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4674E0F0-CCB1-403F-911F-370401DC0C18}" xr6:coauthVersionLast="32" xr6:coauthVersionMax="32" xr10:uidLastSave="{00000000-0000-0000-0000-000000000000}"/>
  <bookViews>
    <workbookView xWindow="0" yWindow="0" windowWidth="22260" windowHeight="12645" activeTab="4" xr2:uid="{00000000-000D-0000-FFFF-FFFF00000000}"/>
  </bookViews>
  <sheets>
    <sheet name="ZnAc·2H2O pro" sheetId="1" r:id="rId1"/>
    <sheet name="ZnO nanoparticles" sheetId="2" r:id="rId2"/>
    <sheet name="KAc crystallization&amp;dry" sheetId="3" r:id="rId3"/>
    <sheet name="ZnO redisperse" sheetId="4" r:id="rId4"/>
    <sheet name="overall" sheetId="5" r:id="rId5"/>
  </sheets>
  <externalReferences>
    <externalReference r:id="rId6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" i="5" l="1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R8" i="5"/>
  <c r="Q8" i="5"/>
  <c r="O12" i="5" l="1"/>
  <c r="O11" i="5"/>
  <c r="I13" i="5"/>
  <c r="N14" i="5" s="1"/>
  <c r="L7" i="5" l="1"/>
  <c r="L8" i="5"/>
  <c r="L17" i="5"/>
  <c r="I4" i="5"/>
  <c r="N4" i="5" s="1"/>
  <c r="J4" i="5"/>
  <c r="O4" i="5" s="1"/>
  <c r="G5" i="5"/>
  <c r="L5" i="5" s="1"/>
  <c r="G6" i="5"/>
  <c r="L6" i="5" s="1"/>
  <c r="G12" i="5"/>
  <c r="L13" i="5" s="1"/>
  <c r="G13" i="5"/>
  <c r="L14" i="5" s="1"/>
  <c r="C5" i="4" l="1"/>
  <c r="D5" i="4"/>
  <c r="F5" i="4"/>
  <c r="B9" i="3"/>
  <c r="C9" i="3"/>
  <c r="D9" i="3"/>
  <c r="F9" i="3"/>
  <c r="C10" i="3"/>
  <c r="D10" i="3"/>
  <c r="F10" i="3"/>
  <c r="G19" i="2" l="1"/>
  <c r="H19" i="2"/>
  <c r="D19" i="2"/>
  <c r="F19" i="2" l="1"/>
  <c r="F38" i="1"/>
  <c r="H30" i="1"/>
  <c r="E13" i="1"/>
  <c r="F30" i="1" s="1"/>
  <c r="D21" i="1"/>
  <c r="F21" i="1" s="1"/>
  <c r="F22" i="1" s="1"/>
  <c r="N12" i="1" s="1"/>
  <c r="E9" i="2" s="1"/>
  <c r="D22" i="1" l="1"/>
  <c r="K30" i="1" s="1"/>
  <c r="E10" i="2"/>
  <c r="E5" i="2" s="1"/>
  <c r="E12" i="2"/>
  <c r="E13" i="2"/>
  <c r="L14" i="2" s="1"/>
  <c r="E9" i="3" s="1"/>
  <c r="E12" i="3" s="1"/>
  <c r="F20" i="3" s="1"/>
  <c r="F26" i="3" s="1"/>
  <c r="L12" i="2" l="1"/>
  <c r="E5" i="4"/>
  <c r="E14" i="2"/>
  <c r="E5" i="1"/>
  <c r="C19" i="1"/>
  <c r="F19" i="1" s="1"/>
  <c r="E9" i="1" s="1"/>
  <c r="E15" i="1" s="1"/>
  <c r="N14" i="1" s="1"/>
  <c r="E14" i="1" l="1"/>
  <c r="N13" i="1" s="1"/>
  <c r="F34" i="1"/>
  <c r="E7" i="1"/>
  <c r="E10" i="1"/>
  <c r="E6" i="4"/>
  <c r="E8" i="4" s="1"/>
  <c r="E7" i="2"/>
  <c r="F30" i="2" l="1"/>
  <c r="D7" i="5"/>
  <c r="I6" i="5" s="1"/>
  <c r="D6" i="5"/>
  <c r="L15" i="2"/>
  <c r="E10" i="3" s="1"/>
  <c r="E7" i="3" s="1"/>
  <c r="F17" i="3" s="1"/>
  <c r="F22" i="3" s="1"/>
  <c r="G8" i="4"/>
  <c r="F37" i="2"/>
  <c r="I14" i="5" l="1"/>
  <c r="N15" i="5" s="1"/>
  <c r="I15" i="5"/>
  <c r="N6" i="5"/>
  <c r="J5" i="2"/>
  <c r="I9" i="5"/>
  <c r="I8" i="5"/>
  <c r="N7" i="5" s="1"/>
  <c r="I7" i="5"/>
  <c r="I11" i="5"/>
  <c r="I10" i="5"/>
  <c r="V7" i="5" l="1"/>
  <c r="AD7" i="5"/>
  <c r="AL7" i="5"/>
  <c r="W7" i="5"/>
  <c r="AE7" i="5"/>
  <c r="AM7" i="5"/>
  <c r="X7" i="5"/>
  <c r="AF7" i="5"/>
  <c r="U7" i="5"/>
  <c r="Y7" i="5"/>
  <c r="AG7" i="5"/>
  <c r="Z7" i="5"/>
  <c r="AH7" i="5"/>
  <c r="R7" i="5"/>
  <c r="AC7" i="5"/>
  <c r="S7" i="5"/>
  <c r="AA7" i="5"/>
  <c r="AI7" i="5"/>
  <c r="T7" i="5"/>
  <c r="AB7" i="5"/>
  <c r="AJ7" i="5"/>
  <c r="AK7" i="5"/>
  <c r="S6" i="5"/>
  <c r="AA6" i="5"/>
  <c r="AI6" i="5"/>
  <c r="Z6" i="5"/>
  <c r="T6" i="5"/>
  <c r="AB6" i="5"/>
  <c r="AJ6" i="5"/>
  <c r="U6" i="5"/>
  <c r="AC6" i="5"/>
  <c r="AK6" i="5"/>
  <c r="V6" i="5"/>
  <c r="AD6" i="5"/>
  <c r="AL6" i="5"/>
  <c r="W6" i="5"/>
  <c r="AE6" i="5"/>
  <c r="AM6" i="5"/>
  <c r="R6" i="5"/>
  <c r="X6" i="5"/>
  <c r="AF6" i="5"/>
  <c r="AH6" i="5"/>
  <c r="Y6" i="5"/>
  <c r="AG6" i="5"/>
  <c r="N8" i="5"/>
  <c r="N11" i="5"/>
  <c r="N12" i="5"/>
  <c r="N10" i="5"/>
  <c r="N16" i="5"/>
  <c r="L19" i="5" s="1"/>
  <c r="N18" i="5"/>
  <c r="N9" i="5"/>
  <c r="Q7" i="5"/>
  <c r="I19" i="5"/>
  <c r="Q6" i="5"/>
  <c r="Q11" i="5"/>
  <c r="N17" i="5"/>
  <c r="Z12" i="5" l="1"/>
  <c r="AH12" i="5"/>
  <c r="S12" i="5"/>
  <c r="AA12" i="5"/>
  <c r="AI12" i="5"/>
  <c r="AG12" i="5"/>
  <c r="T12" i="5"/>
  <c r="AB12" i="5"/>
  <c r="AJ12" i="5"/>
  <c r="R12" i="5"/>
  <c r="U12" i="5"/>
  <c r="AC12" i="5"/>
  <c r="AK12" i="5"/>
  <c r="V12" i="5"/>
  <c r="AD12" i="5"/>
  <c r="AL12" i="5"/>
  <c r="Y12" i="5"/>
  <c r="W12" i="5"/>
  <c r="AE12" i="5"/>
  <c r="AM12" i="5"/>
  <c r="X12" i="5"/>
  <c r="AF12" i="5"/>
  <c r="T10" i="5"/>
  <c r="AB10" i="5"/>
  <c r="AJ10" i="5"/>
  <c r="AI10" i="5"/>
  <c r="U10" i="5"/>
  <c r="AC10" i="5"/>
  <c r="AK10" i="5"/>
  <c r="V10" i="5"/>
  <c r="AD10" i="5"/>
  <c r="AL10" i="5"/>
  <c r="W10" i="5"/>
  <c r="AE10" i="5"/>
  <c r="AM10" i="5"/>
  <c r="X10" i="5"/>
  <c r="AF10" i="5"/>
  <c r="R10" i="5"/>
  <c r="S10" i="5"/>
  <c r="AA10" i="5"/>
  <c r="Y10" i="5"/>
  <c r="AG10" i="5"/>
  <c r="Z10" i="5"/>
  <c r="AH10" i="5"/>
  <c r="W11" i="5"/>
  <c r="AE11" i="5"/>
  <c r="AM11" i="5"/>
  <c r="AD11" i="5"/>
  <c r="X11" i="5"/>
  <c r="AF11" i="5"/>
  <c r="Y11" i="5"/>
  <c r="AG11" i="5"/>
  <c r="Z11" i="5"/>
  <c r="AH11" i="5"/>
  <c r="R11" i="5"/>
  <c r="AL11" i="5"/>
  <c r="S11" i="5"/>
  <c r="AA11" i="5"/>
  <c r="AI11" i="5"/>
  <c r="V11" i="5"/>
  <c r="T11" i="5"/>
  <c r="AB11" i="5"/>
  <c r="AJ11" i="5"/>
  <c r="U11" i="5"/>
  <c r="AC11" i="5"/>
  <c r="AK11" i="5"/>
  <c r="N21" i="5"/>
  <c r="U17" i="5"/>
  <c r="AC17" i="5"/>
  <c r="AK17" i="5"/>
  <c r="V17" i="5"/>
  <c r="AD17" i="5"/>
  <c r="AL17" i="5"/>
  <c r="R17" i="5"/>
  <c r="W17" i="5"/>
  <c r="AE17" i="5"/>
  <c r="AM17" i="5"/>
  <c r="T17" i="5"/>
  <c r="X17" i="5"/>
  <c r="AF17" i="5"/>
  <c r="Y17" i="5"/>
  <c r="AG17" i="5"/>
  <c r="Z17" i="5"/>
  <c r="AH17" i="5"/>
  <c r="AB17" i="5"/>
  <c r="S17" i="5"/>
  <c r="AA17" i="5"/>
  <c r="AI17" i="5"/>
  <c r="AJ17" i="5"/>
  <c r="Y9" i="5"/>
  <c r="AG9" i="5"/>
  <c r="Z9" i="5"/>
  <c r="AH9" i="5"/>
  <c r="X9" i="5"/>
  <c r="S9" i="5"/>
  <c r="AA9" i="5"/>
  <c r="AI9" i="5"/>
  <c r="T9" i="5"/>
  <c r="AB9" i="5"/>
  <c r="AJ9" i="5"/>
  <c r="AF9" i="5"/>
  <c r="U9" i="5"/>
  <c r="AC9" i="5"/>
  <c r="AC19" i="5" s="1"/>
  <c r="AC20" i="5" s="1"/>
  <c r="AK9" i="5"/>
  <c r="V9" i="5"/>
  <c r="AD9" i="5"/>
  <c r="AL9" i="5"/>
  <c r="R9" i="5"/>
  <c r="W9" i="5"/>
  <c r="AE9" i="5"/>
  <c r="AM9" i="5"/>
  <c r="X18" i="5"/>
  <c r="AF18" i="5"/>
  <c r="R18" i="5"/>
  <c r="W18" i="5"/>
  <c r="Y18" i="5"/>
  <c r="AG18" i="5"/>
  <c r="Z18" i="5"/>
  <c r="AH18" i="5"/>
  <c r="S18" i="5"/>
  <c r="AA18" i="5"/>
  <c r="AI18" i="5"/>
  <c r="AM18" i="5"/>
  <c r="T18" i="5"/>
  <c r="AB18" i="5"/>
  <c r="AJ18" i="5"/>
  <c r="AE18" i="5"/>
  <c r="U18" i="5"/>
  <c r="AC18" i="5"/>
  <c r="AK18" i="5"/>
  <c r="V18" i="5"/>
  <c r="AD18" i="5"/>
  <c r="AL18" i="5"/>
  <c r="Q9" i="5"/>
  <c r="Q18" i="5"/>
  <c r="Q10" i="5"/>
  <c r="Q12" i="5"/>
  <c r="Q17" i="5"/>
  <c r="S19" i="5" l="1"/>
  <c r="S20" i="5" s="1"/>
  <c r="R19" i="5"/>
  <c r="R20" i="5" s="1"/>
  <c r="U19" i="5"/>
  <c r="U20" i="5" s="1"/>
  <c r="AM19" i="5"/>
  <c r="AM20" i="5" s="1"/>
  <c r="AL19" i="5"/>
  <c r="AL20" i="5" s="1"/>
  <c r="AG19" i="5"/>
  <c r="AG20" i="5" s="1"/>
  <c r="AI19" i="5"/>
  <c r="AI20" i="5" s="1"/>
  <c r="AJ19" i="5"/>
  <c r="AJ20" i="5" s="1"/>
  <c r="W19" i="5"/>
  <c r="W20" i="5" s="1"/>
  <c r="AA19" i="5"/>
  <c r="AA20" i="5" s="1"/>
  <c r="AB19" i="5"/>
  <c r="AB20" i="5" s="1"/>
  <c r="V19" i="5"/>
  <c r="V20" i="5" s="1"/>
  <c r="Z19" i="5"/>
  <c r="Z20" i="5" s="1"/>
  <c r="AF19" i="5"/>
  <c r="AF20" i="5" s="1"/>
  <c r="AK19" i="5"/>
  <c r="AK20" i="5" s="1"/>
  <c r="Y19" i="5"/>
  <c r="Y20" i="5" s="1"/>
  <c r="T19" i="5"/>
  <c r="T20" i="5" s="1"/>
  <c r="AD19" i="5"/>
  <c r="AD20" i="5" s="1"/>
  <c r="AE19" i="5"/>
  <c r="AE20" i="5" s="1"/>
  <c r="X19" i="5"/>
  <c r="X20" i="5" s="1"/>
  <c r="AH19" i="5"/>
  <c r="AH20" i="5" s="1"/>
  <c r="Q19" i="5"/>
  <c r="Q20" i="5" s="1"/>
</calcChain>
</file>

<file path=xl/sharedStrings.xml><?xml version="1.0" encoding="utf-8"?>
<sst xmlns="http://schemas.openxmlformats.org/spreadsheetml/2006/main" count="318" uniqueCount="92">
  <si>
    <t>Inputs from nature</t>
  </si>
  <si>
    <t>Flow name</t>
  </si>
  <si>
    <t>Category</t>
  </si>
  <si>
    <t>Value</t>
  </si>
  <si>
    <t>Unit</t>
  </si>
  <si>
    <t>Notes/comments</t>
  </si>
  <si>
    <t>Outputs to nature</t>
  </si>
  <si>
    <t>H2O</t>
  </si>
  <si>
    <t>Resource/elementary</t>
  </si>
  <si>
    <t>kg</t>
  </si>
  <si>
    <t>Inputs from the technosphere</t>
  </si>
  <si>
    <t>product</t>
  </si>
  <si>
    <t>Outputs to the technosphere</t>
  </si>
  <si>
    <t>Reaction</t>
  </si>
  <si>
    <t>--&gt;</t>
  </si>
  <si>
    <t>Energy consumption</t>
  </si>
  <si>
    <t>Heat</t>
  </si>
  <si>
    <t>CH3COOH</t>
  </si>
  <si>
    <t>Zn</t>
  </si>
  <si>
    <t>ZnAc</t>
  </si>
  <si>
    <t>H2</t>
  </si>
  <si>
    <t>2HAc</t>
  </si>
  <si>
    <t>solvent</t>
  </si>
  <si>
    <t>latent heat of evaparating water</t>
  </si>
  <si>
    <t>kJ/kg</t>
  </si>
  <si>
    <t>total</t>
  </si>
  <si>
    <t>MJ</t>
  </si>
  <si>
    <t>mass 98%</t>
  </si>
  <si>
    <t>waste</t>
  </si>
  <si>
    <t>2H2O</t>
  </si>
  <si>
    <t>ZnAc·2H2O</t>
  </si>
  <si>
    <t>latent heat of crystllization</t>
  </si>
  <si>
    <t>mass of water (crystallization)</t>
  </si>
  <si>
    <t>unit consumption of flash drying</t>
  </si>
  <si>
    <t>kJ/kg water</t>
  </si>
  <si>
    <t>4500-9000, Handbook of industrial drying</t>
  </si>
  <si>
    <t>Electricity</t>
  </si>
  <si>
    <t>unit consumption of pressure filtration</t>
  </si>
  <si>
    <t>kWh/kg solid</t>
  </si>
  <si>
    <t xml:space="preserve"> pressure filtration</t>
  </si>
  <si>
    <t>kWh</t>
  </si>
  <si>
    <t>&gt;</t>
  </si>
  <si>
    <t>KOH</t>
  </si>
  <si>
    <t>2KOH</t>
  </si>
  <si>
    <t>2KAc</t>
  </si>
  <si>
    <t>ZnO</t>
  </si>
  <si>
    <t>3H2O</t>
  </si>
  <si>
    <t>KAc</t>
  </si>
  <si>
    <t>20% extra</t>
  </si>
  <si>
    <t>Solubility</t>
  </si>
  <si>
    <t>25 ℃</t>
  </si>
  <si>
    <t>g</t>
  </si>
  <si>
    <t>solution</t>
  </si>
  <si>
    <t>percipitate</t>
  </si>
  <si>
    <t>power of stirrer</t>
  </si>
  <si>
    <t>W</t>
  </si>
  <si>
    <t>stirring time</t>
  </si>
  <si>
    <t>h</t>
  </si>
  <si>
    <t>mass of water (drying)</t>
  </si>
  <si>
    <t>chlorobenzene</t>
  </si>
  <si>
    <t>ZnO ink</t>
  </si>
  <si>
    <t>electricity</t>
  </si>
  <si>
    <t>process input</t>
  </si>
  <si>
    <t>heat</t>
  </si>
  <si>
    <t>process output</t>
  </si>
  <si>
    <t>wastewater</t>
  </si>
  <si>
    <t>Greenhouse gas (kg CO2-eq)</t>
  </si>
  <si>
    <t>Cumulative energy demand (MJ-eq)</t>
  </si>
  <si>
    <t>eletricity</t>
  </si>
  <si>
    <t xml:space="preserve">ReCiPe Midpoint (E) </t>
  </si>
  <si>
    <t>ReCiPe Endpoint (E,A)</t>
  </si>
  <si>
    <t>agricultural land occupation</t>
  </si>
  <si>
    <t>climate change</t>
  </si>
  <si>
    <t>fossil depletion</t>
  </si>
  <si>
    <t>freshwater ecotoxicity</t>
  </si>
  <si>
    <t>freshwater eutrophication</t>
  </si>
  <si>
    <t>human toxicity</t>
  </si>
  <si>
    <t>ionising radiation</t>
  </si>
  <si>
    <t>marine ecotoxicity</t>
  </si>
  <si>
    <t>marine eutrophication</t>
  </si>
  <si>
    <t>metal depletion</t>
  </si>
  <si>
    <t>natural land transformation</t>
  </si>
  <si>
    <t>ozone depletion</t>
  </si>
  <si>
    <t>particulate matter formation</t>
  </si>
  <si>
    <t>photochemical oxidant formation</t>
  </si>
  <si>
    <t>terrestrial acidification</t>
  </si>
  <si>
    <t>terrestrial ecotoxicity</t>
  </si>
  <si>
    <t>urban land occupation</t>
  </si>
  <si>
    <t>water depletion</t>
  </si>
  <si>
    <t>ecosystem quality</t>
  </si>
  <si>
    <t>human health</t>
  </si>
  <si>
    <t>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</si>
</sst>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General"/>
    <numFmt numFmtId="165" formatCode="0.000E+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2" fillId="0" borderId="0"/>
    <xf numFmtId="0" fontId="7" fillId="2" borderId="0" applyNumberFormat="0" applyBorder="0" applyAlignment="0" applyProtection="0"/>
  </cellStyleXfs>
  <cellXfs count="70">
    <xf numFmtId="164" fontId="0" fillId="0" borderId="0" xfId="0"/>
    <xf numFmtId="164" fontId="3" fillId="0" borderId="0" xfId="1" applyFont="1" applyBorder="1"/>
    <xf numFmtId="164" fontId="0" fillId="0" borderId="0" xfId="0" applyBorder="1"/>
    <xf numFmtId="164" fontId="0" fillId="0" borderId="0" xfId="0" applyFill="1" applyBorder="1"/>
    <xf numFmtId="164" fontId="0" fillId="0" borderId="0" xfId="0" applyNumberFormat="1" applyBorder="1"/>
    <xf numFmtId="164" fontId="1" fillId="0" borderId="0" xfId="0" applyFont="1" applyBorder="1"/>
    <xf numFmtId="164" fontId="0" fillId="0" borderId="0" xfId="0" applyBorder="1" applyAlignment="1">
      <alignment horizontal="center" vertical="center"/>
    </xf>
    <xf numFmtId="164" fontId="4" fillId="0" borderId="0" xfId="0" applyNumberFormat="1" applyFont="1" applyBorder="1"/>
    <xf numFmtId="164" fontId="0" fillId="0" borderId="0" xfId="0" applyAlignment="1">
      <alignment horizontal="center"/>
    </xf>
    <xf numFmtId="164" fontId="0" fillId="0" borderId="0" xfId="0" applyBorder="1" applyAlignment="1">
      <alignment horizontal="center"/>
    </xf>
    <xf numFmtId="164" fontId="3" fillId="0" borderId="1" xfId="1" applyFont="1" applyBorder="1"/>
    <xf numFmtId="164" fontId="3" fillId="0" borderId="2" xfId="1" applyFont="1" applyBorder="1"/>
    <xf numFmtId="164" fontId="0" fillId="0" borderId="0" xfId="0"/>
    <xf numFmtId="164" fontId="3" fillId="0" borderId="0" xfId="1" applyFont="1" applyBorder="1"/>
    <xf numFmtId="164" fontId="0" fillId="0" borderId="0" xfId="0" applyBorder="1"/>
    <xf numFmtId="164" fontId="0" fillId="0" borderId="0" xfId="1" applyFont="1" applyBorder="1"/>
    <xf numFmtId="164" fontId="2" fillId="0" borderId="0" xfId="1" applyFont="1" applyBorder="1"/>
    <xf numFmtId="164" fontId="0" fillId="0" borderId="0" xfId="0" applyNumberFormat="1" applyBorder="1"/>
    <xf numFmtId="164" fontId="3" fillId="0" borderId="3" xfId="1" applyFont="1" applyBorder="1"/>
    <xf numFmtId="164" fontId="0" fillId="0" borderId="4" xfId="0" applyBorder="1"/>
    <xf numFmtId="164" fontId="0" fillId="0" borderId="5" xfId="0" applyFill="1" applyBorder="1"/>
    <xf numFmtId="164" fontId="3" fillId="0" borderId="4" xfId="1" applyFont="1" applyBorder="1"/>
    <xf numFmtId="164" fontId="3" fillId="0" borderId="5" xfId="1" applyFont="1" applyBorder="1"/>
    <xf numFmtId="164" fontId="0" fillId="0" borderId="5" xfId="0" applyBorder="1"/>
    <xf numFmtId="164" fontId="2" fillId="0" borderId="4" xfId="1" applyFont="1" applyBorder="1"/>
    <xf numFmtId="164" fontId="2" fillId="0" borderId="5" xfId="1" applyFont="1" applyBorder="1"/>
    <xf numFmtId="164" fontId="0" fillId="0" borderId="6" xfId="0" applyFont="1" applyBorder="1"/>
    <xf numFmtId="164" fontId="0" fillId="0" borderId="7" xfId="0" applyFont="1" applyBorder="1"/>
    <xf numFmtId="164" fontId="0" fillId="0" borderId="8" xfId="0" applyFont="1" applyBorder="1"/>
    <xf numFmtId="164" fontId="0" fillId="0" borderId="1" xfId="0" applyBorder="1"/>
    <xf numFmtId="164" fontId="0" fillId="0" borderId="2" xfId="0" applyBorder="1"/>
    <xf numFmtId="164" fontId="4" fillId="0" borderId="2" xfId="0" applyNumberFormat="1" applyFont="1" applyBorder="1"/>
    <xf numFmtId="164" fontId="0" fillId="0" borderId="3" xfId="0" applyFill="1" applyBorder="1"/>
    <xf numFmtId="164" fontId="0" fillId="0" borderId="6" xfId="0" applyBorder="1"/>
    <xf numFmtId="164" fontId="0" fillId="0" borderId="7" xfId="0" applyFill="1" applyBorder="1"/>
    <xf numFmtId="164" fontId="0" fillId="0" borderId="7" xfId="0" applyBorder="1"/>
    <xf numFmtId="164" fontId="0" fillId="0" borderId="8" xfId="0" applyFill="1" applyBorder="1"/>
    <xf numFmtId="164" fontId="0" fillId="0" borderId="0" xfId="0" applyFont="1" applyBorder="1"/>
    <xf numFmtId="164" fontId="2" fillId="0" borderId="0" xfId="1" applyFont="1" applyFill="1" applyBorder="1"/>
    <xf numFmtId="164" fontId="0" fillId="0" borderId="0" xfId="0" applyFont="1"/>
    <xf numFmtId="164" fontId="1" fillId="0" borderId="0" xfId="0" applyFont="1"/>
    <xf numFmtId="164" fontId="0" fillId="0" borderId="0" xfId="0" applyFont="1" applyFill="1" applyBorder="1"/>
    <xf numFmtId="164" fontId="0" fillId="0" borderId="0" xfId="0" applyNumberFormat="1"/>
    <xf numFmtId="164" fontId="6" fillId="0" borderId="0" xfId="0" applyFont="1"/>
    <xf numFmtId="164" fontId="6" fillId="0" borderId="0" xfId="0" applyFont="1" applyBorder="1"/>
    <xf numFmtId="165" fontId="0" fillId="0" borderId="0" xfId="0" applyNumberFormat="1"/>
    <xf numFmtId="164" fontId="0" fillId="0" borderId="9" xfId="0" applyBorder="1"/>
    <xf numFmtId="164" fontId="0" fillId="0" borderId="10" xfId="0" applyBorder="1"/>
    <xf numFmtId="165" fontId="0" fillId="0" borderId="10" xfId="0" applyNumberFormat="1" applyBorder="1"/>
    <xf numFmtId="164" fontId="0" fillId="0" borderId="11" xfId="0" applyBorder="1"/>
    <xf numFmtId="164" fontId="1" fillId="0" borderId="12" xfId="0" applyFont="1" applyBorder="1"/>
    <xf numFmtId="165" fontId="0" fillId="0" borderId="0" xfId="0" applyNumberFormat="1" applyBorder="1"/>
    <xf numFmtId="164" fontId="0" fillId="0" borderId="13" xfId="0" applyBorder="1"/>
    <xf numFmtId="164" fontId="0" fillId="0" borderId="12" xfId="0" applyBorder="1"/>
    <xf numFmtId="164" fontId="2" fillId="0" borderId="12" xfId="1" applyFont="1" applyBorder="1"/>
    <xf numFmtId="164" fontId="0" fillId="0" borderId="12" xfId="0" applyFont="1" applyBorder="1"/>
    <xf numFmtId="164" fontId="4" fillId="0" borderId="12" xfId="0" applyFont="1" applyBorder="1"/>
    <xf numFmtId="164" fontId="5" fillId="0" borderId="12" xfId="0" applyFont="1" applyBorder="1"/>
    <xf numFmtId="164" fontId="0" fillId="0" borderId="14" xfId="0" applyBorder="1"/>
    <xf numFmtId="164" fontId="0" fillId="0" borderId="15" xfId="0" applyBorder="1"/>
    <xf numFmtId="165" fontId="0" fillId="0" borderId="15" xfId="0" applyNumberFormat="1" applyBorder="1"/>
    <xf numFmtId="164" fontId="0" fillId="0" borderId="16" xfId="0" applyBorder="1"/>
    <xf numFmtId="165" fontId="7" fillId="2" borderId="0" xfId="2" applyNumberFormat="1"/>
    <xf numFmtId="164" fontId="7" fillId="2" borderId="0" xfId="2" applyNumberFormat="1" applyBorder="1"/>
    <xf numFmtId="164" fontId="7" fillId="2" borderId="0" xfId="2" applyNumberFormat="1"/>
    <xf numFmtId="164" fontId="7" fillId="2" borderId="7" xfId="2" applyNumberFormat="1" applyBorder="1"/>
    <xf numFmtId="165" fontId="8" fillId="0" borderId="0" xfId="0" applyNumberFormat="1" applyFont="1" applyAlignment="1">
      <alignment horizontal="center" vertical="center"/>
    </xf>
    <xf numFmtId="164" fontId="8" fillId="0" borderId="0" xfId="0" applyFont="1" applyAlignment="1">
      <alignment horizontal="center"/>
    </xf>
    <xf numFmtId="164" fontId="8" fillId="0" borderId="0" xfId="0" applyFont="1" applyAlignment="1">
      <alignment horizontal="center"/>
    </xf>
    <xf numFmtId="165" fontId="8" fillId="0" borderId="0" xfId="0" applyNumberFormat="1" applyFont="1" applyAlignment="1">
      <alignment horizontal="center" vertical="center"/>
    </xf>
  </cellXfs>
  <cellStyles count="3">
    <cellStyle name="Excel Built-in Normal" xfId="1" xr:uid="{00000000-0005-0000-0000-000000000000}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_Raw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on"/>
      <sheetName val="production-alphabetical"/>
      <sheetName val="direct emissions"/>
      <sheetName val="Jian's"/>
    </sheetNames>
    <sheetDataSet>
      <sheetData sheetId="0">
        <row r="3">
          <cell r="D3">
            <v>2.4752999999999998</v>
          </cell>
          <cell r="M3">
            <v>20.685313700000005</v>
          </cell>
          <cell r="N3">
            <v>8.8877999999999999E-2</v>
          </cell>
          <cell r="O3">
            <v>2.2648999999999999</v>
          </cell>
          <cell r="P3">
            <v>0.39137</v>
          </cell>
          <cell r="Q3">
            <v>3.4606999999999999E-2</v>
          </cell>
          <cell r="R3">
            <v>1.4064E-2</v>
          </cell>
          <cell r="S3">
            <v>31.951000000000001</v>
          </cell>
          <cell r="T3">
            <v>0.15866</v>
          </cell>
          <cell r="U3">
            <v>31.074999999999999</v>
          </cell>
          <cell r="V3">
            <v>0.13034999999999999</v>
          </cell>
          <cell r="W3">
            <v>0.17466000000000001</v>
          </cell>
          <cell r="X3">
            <v>1.8164E-4</v>
          </cell>
          <cell r="Y3">
            <v>1.8353E-7</v>
          </cell>
          <cell r="Z3">
            <v>5.0572000000000004E-3</v>
          </cell>
          <cell r="AA3">
            <v>5.9461000000000002E-3</v>
          </cell>
          <cell r="AB3">
            <v>1.0370000000000001E-2</v>
          </cell>
          <cell r="AC3">
            <v>1.3814999999999999E-3</v>
          </cell>
          <cell r="AD3">
            <v>2.3361E-2</v>
          </cell>
          <cell r="AE3">
            <v>1.0649E-2</v>
          </cell>
          <cell r="AF3">
            <v>0.10145</v>
          </cell>
          <cell r="AG3">
            <v>0.30706</v>
          </cell>
          <cell r="AH3">
            <v>5.5032999999999999E-2</v>
          </cell>
        </row>
        <row r="4">
          <cell r="D4">
            <v>0.36930000000000002</v>
          </cell>
          <cell r="M4">
            <v>2.3668493929999999</v>
          </cell>
          <cell r="N4">
            <v>6.0940999999999999E-3</v>
          </cell>
          <cell r="O4">
            <v>0.35915999999999998</v>
          </cell>
          <cell r="P4">
            <v>5.2048999999999998E-2</v>
          </cell>
          <cell r="Q4">
            <v>0.12237000000000001</v>
          </cell>
          <cell r="R4">
            <v>1.8588000000000001E-3</v>
          </cell>
          <cell r="S4">
            <v>113.85</v>
          </cell>
          <cell r="T4">
            <v>1.0475E-2</v>
          </cell>
          <cell r="U4">
            <v>91.475999999999999</v>
          </cell>
          <cell r="V4">
            <v>2.898E-4</v>
          </cell>
          <cell r="W4">
            <v>5.6449999999999998E-3</v>
          </cell>
          <cell r="X4">
            <v>-8.0467000000000001E-5</v>
          </cell>
          <cell r="Y4">
            <v>1.8459E-8</v>
          </cell>
          <cell r="Z4">
            <v>4.2025E-4</v>
          </cell>
          <cell r="AA4">
            <v>8.7235999999999998E-4</v>
          </cell>
          <cell r="AB4">
            <v>9.914399999999999E-4</v>
          </cell>
          <cell r="AC4">
            <v>1.2791E-3</v>
          </cell>
          <cell r="AD4">
            <v>1.2624E-2</v>
          </cell>
          <cell r="AE4">
            <v>4.7706000000000002E-4</v>
          </cell>
          <cell r="AF4">
            <v>3.4474999999999999E-2</v>
          </cell>
          <cell r="AG4">
            <v>0.79079999999999995</v>
          </cell>
          <cell r="AH4">
            <v>6.5030000000000001E-3</v>
          </cell>
        </row>
        <row r="6">
          <cell r="D6">
            <v>2.2629E-2</v>
          </cell>
          <cell r="M6">
            <v>1.1301142500000001</v>
          </cell>
          <cell r="N6">
            <v>0.11215</v>
          </cell>
          <cell r="O6">
            <v>1.8582999999999999E-2</v>
          </cell>
          <cell r="P6">
            <v>6.3794000000000003E-3</v>
          </cell>
          <cell r="Q6">
            <v>4.3543999999999999E-4</v>
          </cell>
          <cell r="R6">
            <v>1.0402E-5</v>
          </cell>
          <cell r="S6">
            <v>0.53217000000000003</v>
          </cell>
          <cell r="T6">
            <v>1.8257E-3</v>
          </cell>
          <cell r="U6">
            <v>0.35271000000000002</v>
          </cell>
          <cell r="V6">
            <v>1.2266999999999999E-4</v>
          </cell>
          <cell r="W6">
            <v>1.1761E-3</v>
          </cell>
          <cell r="X6">
            <v>6.0975999999999999E-6</v>
          </cell>
          <cell r="Y6">
            <v>1.7740999999999999E-9</v>
          </cell>
          <cell r="Z6">
            <v>2.3971999999999999E-4</v>
          </cell>
          <cell r="AA6">
            <v>4.1580000000000002E-4</v>
          </cell>
          <cell r="AB6">
            <v>3.101E-4</v>
          </cell>
          <cell r="AC6">
            <v>7.4307999999999994E-5</v>
          </cell>
          <cell r="AD6">
            <v>1.7539999999999999E-3</v>
          </cell>
          <cell r="AE6">
            <v>5.7485999999999998E-5</v>
          </cell>
          <cell r="AF6">
            <v>3.9671000000000003E-3</v>
          </cell>
          <cell r="AG6">
            <v>4.5497000000000003E-3</v>
          </cell>
          <cell r="AH6">
            <v>8.1945E-4</v>
          </cell>
        </row>
        <row r="7">
          <cell r="D7">
            <v>0.70992</v>
          </cell>
          <cell r="M7">
            <v>12.491602724200002</v>
          </cell>
          <cell r="N7">
            <v>8.1276999999999999E-4</v>
          </cell>
          <cell r="O7">
            <v>0.66998999999999997</v>
          </cell>
          <cell r="P7">
            <v>0.2959</v>
          </cell>
          <cell r="Q7">
            <v>2.5509999999999999E-3</v>
          </cell>
          <cell r="R7">
            <v>1.2449000000000001E-5</v>
          </cell>
          <cell r="S7">
            <v>5.2184999999999997</v>
          </cell>
          <cell r="T7">
            <v>4.2230000000000002E-3</v>
          </cell>
          <cell r="U7">
            <v>1.5693999999999999</v>
          </cell>
          <cell r="V7">
            <v>6.1474999999999995E-4</v>
          </cell>
          <cell r="W7">
            <v>2.9989999999999999E-3</v>
          </cell>
          <cell r="X7">
            <v>1.1035E-4</v>
          </cell>
          <cell r="Y7">
            <v>5.9294000000000001E-8</v>
          </cell>
          <cell r="Z7">
            <v>7.4861999999999997E-4</v>
          </cell>
          <cell r="AA7">
            <v>2.0135999999999999E-3</v>
          </cell>
          <cell r="AB7">
            <v>2.8999999999999998E-3</v>
          </cell>
          <cell r="AC7">
            <v>5.1903000000000001E-5</v>
          </cell>
          <cell r="AD7">
            <v>3.2011000000000002E-4</v>
          </cell>
          <cell r="AE7">
            <v>8.0185999999999994E-5</v>
          </cell>
          <cell r="AF7">
            <v>1.9613999999999999E-2</v>
          </cell>
          <cell r="AG7">
            <v>6.0482000000000001E-2</v>
          </cell>
          <cell r="AH7">
            <v>3.5621E-2</v>
          </cell>
        </row>
        <row r="27">
          <cell r="D27">
            <v>2.3647</v>
          </cell>
          <cell r="M27">
            <v>32.051380479999999</v>
          </cell>
          <cell r="N27">
            <v>0.13012000000000001</v>
          </cell>
          <cell r="O27">
            <v>2.1821999999999999</v>
          </cell>
          <cell r="P27">
            <v>0.64151000000000002</v>
          </cell>
          <cell r="Q27">
            <v>2.9717E-2</v>
          </cell>
          <cell r="R27">
            <v>1.0861E-3</v>
          </cell>
          <cell r="S27">
            <v>44.917000000000002</v>
          </cell>
          <cell r="T27">
            <v>0.18401999999999999</v>
          </cell>
          <cell r="U27">
            <v>35.247</v>
          </cell>
          <cell r="V27">
            <v>2.1321000000000001E-3</v>
          </cell>
          <cell r="W27">
            <v>0.1094</v>
          </cell>
          <cell r="X27">
            <v>1.9057000000000001E-4</v>
          </cell>
          <cell r="Y27">
            <v>1.3227000000000001E-7</v>
          </cell>
          <cell r="Z27">
            <v>6.8122E-3</v>
          </cell>
          <cell r="AA27">
            <v>6.2151000000000003E-3</v>
          </cell>
          <cell r="AB27">
            <v>1.2237E-2</v>
          </cell>
          <cell r="AC27">
            <v>1.2792999999999999E-3</v>
          </cell>
          <cell r="AD27">
            <v>2.9655999999999998E-2</v>
          </cell>
          <cell r="AE27">
            <v>1.1338000000000001E-2</v>
          </cell>
          <cell r="AF27">
            <v>9.9657999999999997E-2</v>
          </cell>
          <cell r="AG27">
            <v>0.39735999999999999</v>
          </cell>
          <cell r="AH27">
            <v>8.2004999999999995E-2</v>
          </cell>
        </row>
        <row r="34">
          <cell r="D34">
            <v>3.2427000000000001</v>
          </cell>
          <cell r="M34">
            <v>78.503467299999997</v>
          </cell>
          <cell r="N34">
            <v>0.11455</v>
          </cell>
          <cell r="O34">
            <v>2.7587000000000002</v>
          </cell>
          <cell r="P34">
            <v>1.7338</v>
          </cell>
          <cell r="Q34">
            <v>0.10091</v>
          </cell>
          <cell r="R34">
            <v>1.325E-3</v>
          </cell>
          <cell r="S34">
            <v>50.4</v>
          </cell>
          <cell r="T34">
            <v>0.1552</v>
          </cell>
          <cell r="U34">
            <v>41.045000000000002</v>
          </cell>
          <cell r="V34">
            <v>2.7309999999999999E-3</v>
          </cell>
          <cell r="W34">
            <v>0.13256000000000001</v>
          </cell>
          <cell r="X34">
            <v>2.5385000000000002E-4</v>
          </cell>
          <cell r="Y34">
            <v>7.1116999999999998E-7</v>
          </cell>
          <cell r="Z34">
            <v>8.2673999999999994E-3</v>
          </cell>
          <cell r="AA34">
            <v>2.1946E-2</v>
          </cell>
          <cell r="AB34">
            <v>1.4785E-2</v>
          </cell>
          <cell r="AC34">
            <v>1.9043E-3</v>
          </cell>
          <cell r="AD34">
            <v>2.7025E-2</v>
          </cell>
          <cell r="AE34">
            <v>8.4682999999999998E-3</v>
          </cell>
          <cell r="AF34">
            <v>0.12331</v>
          </cell>
          <cell r="AG34">
            <v>0.46032000000000001</v>
          </cell>
          <cell r="AH34">
            <v>0.21404999999999999</v>
          </cell>
        </row>
        <row r="35">
          <cell r="D35">
            <v>1.8720000000000001</v>
          </cell>
          <cell r="M35">
            <v>50.87338231999999</v>
          </cell>
          <cell r="N35">
            <v>7.7737000000000001E-2</v>
          </cell>
          <cell r="O35">
            <v>1.5653999999999999</v>
          </cell>
          <cell r="P35">
            <v>1.1281000000000001</v>
          </cell>
          <cell r="Q35">
            <v>2.4865999999999999E-2</v>
          </cell>
          <cell r="R35">
            <v>7.4671000000000004E-4</v>
          </cell>
          <cell r="S35">
            <v>39.393000000000001</v>
          </cell>
          <cell r="T35">
            <v>0.20144000000000001</v>
          </cell>
          <cell r="U35">
            <v>26.393000000000001</v>
          </cell>
          <cell r="V35">
            <v>1.5735E-3</v>
          </cell>
          <cell r="W35">
            <v>0.1027</v>
          </cell>
          <cell r="X35">
            <v>7.7694000000000005E-4</v>
          </cell>
          <cell r="Y35">
            <v>3.6348999999999998E-7</v>
          </cell>
          <cell r="Z35">
            <v>5.1384000000000004E-3</v>
          </cell>
          <cell r="AA35">
            <v>7.1871000000000001E-3</v>
          </cell>
          <cell r="AB35">
            <v>1.0763999999999999E-2</v>
          </cell>
          <cell r="AC35">
            <v>1.3123E-3</v>
          </cell>
          <cell r="AD35">
            <v>1.4274E-2</v>
          </cell>
          <cell r="AE35">
            <v>5.9341999999999997E-3</v>
          </cell>
          <cell r="AF35">
            <v>7.4004E-2</v>
          </cell>
          <cell r="AG35">
            <v>0.33537</v>
          </cell>
          <cell r="AH35">
            <v>0.14004</v>
          </cell>
        </row>
        <row r="36">
          <cell r="D36">
            <v>5.0880999999999998</v>
          </cell>
          <cell r="M36">
            <v>58.626239200000001</v>
          </cell>
          <cell r="N36">
            <v>0.17121</v>
          </cell>
          <cell r="O36">
            <v>4.6314000000000002</v>
          </cell>
          <cell r="P36">
            <v>1.1948000000000001</v>
          </cell>
          <cell r="Q36">
            <v>0.19231000000000001</v>
          </cell>
          <cell r="R36">
            <v>5.6892000000000002E-3</v>
          </cell>
          <cell r="S36">
            <v>406.25</v>
          </cell>
          <cell r="T36">
            <v>0.17197999999999999</v>
          </cell>
          <cell r="U36">
            <v>235.69</v>
          </cell>
          <cell r="V36">
            <v>8.6817999999999999E-3</v>
          </cell>
          <cell r="W36">
            <v>2.7267000000000001</v>
          </cell>
          <cell r="X36">
            <v>6.9832E-4</v>
          </cell>
          <cell r="Y36">
            <v>2.0142000000000001E-7</v>
          </cell>
          <cell r="Z36">
            <v>1.9768000000000001E-2</v>
          </cell>
          <cell r="AA36">
            <v>2.4782999999999999E-2</v>
          </cell>
          <cell r="AB36">
            <v>5.2720000000000003E-2</v>
          </cell>
          <cell r="AC36">
            <v>6.9123000000000004E-2</v>
          </cell>
          <cell r="AD36">
            <v>5.5924000000000001E-2</v>
          </cell>
          <cell r="AE36">
            <v>7.2290999999999994E-2</v>
          </cell>
          <cell r="AF36">
            <v>0.31942999999999999</v>
          </cell>
          <cell r="AG36">
            <v>2.9803999999999999</v>
          </cell>
          <cell r="AH36">
            <v>0.26987</v>
          </cell>
        </row>
        <row r="74">
          <cell r="D74">
            <v>1.7427E-3</v>
          </cell>
          <cell r="M74">
            <v>2.3977627160000001E-2</v>
          </cell>
          <cell r="N74">
            <v>8.0226000000000001E-5</v>
          </cell>
          <cell r="O74">
            <v>1.603E-3</v>
          </cell>
          <cell r="P74">
            <v>4.6108999999999999E-4</v>
          </cell>
          <cell r="Q74">
            <v>2.4029E-5</v>
          </cell>
          <cell r="R74">
            <v>8.5155000000000003E-7</v>
          </cell>
          <cell r="S74">
            <v>3.1862000000000001E-2</v>
          </cell>
          <cell r="T74">
            <v>1.739E-4</v>
          </cell>
          <cell r="U74">
            <v>2.7362999999999998E-2</v>
          </cell>
          <cell r="V74">
            <v>1.7167E-6</v>
          </cell>
          <cell r="W74">
            <v>1.1456E-4</v>
          </cell>
          <cell r="X74">
            <v>2.2113E-7</v>
          </cell>
          <cell r="Y74">
            <v>7.3037000000000003E-10</v>
          </cell>
          <cell r="Z74">
            <v>5.7030000000000003E-6</v>
          </cell>
          <cell r="AA74">
            <v>4.9044E-6</v>
          </cell>
          <cell r="AB74">
            <v>8.8248000000000006E-6</v>
          </cell>
          <cell r="AC74">
            <v>1.4250999999999999E-6</v>
          </cell>
          <cell r="AD74">
            <v>1.5262000000000001E-5</v>
          </cell>
          <cell r="AE74">
            <v>1.3097E-3</v>
          </cell>
          <cell r="AF74">
            <v>7.5106999999999998E-5</v>
          </cell>
          <cell r="AG74">
            <v>2.8687E-4</v>
          </cell>
          <cell r="AH74">
            <v>6.0606000000000002E-5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O38"/>
  <sheetViews>
    <sheetView workbookViewId="0">
      <selection activeCell="G32" sqref="G32"/>
    </sheetView>
  </sheetViews>
  <sheetFormatPr defaultRowHeight="15" x14ac:dyDescent="0.25"/>
  <cols>
    <col min="2" max="2" width="28.140625" customWidth="1"/>
    <col min="3" max="7" width="19.7109375" customWidth="1"/>
    <col min="12" max="15" width="17.42578125" customWidth="1"/>
  </cols>
  <sheetData>
    <row r="4" spans="2:15" x14ac:dyDescent="0.25">
      <c r="B4" s="10" t="s">
        <v>0</v>
      </c>
      <c r="C4" s="11" t="s">
        <v>1</v>
      </c>
      <c r="D4" s="11" t="s">
        <v>2</v>
      </c>
      <c r="E4" s="11" t="s">
        <v>3</v>
      </c>
      <c r="F4" s="11" t="s">
        <v>4</v>
      </c>
      <c r="G4" s="18" t="s">
        <v>5</v>
      </c>
    </row>
    <row r="5" spans="2:15" x14ac:dyDescent="0.25">
      <c r="B5" s="19"/>
      <c r="C5" s="14" t="s">
        <v>7</v>
      </c>
      <c r="D5" s="15" t="s">
        <v>8</v>
      </c>
      <c r="E5" s="14">
        <f>E13</f>
        <v>2.3255813953488373</v>
      </c>
      <c r="F5" s="14" t="s">
        <v>9</v>
      </c>
      <c r="G5" s="20"/>
    </row>
    <row r="6" spans="2:15" x14ac:dyDescent="0.25">
      <c r="B6" s="21" t="s">
        <v>6</v>
      </c>
      <c r="C6" s="13" t="s">
        <v>1</v>
      </c>
      <c r="D6" s="13" t="s">
        <v>2</v>
      </c>
      <c r="E6" s="13" t="s">
        <v>3</v>
      </c>
      <c r="F6" s="13" t="s">
        <v>4</v>
      </c>
      <c r="G6" s="22" t="s">
        <v>5</v>
      </c>
    </row>
    <row r="7" spans="2:15" x14ac:dyDescent="0.25">
      <c r="B7" s="19"/>
      <c r="C7" s="14" t="s">
        <v>7</v>
      </c>
      <c r="D7" s="15" t="s">
        <v>8</v>
      </c>
      <c r="E7" s="14">
        <f>E5-D22</f>
        <v>2.1288600838734277</v>
      </c>
      <c r="F7" s="14" t="s">
        <v>9</v>
      </c>
      <c r="G7" s="23"/>
    </row>
    <row r="8" spans="2:15" x14ac:dyDescent="0.25">
      <c r="B8" s="21" t="s">
        <v>10</v>
      </c>
      <c r="C8" s="13" t="s">
        <v>1</v>
      </c>
      <c r="D8" s="13" t="s">
        <v>2</v>
      </c>
      <c r="E8" s="13" t="s">
        <v>3</v>
      </c>
      <c r="F8" s="13" t="s">
        <v>4</v>
      </c>
      <c r="G8" s="22" t="s">
        <v>5</v>
      </c>
    </row>
    <row r="9" spans="2:15" x14ac:dyDescent="0.25">
      <c r="B9" s="24"/>
      <c r="C9" s="16" t="s">
        <v>17</v>
      </c>
      <c r="D9" s="16" t="s">
        <v>11</v>
      </c>
      <c r="E9" s="16">
        <f>E12/F19*C19/0.98</f>
        <v>0.6691201070592171</v>
      </c>
      <c r="F9" s="16" t="s">
        <v>9</v>
      </c>
      <c r="G9" s="25" t="s">
        <v>27</v>
      </c>
    </row>
    <row r="10" spans="2:15" x14ac:dyDescent="0.25">
      <c r="B10" s="26"/>
      <c r="C10" s="27" t="s">
        <v>18</v>
      </c>
      <c r="D10" s="16" t="s">
        <v>11</v>
      </c>
      <c r="E10" s="27">
        <f>E12/F19*D19</f>
        <v>0.3551912568306011</v>
      </c>
      <c r="F10" s="16" t="s">
        <v>9</v>
      </c>
      <c r="G10" s="28"/>
    </row>
    <row r="11" spans="2:15" x14ac:dyDescent="0.25">
      <c r="B11" s="1" t="s">
        <v>12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</row>
    <row r="12" spans="2:15" x14ac:dyDescent="0.25">
      <c r="B12" s="2"/>
      <c r="C12" t="s">
        <v>19</v>
      </c>
      <c r="D12" s="2" t="s">
        <v>11</v>
      </c>
      <c r="E12" s="7">
        <v>1</v>
      </c>
      <c r="F12" s="3" t="s">
        <v>9</v>
      </c>
      <c r="G12" s="2"/>
      <c r="L12" s="29" t="s">
        <v>30</v>
      </c>
      <c r="M12" s="30" t="s">
        <v>11</v>
      </c>
      <c r="N12" s="31">
        <f>F22</f>
        <v>1.1967213114754098</v>
      </c>
      <c r="O12" s="32" t="s">
        <v>9</v>
      </c>
    </row>
    <row r="13" spans="2:15" x14ac:dyDescent="0.25">
      <c r="B13" s="2"/>
      <c r="C13" t="s">
        <v>7</v>
      </c>
      <c r="D13" s="2" t="s">
        <v>22</v>
      </c>
      <c r="E13" s="7">
        <f>E12/43*100</f>
        <v>2.3255813953488373</v>
      </c>
      <c r="F13" s="3" t="s">
        <v>9</v>
      </c>
      <c r="G13" s="2"/>
      <c r="L13" s="19" t="s">
        <v>20</v>
      </c>
      <c r="M13" s="14" t="s">
        <v>11</v>
      </c>
      <c r="N13" s="17">
        <f>E14</f>
        <v>1.092896174863388E-2</v>
      </c>
      <c r="O13" s="20" t="s">
        <v>9</v>
      </c>
    </row>
    <row r="14" spans="2:15" x14ac:dyDescent="0.25">
      <c r="B14" s="2"/>
      <c r="C14" t="s">
        <v>20</v>
      </c>
      <c r="D14" s="2" t="s">
        <v>11</v>
      </c>
      <c r="E14" s="4">
        <f>E12/F19*G19</f>
        <v>1.092896174863388E-2</v>
      </c>
      <c r="F14" s="3" t="s">
        <v>9</v>
      </c>
      <c r="G14" s="2"/>
      <c r="L14" s="33" t="s">
        <v>28</v>
      </c>
      <c r="M14" s="34" t="s">
        <v>11</v>
      </c>
      <c r="N14" s="35">
        <f>E15</f>
        <v>1.3382402141184342E-2</v>
      </c>
      <c r="O14" s="36" t="s">
        <v>9</v>
      </c>
    </row>
    <row r="15" spans="2:15" x14ac:dyDescent="0.25">
      <c r="C15" t="s">
        <v>28</v>
      </c>
      <c r="D15" s="3" t="s">
        <v>11</v>
      </c>
      <c r="E15">
        <f>E9*0.02</f>
        <v>1.3382402141184342E-2</v>
      </c>
      <c r="F15" s="3" t="s">
        <v>9</v>
      </c>
    </row>
    <row r="17" spans="2:12" x14ac:dyDescent="0.25">
      <c r="B17" s="5" t="s">
        <v>13</v>
      </c>
      <c r="C17" s="2"/>
      <c r="D17" s="2"/>
      <c r="E17" s="2"/>
      <c r="F17" s="2"/>
      <c r="G17" s="2"/>
    </row>
    <row r="18" spans="2:12" x14ac:dyDescent="0.25">
      <c r="B18" s="2"/>
      <c r="C18" s="2" t="s">
        <v>21</v>
      </c>
      <c r="D18" t="s">
        <v>18</v>
      </c>
      <c r="E18" s="6" t="s">
        <v>14</v>
      </c>
      <c r="F18" t="s">
        <v>19</v>
      </c>
      <c r="G18" t="s">
        <v>20</v>
      </c>
    </row>
    <row r="19" spans="2:12" x14ac:dyDescent="0.25">
      <c r="B19" s="2"/>
      <c r="C19" s="9">
        <f>2*60</f>
        <v>120</v>
      </c>
      <c r="D19" s="9">
        <v>65</v>
      </c>
      <c r="E19" s="9"/>
      <c r="F19" s="9">
        <f>C19+D19-G19</f>
        <v>183</v>
      </c>
      <c r="G19" s="9">
        <v>2</v>
      </c>
    </row>
    <row r="20" spans="2:12" x14ac:dyDescent="0.25">
      <c r="C20" t="s">
        <v>19</v>
      </c>
      <c r="D20" t="s">
        <v>29</v>
      </c>
      <c r="E20" s="6" t="s">
        <v>14</v>
      </c>
      <c r="F20" t="s">
        <v>30</v>
      </c>
    </row>
    <row r="21" spans="2:12" x14ac:dyDescent="0.25">
      <c r="C21">
        <v>183</v>
      </c>
      <c r="D21">
        <f>2*18</f>
        <v>36</v>
      </c>
      <c r="F21">
        <f>C21+D21</f>
        <v>219</v>
      </c>
    </row>
    <row r="22" spans="2:12" x14ac:dyDescent="0.25">
      <c r="C22" s="8">
        <v>1</v>
      </c>
      <c r="D22" s="8">
        <f>C22/C21*D21</f>
        <v>0.19672131147540983</v>
      </c>
      <c r="E22" s="8"/>
      <c r="F22" s="8">
        <f>C22/C21*F21</f>
        <v>1.1967213114754098</v>
      </c>
    </row>
    <row r="23" spans="2:12" x14ac:dyDescent="0.25">
      <c r="C23" s="8" t="s">
        <v>9</v>
      </c>
      <c r="D23" s="8" t="s">
        <v>9</v>
      </c>
      <c r="E23" s="8"/>
      <c r="F23" s="8" t="s">
        <v>9</v>
      </c>
    </row>
    <row r="25" spans="2:12" s="12" customFormat="1" x14ac:dyDescent="0.25"/>
    <row r="26" spans="2:12" x14ac:dyDescent="0.25">
      <c r="B26" s="5" t="s">
        <v>15</v>
      </c>
      <c r="C26" s="2" t="s">
        <v>16</v>
      </c>
      <c r="D26" s="2"/>
      <c r="E26" s="2"/>
      <c r="F26" s="2"/>
      <c r="G26" s="3"/>
    </row>
    <row r="27" spans="2:12" x14ac:dyDescent="0.25">
      <c r="D27" t="s">
        <v>23</v>
      </c>
      <c r="F27">
        <v>2260</v>
      </c>
      <c r="G27" t="s">
        <v>24</v>
      </c>
    </row>
    <row r="28" spans="2:12" x14ac:dyDescent="0.25">
      <c r="D28" s="2"/>
      <c r="E28" s="2"/>
      <c r="F28" s="2"/>
      <c r="G28" s="2"/>
    </row>
    <row r="29" spans="2:12" x14ac:dyDescent="0.25">
      <c r="D29" t="s">
        <v>31</v>
      </c>
      <c r="F29">
        <v>2260</v>
      </c>
      <c r="G29" t="s">
        <v>24</v>
      </c>
    </row>
    <row r="30" spans="2:12" x14ac:dyDescent="0.25">
      <c r="D30" t="s">
        <v>32</v>
      </c>
      <c r="F30">
        <f>E13-E12/1.735*1</f>
        <v>1.7492125192681458</v>
      </c>
      <c r="G30" t="s">
        <v>9</v>
      </c>
      <c r="H30">
        <f>E12/1.735*1</f>
        <v>0.57636887608069165</v>
      </c>
      <c r="I30" t="s">
        <v>9</v>
      </c>
      <c r="J30" t="s">
        <v>41</v>
      </c>
      <c r="K30">
        <f>D22</f>
        <v>0.19672131147540983</v>
      </c>
      <c r="L30" t="s">
        <v>9</v>
      </c>
    </row>
    <row r="32" spans="2:12" x14ac:dyDescent="0.25">
      <c r="D32" s="12" t="s">
        <v>33</v>
      </c>
      <c r="E32" s="12"/>
      <c r="F32" s="12">
        <v>4500</v>
      </c>
      <c r="G32" s="12" t="s">
        <v>34</v>
      </c>
      <c r="H32" s="12" t="s">
        <v>35</v>
      </c>
      <c r="I32" s="14"/>
      <c r="J32" s="14"/>
      <c r="K32" s="14"/>
    </row>
    <row r="34" spans="3:9" x14ac:dyDescent="0.25">
      <c r="D34" t="s">
        <v>25</v>
      </c>
      <c r="F34">
        <f>E5*F27/1000+F29*F30/1000+F32*(H30-D22)/1000</f>
        <v>10.91744828775815</v>
      </c>
      <c r="G34" t="s">
        <v>26</v>
      </c>
    </row>
    <row r="36" spans="3:9" x14ac:dyDescent="0.25">
      <c r="C36" t="s">
        <v>36</v>
      </c>
      <c r="D36" s="12" t="s">
        <v>37</v>
      </c>
      <c r="E36" s="12"/>
      <c r="F36" s="12">
        <v>5.9361111000000001E-2</v>
      </c>
      <c r="G36" s="12" t="s">
        <v>38</v>
      </c>
      <c r="H36" s="12" t="s">
        <v>39</v>
      </c>
      <c r="I36" s="14"/>
    </row>
    <row r="37" spans="3:9" x14ac:dyDescent="0.25">
      <c r="D37" s="12"/>
      <c r="E37" s="12"/>
      <c r="F37" s="12"/>
      <c r="G37" s="12"/>
      <c r="H37" s="12"/>
      <c r="I37" s="14"/>
    </row>
    <row r="38" spans="3:9" x14ac:dyDescent="0.25">
      <c r="D38" s="12" t="s">
        <v>25</v>
      </c>
      <c r="E38" s="12"/>
      <c r="F38" s="12">
        <f>(E12/1.735*1+E12)*F36</f>
        <v>9.3575007829971177E-2</v>
      </c>
      <c r="G38" s="12" t="s">
        <v>40</v>
      </c>
      <c r="H38" s="12"/>
      <c r="I38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N37"/>
  <sheetViews>
    <sheetView workbookViewId="0">
      <selection activeCell="K17" sqref="K17"/>
    </sheetView>
  </sheetViews>
  <sheetFormatPr defaultRowHeight="15" x14ac:dyDescent="0.25"/>
  <cols>
    <col min="2" max="2" width="28.5703125" customWidth="1"/>
    <col min="3" max="9" width="19.7109375" customWidth="1"/>
    <col min="10" max="12" width="16.85546875" customWidth="1"/>
  </cols>
  <sheetData>
    <row r="4" spans="2:14" x14ac:dyDescent="0.25">
      <c r="B4" s="13" t="s">
        <v>0</v>
      </c>
      <c r="C4" s="13" t="s">
        <v>1</v>
      </c>
      <c r="D4" s="13" t="s">
        <v>2</v>
      </c>
      <c r="E4" s="13" t="s">
        <v>3</v>
      </c>
      <c r="F4" s="13" t="s">
        <v>4</v>
      </c>
      <c r="G4" s="13" t="s">
        <v>5</v>
      </c>
    </row>
    <row r="5" spans="2:14" x14ac:dyDescent="0.25">
      <c r="B5" s="14"/>
      <c r="C5" s="14" t="s">
        <v>7</v>
      </c>
      <c r="D5" s="15" t="s">
        <v>8</v>
      </c>
      <c r="E5" s="14">
        <f>E10/121*100*1.2</f>
        <v>0.60696382603983201</v>
      </c>
      <c r="F5" s="14" t="s">
        <v>9</v>
      </c>
      <c r="G5" s="3" t="s">
        <v>48</v>
      </c>
      <c r="J5">
        <f>E5+E9+E10-E7-L12-L14-L15</f>
        <v>0</v>
      </c>
    </row>
    <row r="6" spans="2:14" x14ac:dyDescent="0.25">
      <c r="B6" s="13" t="s">
        <v>6</v>
      </c>
      <c r="C6" s="13" t="s">
        <v>1</v>
      </c>
      <c r="D6" s="13" t="s">
        <v>2</v>
      </c>
      <c r="E6" s="13" t="s">
        <v>3</v>
      </c>
      <c r="F6" s="13" t="s">
        <v>4</v>
      </c>
      <c r="G6" s="13" t="s">
        <v>5</v>
      </c>
    </row>
    <row r="7" spans="2:14" x14ac:dyDescent="0.25">
      <c r="B7" s="14"/>
      <c r="C7" s="3" t="s">
        <v>7</v>
      </c>
      <c r="D7" s="15"/>
      <c r="E7" s="65">
        <f>L12/5.61*1</f>
        <v>7.8898921714736558E-2</v>
      </c>
      <c r="F7" s="65" t="s">
        <v>9</v>
      </c>
      <c r="G7" s="14"/>
    </row>
    <row r="8" spans="2:14" x14ac:dyDescent="0.25">
      <c r="B8" s="13" t="s">
        <v>10</v>
      </c>
      <c r="C8" s="13" t="s">
        <v>1</v>
      </c>
      <c r="D8" s="13" t="s">
        <v>2</v>
      </c>
      <c r="E8" s="13" t="s">
        <v>3</v>
      </c>
      <c r="F8" s="13" t="s">
        <v>4</v>
      </c>
      <c r="G8" s="13" t="s">
        <v>5</v>
      </c>
    </row>
    <row r="9" spans="2:14" x14ac:dyDescent="0.25">
      <c r="B9" s="16"/>
      <c r="C9" s="14" t="s">
        <v>30</v>
      </c>
      <c r="D9" s="16" t="s">
        <v>11</v>
      </c>
      <c r="E9" s="16">
        <f>'ZnAc·2H2O pro'!N12</f>
        <v>1.1967213114754098</v>
      </c>
      <c r="F9" s="16" t="s">
        <v>9</v>
      </c>
      <c r="G9" s="16"/>
    </row>
    <row r="10" spans="2:14" s="39" customFormat="1" x14ac:dyDescent="0.25">
      <c r="B10" s="37"/>
      <c r="C10" s="38" t="s">
        <v>42</v>
      </c>
      <c r="D10" s="16" t="s">
        <v>11</v>
      </c>
      <c r="E10" s="37">
        <f>E9/C19*D19</f>
        <v>0.61202185792349728</v>
      </c>
      <c r="F10" s="16" t="s">
        <v>9</v>
      </c>
      <c r="G10" s="37"/>
    </row>
    <row r="11" spans="2:14" x14ac:dyDescent="0.25">
      <c r="B11" s="13" t="s">
        <v>12</v>
      </c>
      <c r="C11" s="13" t="s">
        <v>1</v>
      </c>
      <c r="D11" s="13" t="s">
        <v>2</v>
      </c>
      <c r="E11" s="13" t="s">
        <v>3</v>
      </c>
      <c r="F11" s="13" t="s">
        <v>4</v>
      </c>
      <c r="G11" s="13" t="s">
        <v>5</v>
      </c>
    </row>
    <row r="12" spans="2:14" x14ac:dyDescent="0.25">
      <c r="B12" s="14"/>
      <c r="C12" s="12" t="s">
        <v>45</v>
      </c>
      <c r="D12" s="14" t="s">
        <v>11</v>
      </c>
      <c r="E12" s="17">
        <f>E9/C19*G19</f>
        <v>0.44262295081967212</v>
      </c>
      <c r="F12" s="3" t="s">
        <v>9</v>
      </c>
      <c r="G12" s="14"/>
      <c r="I12" s="63" t="s">
        <v>53</v>
      </c>
      <c r="J12" s="64" t="s">
        <v>45</v>
      </c>
      <c r="K12" s="63" t="s">
        <v>11</v>
      </c>
      <c r="L12" s="63">
        <f>E12</f>
        <v>0.44262295081967212</v>
      </c>
      <c r="M12" s="63" t="s">
        <v>9</v>
      </c>
      <c r="N12" s="14"/>
    </row>
    <row r="13" spans="2:14" x14ac:dyDescent="0.25">
      <c r="C13" t="s">
        <v>47</v>
      </c>
      <c r="D13" s="14" t="s">
        <v>11</v>
      </c>
      <c r="E13">
        <f>E9/C19*F19</f>
        <v>1.0710382513661203</v>
      </c>
      <c r="F13" t="s">
        <v>9</v>
      </c>
      <c r="H13" s="6" t="s">
        <v>14</v>
      </c>
      <c r="I13" s="65"/>
      <c r="J13" s="65"/>
      <c r="K13" s="65"/>
      <c r="N13" s="12"/>
    </row>
    <row r="14" spans="2:14" x14ac:dyDescent="0.25">
      <c r="C14" t="s">
        <v>7</v>
      </c>
      <c r="D14" s="3" t="s">
        <v>11</v>
      </c>
      <c r="E14">
        <f>E5+E9/C19*H19</f>
        <v>0.90204579325294676</v>
      </c>
      <c r="F14" t="s">
        <v>9</v>
      </c>
      <c r="I14" s="64" t="s">
        <v>52</v>
      </c>
      <c r="J14" s="64" t="s">
        <v>47</v>
      </c>
      <c r="K14" s="63" t="s">
        <v>11</v>
      </c>
      <c r="L14" s="64">
        <f>E13</f>
        <v>1.0710382513661203</v>
      </c>
      <c r="M14" s="63" t="s">
        <v>9</v>
      </c>
      <c r="N14" s="12"/>
    </row>
    <row r="15" spans="2:14" s="12" customFormat="1" x14ac:dyDescent="0.25">
      <c r="I15" s="64"/>
      <c r="J15" s="64" t="s">
        <v>7</v>
      </c>
      <c r="K15" s="63" t="s">
        <v>11</v>
      </c>
      <c r="L15" s="64">
        <f>E14-E7</f>
        <v>0.8231468715382102</v>
      </c>
      <c r="M15" s="63" t="s">
        <v>9</v>
      </c>
    </row>
    <row r="16" spans="2:14" s="12" customFormat="1" x14ac:dyDescent="0.25"/>
    <row r="17" spans="2:12" x14ac:dyDescent="0.25">
      <c r="B17" s="5" t="s">
        <v>13</v>
      </c>
      <c r="C17" s="14"/>
      <c r="D17" s="14"/>
      <c r="E17" s="14"/>
      <c r="F17" s="14"/>
      <c r="G17" s="14"/>
    </row>
    <row r="18" spans="2:12" x14ac:dyDescent="0.25">
      <c r="B18" s="14"/>
      <c r="C18" s="14" t="s">
        <v>30</v>
      </c>
      <c r="D18" s="12" t="s">
        <v>43</v>
      </c>
      <c r="E18" s="6" t="s">
        <v>14</v>
      </c>
      <c r="F18" s="12" t="s">
        <v>44</v>
      </c>
      <c r="G18" s="12" t="s">
        <v>45</v>
      </c>
      <c r="H18" t="s">
        <v>46</v>
      </c>
    </row>
    <row r="19" spans="2:12" x14ac:dyDescent="0.25">
      <c r="C19">
        <v>219</v>
      </c>
      <c r="D19">
        <f>2*56</f>
        <v>112</v>
      </c>
      <c r="F19">
        <f>C19+D19-G19-H19</f>
        <v>196</v>
      </c>
      <c r="G19">
        <f>65+16</f>
        <v>81</v>
      </c>
      <c r="H19">
        <f>3*18</f>
        <v>54</v>
      </c>
    </row>
    <row r="21" spans="2:12" x14ac:dyDescent="0.25">
      <c r="B21" s="40" t="s">
        <v>49</v>
      </c>
    </row>
    <row r="22" spans="2:12" x14ac:dyDescent="0.25">
      <c r="B22" t="s">
        <v>50</v>
      </c>
      <c r="C22">
        <v>268.60000000000002</v>
      </c>
      <c r="D22" t="s">
        <v>51</v>
      </c>
      <c r="E22" t="s">
        <v>47</v>
      </c>
      <c r="F22">
        <v>100</v>
      </c>
      <c r="G22" t="s">
        <v>51</v>
      </c>
      <c r="H22" t="s">
        <v>7</v>
      </c>
    </row>
    <row r="25" spans="2:12" x14ac:dyDescent="0.25">
      <c r="B25" s="5" t="s">
        <v>15</v>
      </c>
      <c r="C25" s="14" t="s">
        <v>16</v>
      </c>
      <c r="D25" s="14"/>
      <c r="E25" s="14"/>
      <c r="F25" s="14"/>
      <c r="G25" s="3"/>
      <c r="H25" s="12"/>
      <c r="I25" s="12"/>
      <c r="J25" s="12"/>
      <c r="K25" s="12"/>
      <c r="L25" s="12"/>
    </row>
    <row r="26" spans="2:12" x14ac:dyDescent="0.25">
      <c r="B26" s="12"/>
      <c r="C26" s="12"/>
      <c r="D26" s="12" t="s">
        <v>23</v>
      </c>
      <c r="E26" s="12"/>
      <c r="F26" s="12">
        <v>2260</v>
      </c>
      <c r="G26" s="12" t="s">
        <v>24</v>
      </c>
      <c r="H26" s="12"/>
      <c r="I26" s="12"/>
      <c r="J26" s="12"/>
      <c r="K26" s="12"/>
      <c r="L26" s="12"/>
    </row>
    <row r="27" spans="2:12" x14ac:dyDescent="0.25">
      <c r="B27" s="12"/>
      <c r="C27" s="12"/>
      <c r="D27" s="14"/>
      <c r="E27" s="14"/>
      <c r="F27" s="14"/>
      <c r="G27" s="14"/>
      <c r="H27" s="12"/>
      <c r="I27" s="12"/>
      <c r="J27" s="12"/>
      <c r="K27" s="12"/>
      <c r="L27" s="12"/>
    </row>
    <row r="28" spans="2:12" x14ac:dyDescent="0.25">
      <c r="B28" s="12"/>
      <c r="C28" s="12"/>
      <c r="D28" s="12" t="s">
        <v>33</v>
      </c>
      <c r="E28" s="12"/>
      <c r="F28" s="12">
        <v>4500</v>
      </c>
      <c r="G28" s="12" t="s">
        <v>34</v>
      </c>
      <c r="H28" s="12" t="s">
        <v>35</v>
      </c>
      <c r="I28" s="14"/>
      <c r="J28" s="14"/>
      <c r="K28" s="14"/>
      <c r="L28" s="12"/>
    </row>
    <row r="29" spans="2:12" x14ac:dyDescent="0.25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</row>
    <row r="30" spans="2:12" x14ac:dyDescent="0.25">
      <c r="B30" s="12"/>
      <c r="C30" s="12"/>
      <c r="D30" s="12" t="s">
        <v>25</v>
      </c>
      <c r="E30" s="12"/>
      <c r="F30" s="12">
        <f>E5*F26/1000+F28*E7/1000</f>
        <v>1.7267833945663349</v>
      </c>
      <c r="G30" s="12" t="s">
        <v>26</v>
      </c>
      <c r="H30" s="12"/>
      <c r="I30" s="12"/>
      <c r="J30" s="12"/>
      <c r="K30" s="12"/>
      <c r="L30" s="12"/>
    </row>
    <row r="31" spans="2:12" x14ac:dyDescent="0.25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</row>
    <row r="32" spans="2:12" x14ac:dyDescent="0.25">
      <c r="B32" s="12"/>
      <c r="C32" s="12" t="s">
        <v>36</v>
      </c>
      <c r="D32" s="12" t="s">
        <v>37</v>
      </c>
      <c r="E32" s="12"/>
      <c r="F32" s="12">
        <v>5.9361111000000001E-2</v>
      </c>
      <c r="G32" s="12" t="s">
        <v>38</v>
      </c>
      <c r="H32" s="12" t="s">
        <v>39</v>
      </c>
      <c r="I32" s="14"/>
      <c r="J32" s="12"/>
      <c r="K32" s="12"/>
      <c r="L32" s="12"/>
    </row>
    <row r="33" spans="2:12" x14ac:dyDescent="0.25">
      <c r="B33" s="12"/>
      <c r="C33" s="12"/>
      <c r="D33" s="12"/>
      <c r="E33" s="12"/>
      <c r="F33" s="12"/>
      <c r="G33" s="12"/>
      <c r="H33" s="12"/>
      <c r="I33" s="14"/>
      <c r="J33" s="12"/>
      <c r="K33" s="12"/>
      <c r="L33" s="12"/>
    </row>
    <row r="34" spans="2:12" x14ac:dyDescent="0.25">
      <c r="B34" s="12"/>
      <c r="C34" s="12"/>
      <c r="D34" t="s">
        <v>54</v>
      </c>
      <c r="F34">
        <v>10</v>
      </c>
      <c r="G34" t="s">
        <v>55</v>
      </c>
      <c r="H34" s="12"/>
      <c r="I34" s="14"/>
      <c r="J34" s="12"/>
      <c r="K34" s="12"/>
      <c r="L34" s="12"/>
    </row>
    <row r="35" spans="2:12" x14ac:dyDescent="0.25">
      <c r="D35" s="12" t="s">
        <v>56</v>
      </c>
      <c r="E35" s="12"/>
      <c r="F35" s="12">
        <v>2</v>
      </c>
      <c r="G35" s="12" t="s">
        <v>57</v>
      </c>
    </row>
    <row r="36" spans="2:12" s="12" customFormat="1" x14ac:dyDescent="0.25"/>
    <row r="37" spans="2:12" x14ac:dyDescent="0.25">
      <c r="D37" s="12" t="s">
        <v>25</v>
      </c>
      <c r="E37" s="12"/>
      <c r="F37" s="42">
        <f>F32*(L12+E7)+F34/1000*F35</f>
        <v>5.0958117764442881E-2</v>
      </c>
      <c r="G37" s="12" t="s">
        <v>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L26"/>
  <sheetViews>
    <sheetView workbookViewId="0">
      <selection activeCell="F9" sqref="F9"/>
    </sheetView>
  </sheetViews>
  <sheetFormatPr defaultRowHeight="15" x14ac:dyDescent="0.25"/>
  <cols>
    <col min="2" max="2" width="28.5703125" customWidth="1"/>
    <col min="3" max="8" width="21.28515625" customWidth="1"/>
  </cols>
  <sheetData>
    <row r="4" spans="2:12" x14ac:dyDescent="0.25">
      <c r="B4" s="13" t="s">
        <v>0</v>
      </c>
      <c r="C4" s="13" t="s">
        <v>1</v>
      </c>
      <c r="D4" s="13" t="s">
        <v>2</v>
      </c>
      <c r="E4" s="13" t="s">
        <v>3</v>
      </c>
      <c r="F4" s="13" t="s">
        <v>4</v>
      </c>
      <c r="G4" s="13" t="s">
        <v>5</v>
      </c>
    </row>
    <row r="5" spans="2:12" x14ac:dyDescent="0.25">
      <c r="B5" s="14"/>
      <c r="G5" s="3"/>
    </row>
    <row r="6" spans="2:12" x14ac:dyDescent="0.25">
      <c r="B6" s="13" t="s">
        <v>6</v>
      </c>
      <c r="C6" s="13" t="s">
        <v>1</v>
      </c>
      <c r="D6" s="13" t="s">
        <v>2</v>
      </c>
      <c r="E6" s="13" t="s">
        <v>3</v>
      </c>
      <c r="F6" s="13" t="s">
        <v>4</v>
      </c>
      <c r="G6" s="13" t="s">
        <v>5</v>
      </c>
    </row>
    <row r="7" spans="2:12" x14ac:dyDescent="0.25">
      <c r="B7" s="14"/>
      <c r="C7" s="14" t="s">
        <v>7</v>
      </c>
      <c r="D7" s="15" t="s">
        <v>8</v>
      </c>
      <c r="E7" s="14">
        <f>E10</f>
        <v>0.8231468715382102</v>
      </c>
      <c r="F7" s="14" t="s">
        <v>9</v>
      </c>
      <c r="G7" s="14"/>
    </row>
    <row r="8" spans="2:12" x14ac:dyDescent="0.25">
      <c r="B8" s="13" t="s">
        <v>10</v>
      </c>
      <c r="C8" s="13" t="s">
        <v>1</v>
      </c>
      <c r="D8" s="13" t="s">
        <v>2</v>
      </c>
      <c r="E8" s="13" t="s">
        <v>3</v>
      </c>
      <c r="F8" s="13" t="s">
        <v>4</v>
      </c>
      <c r="G8" s="13" t="s">
        <v>5</v>
      </c>
    </row>
    <row r="9" spans="2:12" x14ac:dyDescent="0.25">
      <c r="B9" s="16" t="str">
        <f>'ZnO nanoparticles'!I14</f>
        <v>solution</v>
      </c>
      <c r="C9" s="14" t="str">
        <f>'ZnO nanoparticles'!J14</f>
        <v>KAc</v>
      </c>
      <c r="D9" s="16" t="str">
        <f>'ZnO nanoparticles'!K14</f>
        <v>product</v>
      </c>
      <c r="E9" s="16">
        <f>'ZnO nanoparticles'!L14</f>
        <v>1.0710382513661203</v>
      </c>
      <c r="F9" s="16" t="str">
        <f>'ZnO nanoparticles'!M14</f>
        <v>kg</v>
      </c>
      <c r="G9" s="16"/>
    </row>
    <row r="10" spans="2:12" x14ac:dyDescent="0.25">
      <c r="B10" s="37"/>
      <c r="C10" s="38" t="str">
        <f>'ZnO nanoparticles'!J15</f>
        <v>H2O</v>
      </c>
      <c r="D10" s="37" t="str">
        <f>'ZnO nanoparticles'!K15</f>
        <v>product</v>
      </c>
      <c r="E10" s="37">
        <f>'ZnO nanoparticles'!L15</f>
        <v>0.8231468715382102</v>
      </c>
      <c r="F10" s="37" t="str">
        <f>'ZnO nanoparticles'!M15</f>
        <v>kg</v>
      </c>
      <c r="G10" s="37"/>
    </row>
    <row r="11" spans="2:12" x14ac:dyDescent="0.25">
      <c r="B11" s="13" t="s">
        <v>12</v>
      </c>
      <c r="C11" s="13" t="s">
        <v>1</v>
      </c>
      <c r="D11" s="13" t="s">
        <v>2</v>
      </c>
      <c r="E11" s="13" t="s">
        <v>3</v>
      </c>
      <c r="F11" s="13" t="s">
        <v>4</v>
      </c>
      <c r="G11" s="13" t="s">
        <v>5</v>
      </c>
    </row>
    <row r="12" spans="2:12" x14ac:dyDescent="0.25">
      <c r="B12" s="12"/>
      <c r="C12" s="12" t="s">
        <v>47</v>
      </c>
      <c r="D12" s="14" t="s">
        <v>11</v>
      </c>
      <c r="E12" s="12">
        <f>E9</f>
        <v>1.0710382513661203</v>
      </c>
      <c r="F12" s="12" t="s">
        <v>9</v>
      </c>
      <c r="G12" s="12"/>
    </row>
    <row r="15" spans="2:12" x14ac:dyDescent="0.25">
      <c r="B15" s="5" t="s">
        <v>15</v>
      </c>
      <c r="C15" s="14" t="s">
        <v>16</v>
      </c>
      <c r="D15" s="14"/>
      <c r="E15" s="14"/>
      <c r="F15" s="14"/>
      <c r="G15" s="3"/>
      <c r="H15" s="12"/>
      <c r="I15" s="12"/>
      <c r="J15" s="12"/>
      <c r="K15" s="12"/>
      <c r="L15" s="12"/>
    </row>
    <row r="16" spans="2:12" x14ac:dyDescent="0.25">
      <c r="B16" s="12"/>
      <c r="C16" s="12"/>
      <c r="D16" s="12" t="s">
        <v>31</v>
      </c>
      <c r="E16" s="12"/>
      <c r="F16" s="12">
        <v>2260</v>
      </c>
      <c r="G16" s="12" t="s">
        <v>24</v>
      </c>
      <c r="H16" s="12"/>
      <c r="I16" s="12"/>
      <c r="J16" s="12"/>
      <c r="K16" s="12"/>
      <c r="L16" s="12"/>
    </row>
    <row r="17" spans="2:12" x14ac:dyDescent="0.25">
      <c r="B17" s="12"/>
      <c r="C17" s="12"/>
      <c r="D17" s="12" t="s">
        <v>32</v>
      </c>
      <c r="E17" s="12"/>
      <c r="F17" s="12">
        <f>E7-F20</f>
        <v>0.14095690251520365</v>
      </c>
      <c r="G17" s="12" t="s">
        <v>9</v>
      </c>
      <c r="H17" s="12"/>
      <c r="I17" s="12"/>
      <c r="J17" s="12"/>
      <c r="K17" s="12"/>
      <c r="L17" s="12"/>
    </row>
    <row r="18" spans="2:12" x14ac:dyDescent="0.2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2:12" x14ac:dyDescent="0.25">
      <c r="B19" s="12"/>
      <c r="C19" s="12"/>
      <c r="D19" s="12" t="s">
        <v>33</v>
      </c>
      <c r="E19" s="12"/>
      <c r="F19" s="12">
        <v>4500</v>
      </c>
      <c r="G19" s="12" t="s">
        <v>34</v>
      </c>
      <c r="H19" s="12" t="s">
        <v>35</v>
      </c>
      <c r="I19" s="14"/>
      <c r="J19" s="14"/>
      <c r="K19" s="14"/>
      <c r="L19" s="12"/>
    </row>
    <row r="20" spans="2:12" s="12" customFormat="1" x14ac:dyDescent="0.25">
      <c r="D20" s="12" t="s">
        <v>58</v>
      </c>
      <c r="F20" s="12">
        <f>E12/1.57*1</f>
        <v>0.68218996902300655</v>
      </c>
      <c r="G20" s="12" t="s">
        <v>9</v>
      </c>
      <c r="I20" s="14"/>
      <c r="J20" s="14"/>
      <c r="K20" s="14"/>
    </row>
    <row r="21" spans="2:12" x14ac:dyDescent="0.2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2:12" x14ac:dyDescent="0.25">
      <c r="B22" s="12"/>
      <c r="C22" s="12"/>
      <c r="D22" s="12" t="s">
        <v>25</v>
      </c>
      <c r="E22" s="12"/>
      <c r="F22" s="12">
        <f>F16*F17/1000+F19*F20/1000</f>
        <v>3.38841746028789</v>
      </c>
      <c r="G22" s="12" t="s">
        <v>26</v>
      </c>
      <c r="H22" s="12"/>
      <c r="I22" s="12"/>
      <c r="J22" s="12"/>
      <c r="K22" s="12"/>
      <c r="L22" s="12"/>
    </row>
    <row r="23" spans="2:12" x14ac:dyDescent="0.25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</row>
    <row r="24" spans="2:12" x14ac:dyDescent="0.25">
      <c r="B24" s="12"/>
      <c r="C24" s="12" t="s">
        <v>36</v>
      </c>
      <c r="D24" s="12" t="s">
        <v>37</v>
      </c>
      <c r="E24" s="12"/>
      <c r="F24" s="12">
        <v>5.9361111000000001E-2</v>
      </c>
      <c r="G24" s="12" t="s">
        <v>38</v>
      </c>
      <c r="H24" s="12" t="s">
        <v>39</v>
      </c>
      <c r="I24" s="14"/>
      <c r="J24" s="12"/>
      <c r="K24" s="12"/>
      <c r="L24" s="12"/>
    </row>
    <row r="25" spans="2:12" x14ac:dyDescent="0.25">
      <c r="B25" s="12"/>
      <c r="C25" s="12"/>
      <c r="D25" s="12"/>
      <c r="E25" s="12"/>
      <c r="F25" s="12"/>
      <c r="G25" s="12"/>
      <c r="H25" s="12"/>
      <c r="I25" s="14"/>
      <c r="J25" s="12"/>
      <c r="K25" s="12"/>
      <c r="L25" s="12"/>
    </row>
    <row r="26" spans="2:12" x14ac:dyDescent="0.25">
      <c r="B26" s="12"/>
      <c r="C26" s="12"/>
      <c r="D26" s="12" t="s">
        <v>25</v>
      </c>
      <c r="E26" s="12"/>
      <c r="F26" s="12">
        <f>F24*(F20+E12)</f>
        <v>0.10407357499885143</v>
      </c>
      <c r="G26" s="12" t="s">
        <v>40</v>
      </c>
      <c r="H26" s="12"/>
      <c r="I26" s="14"/>
      <c r="J26" s="12"/>
      <c r="K26" s="12"/>
      <c r="L26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G8"/>
  <sheetViews>
    <sheetView workbookViewId="0">
      <selection activeCell="F5" sqref="F5"/>
    </sheetView>
  </sheetViews>
  <sheetFormatPr defaultRowHeight="15" x14ac:dyDescent="0.25"/>
  <cols>
    <col min="2" max="2" width="28" customWidth="1"/>
    <col min="3" max="8" width="20.140625" customWidth="1"/>
  </cols>
  <sheetData>
    <row r="4" spans="2:7" x14ac:dyDescent="0.25">
      <c r="B4" s="13" t="s">
        <v>10</v>
      </c>
      <c r="C4" s="13" t="s">
        <v>1</v>
      </c>
      <c r="D4" s="13" t="s">
        <v>2</v>
      </c>
      <c r="E4" s="13" t="s">
        <v>3</v>
      </c>
      <c r="F4" s="13" t="s">
        <v>4</v>
      </c>
      <c r="G4" s="13" t="s">
        <v>5</v>
      </c>
    </row>
    <row r="5" spans="2:7" x14ac:dyDescent="0.25">
      <c r="B5" s="12"/>
      <c r="C5" s="12" t="str">
        <f>'ZnO nanoparticles'!C12</f>
        <v>ZnO</v>
      </c>
      <c r="D5" s="14" t="str">
        <f>'ZnO nanoparticles'!D12</f>
        <v>product</v>
      </c>
      <c r="E5" s="12">
        <f>'ZnO nanoparticles'!E12</f>
        <v>0.44262295081967212</v>
      </c>
      <c r="F5" s="12" t="str">
        <f>'ZnO nanoparticles'!F12</f>
        <v>kg</v>
      </c>
      <c r="G5" s="16"/>
    </row>
    <row r="6" spans="2:7" x14ac:dyDescent="0.25">
      <c r="B6" s="37"/>
      <c r="C6" s="38" t="s">
        <v>59</v>
      </c>
      <c r="D6" s="37" t="s">
        <v>11</v>
      </c>
      <c r="E6" s="37">
        <f>E5/0.02*0.98</f>
        <v>21.688524590163933</v>
      </c>
      <c r="F6" s="37" t="s">
        <v>9</v>
      </c>
      <c r="G6" s="37"/>
    </row>
    <row r="7" spans="2:7" x14ac:dyDescent="0.25">
      <c r="B7" s="13" t="s">
        <v>12</v>
      </c>
      <c r="C7" s="13" t="s">
        <v>1</v>
      </c>
      <c r="D7" s="13" t="s">
        <v>2</v>
      </c>
      <c r="E7" s="13" t="s">
        <v>3</v>
      </c>
      <c r="F7" s="13" t="s">
        <v>4</v>
      </c>
      <c r="G7" s="13" t="s">
        <v>5</v>
      </c>
    </row>
    <row r="8" spans="2:7" x14ac:dyDescent="0.25">
      <c r="C8" t="s">
        <v>60</v>
      </c>
      <c r="D8" s="41" t="s">
        <v>11</v>
      </c>
      <c r="E8">
        <f>E5+E6</f>
        <v>22.131147540983605</v>
      </c>
      <c r="F8" s="41" t="s">
        <v>9</v>
      </c>
      <c r="G8" s="12">
        <f>E5/E8</f>
        <v>0.02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AM25"/>
  <sheetViews>
    <sheetView tabSelected="1" topLeftCell="F1" workbookViewId="0">
      <selection activeCell="T8" sqref="T8"/>
    </sheetView>
  </sheetViews>
  <sheetFormatPr defaultRowHeight="15" x14ac:dyDescent="0.25"/>
  <cols>
    <col min="14" max="14" width="10" style="45" bestFit="1" customWidth="1"/>
    <col min="17" max="17" width="26.5703125" style="45" customWidth="1"/>
    <col min="18" max="18" width="32.5703125" style="45" customWidth="1"/>
    <col min="19" max="39" width="18.42578125" customWidth="1"/>
  </cols>
  <sheetData>
    <row r="3" spans="2:39" ht="15.75" thickBot="1" x14ac:dyDescent="0.3"/>
    <row r="4" spans="2:39" x14ac:dyDescent="0.25">
      <c r="D4" t="s">
        <v>3</v>
      </c>
      <c r="E4" t="s">
        <v>4</v>
      </c>
      <c r="I4" t="str">
        <f t="shared" ref="I4" si="0">D4</f>
        <v>Value</v>
      </c>
      <c r="J4" t="str">
        <f t="shared" ref="J4" si="1">E4</f>
        <v>Unit</v>
      </c>
      <c r="L4" s="46"/>
      <c r="M4" s="47"/>
      <c r="N4" s="48" t="str">
        <f t="shared" ref="N4" si="2">I4</f>
        <v>Value</v>
      </c>
      <c r="O4" s="49" t="str">
        <f t="shared" ref="O4" si="3">J4</f>
        <v>Unit</v>
      </c>
      <c r="S4" s="68" t="s">
        <v>69</v>
      </c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9" t="s">
        <v>70</v>
      </c>
      <c r="AL4" s="69"/>
      <c r="AM4" s="69"/>
    </row>
    <row r="5" spans="2:39" x14ac:dyDescent="0.25">
      <c r="B5" t="s">
        <v>62</v>
      </c>
      <c r="G5" t="str">
        <f t="shared" ref="G5" si="4">B5</f>
        <v>process input</v>
      </c>
      <c r="L5" s="50" t="str">
        <f t="shared" ref="L5:L6" si="5">G5</f>
        <v>process input</v>
      </c>
      <c r="M5" s="14"/>
      <c r="N5" s="51"/>
      <c r="O5" s="52"/>
      <c r="Q5" s="45" t="s">
        <v>66</v>
      </c>
      <c r="R5" s="45" t="s">
        <v>67</v>
      </c>
      <c r="S5" s="66" t="s">
        <v>71</v>
      </c>
      <c r="T5" s="66" t="s">
        <v>72</v>
      </c>
      <c r="U5" s="66" t="s">
        <v>73</v>
      </c>
      <c r="V5" s="66" t="s">
        <v>74</v>
      </c>
      <c r="W5" s="66" t="s">
        <v>75</v>
      </c>
      <c r="X5" s="66" t="s">
        <v>76</v>
      </c>
      <c r="Y5" s="66" t="s">
        <v>77</v>
      </c>
      <c r="Z5" s="66" t="s">
        <v>78</v>
      </c>
      <c r="AA5" s="66" t="s">
        <v>79</v>
      </c>
      <c r="AB5" s="66" t="s">
        <v>80</v>
      </c>
      <c r="AC5" s="66" t="s">
        <v>81</v>
      </c>
      <c r="AD5" s="66" t="s">
        <v>82</v>
      </c>
      <c r="AE5" s="66" t="s">
        <v>83</v>
      </c>
      <c r="AF5" s="66" t="s">
        <v>84</v>
      </c>
      <c r="AG5" s="66" t="s">
        <v>85</v>
      </c>
      <c r="AH5" s="66" t="s">
        <v>86</v>
      </c>
      <c r="AI5" s="66" t="s">
        <v>87</v>
      </c>
      <c r="AJ5" s="66" t="s">
        <v>88</v>
      </c>
      <c r="AK5" s="67" t="s">
        <v>89</v>
      </c>
      <c r="AL5" s="67" t="s">
        <v>90</v>
      </c>
      <c r="AM5" s="67" t="s">
        <v>91</v>
      </c>
    </row>
    <row r="6" spans="2:39" x14ac:dyDescent="0.25">
      <c r="B6" s="43" t="s">
        <v>45</v>
      </c>
      <c r="D6">
        <f>D9/'ZnO redisperse'!E8*'ZnO redisperse'!E5</f>
        <v>0.02</v>
      </c>
      <c r="E6" t="s">
        <v>9</v>
      </c>
      <c r="G6" t="str">
        <f>B7</f>
        <v>chlorobenzene</v>
      </c>
      <c r="I6">
        <f>D7</f>
        <v>0.98</v>
      </c>
      <c r="J6" t="s">
        <v>9</v>
      </c>
      <c r="L6" s="53" t="str">
        <f t="shared" si="5"/>
        <v>chlorobenzene</v>
      </c>
      <c r="M6" s="14"/>
      <c r="N6" s="51">
        <f>I6</f>
        <v>0.98</v>
      </c>
      <c r="O6" s="52" t="s">
        <v>9</v>
      </c>
      <c r="Q6" s="45">
        <f>N6*[1]production!$D$34</f>
        <v>3.1778460000000002</v>
      </c>
      <c r="R6" s="45">
        <f>$N6*[1]production!M34</f>
        <v>76.933397954</v>
      </c>
      <c r="S6" s="45">
        <f>$N6*[1]production!N34</f>
        <v>0.112259</v>
      </c>
      <c r="T6" s="45">
        <f>$N6*[1]production!O34</f>
        <v>2.7035260000000001</v>
      </c>
      <c r="U6" s="45">
        <f>$N6*[1]production!P34</f>
        <v>1.6991240000000001</v>
      </c>
      <c r="V6" s="45">
        <f>$N6*[1]production!Q34</f>
        <v>9.8891800000000002E-2</v>
      </c>
      <c r="W6" s="45">
        <f>$N6*[1]production!R34</f>
        <v>1.2985E-3</v>
      </c>
      <c r="X6" s="45">
        <f>$N6*[1]production!S34</f>
        <v>49.391999999999996</v>
      </c>
      <c r="Y6" s="45">
        <f>$N6*[1]production!T34</f>
        <v>0.15209600000000001</v>
      </c>
      <c r="Z6" s="45">
        <f>$N6*[1]production!U34</f>
        <v>40.2241</v>
      </c>
      <c r="AA6" s="45">
        <f>$N6*[1]production!V34</f>
        <v>2.6763799999999999E-3</v>
      </c>
      <c r="AB6" s="45">
        <f>$N6*[1]production!W34</f>
        <v>0.12990880000000002</v>
      </c>
      <c r="AC6" s="45">
        <f>$N6*[1]production!X34</f>
        <v>2.4877300000000004E-4</v>
      </c>
      <c r="AD6" s="45">
        <f>$N6*[1]production!Y34</f>
        <v>6.9694660000000001E-7</v>
      </c>
      <c r="AE6" s="45">
        <f>$N6*[1]production!Z34</f>
        <v>8.1020519999999985E-3</v>
      </c>
      <c r="AF6" s="45">
        <f>$N6*[1]production!AA34</f>
        <v>2.1507080000000001E-2</v>
      </c>
      <c r="AG6" s="45">
        <f>$N6*[1]production!AB34</f>
        <v>1.44893E-2</v>
      </c>
      <c r="AH6" s="45">
        <f>$N6*[1]production!AC34</f>
        <v>1.8662139999999999E-3</v>
      </c>
      <c r="AI6" s="45">
        <f>$N6*[1]production!AD34</f>
        <v>2.6484500000000001E-2</v>
      </c>
      <c r="AJ6" s="45">
        <f>$N6*[1]production!AE34</f>
        <v>8.2989339999999991E-3</v>
      </c>
      <c r="AK6" s="45">
        <f>$N6*[1]production!AF34</f>
        <v>0.1208438</v>
      </c>
      <c r="AL6" s="45">
        <f>$N6*[1]production!AG34</f>
        <v>0.4511136</v>
      </c>
      <c r="AM6" s="45">
        <f>$N6*[1]production!AH34</f>
        <v>0.20976899999999998</v>
      </c>
    </row>
    <row r="7" spans="2:39" x14ac:dyDescent="0.25">
      <c r="B7" t="s">
        <v>59</v>
      </c>
      <c r="D7">
        <f>D9/'ZnO redisperse'!E8*'ZnO redisperse'!E6</f>
        <v>0.98</v>
      </c>
      <c r="E7" t="s">
        <v>9</v>
      </c>
      <c r="G7" s="44" t="s">
        <v>30</v>
      </c>
      <c r="I7">
        <f>D6/'ZnO nanoparticles'!E12*'ZnO nanoparticles'!E9</f>
        <v>5.407407407407408E-2</v>
      </c>
      <c r="J7" t="s">
        <v>9</v>
      </c>
      <c r="L7" s="53" t="str">
        <f>G8</f>
        <v>KOH</v>
      </c>
      <c r="M7" s="14"/>
      <c r="N7" s="51">
        <f>I8</f>
        <v>2.7654320987654323E-2</v>
      </c>
      <c r="O7" s="52" t="s">
        <v>9</v>
      </c>
      <c r="Q7" s="45">
        <f>N7*[1]production!$D$27</f>
        <v>6.5394172839506173E-2</v>
      </c>
      <c r="R7" s="45">
        <f>$N7*[1]production!M27</f>
        <v>0.88635916389135805</v>
      </c>
      <c r="S7" s="45">
        <f>$N7*[1]production!N27</f>
        <v>3.5983802469135807E-3</v>
      </c>
      <c r="T7" s="45">
        <f>$N7*[1]production!O27</f>
        <v>6.034725925925926E-2</v>
      </c>
      <c r="U7" s="45">
        <f>$N7*[1]production!P27</f>
        <v>1.7740523456790124E-2</v>
      </c>
      <c r="V7" s="45">
        <f>$N7*[1]production!Q27</f>
        <v>8.2180345679012349E-4</v>
      </c>
      <c r="W7" s="45">
        <f>$N7*[1]production!R27</f>
        <v>3.0035358024691358E-5</v>
      </c>
      <c r="X7" s="45">
        <f>$N7*[1]production!S27</f>
        <v>1.2421491358024692</v>
      </c>
      <c r="Y7" s="45">
        <f>$N7*[1]production!T27</f>
        <v>5.0889481481481485E-3</v>
      </c>
      <c r="Z7" s="45">
        <f>$N7*[1]production!U27</f>
        <v>0.97473185185185185</v>
      </c>
      <c r="AA7" s="45">
        <f>$N7*[1]production!V27</f>
        <v>5.8961777777777784E-5</v>
      </c>
      <c r="AB7" s="45">
        <f>$N7*[1]production!W27</f>
        <v>3.0253827160493826E-3</v>
      </c>
      <c r="AC7" s="45">
        <f>$N7*[1]production!X27</f>
        <v>5.2700839506172848E-6</v>
      </c>
      <c r="AD7" s="45">
        <f>$N7*[1]production!Y27</f>
        <v>3.6578370370370373E-9</v>
      </c>
      <c r="AE7" s="45">
        <f>$N7*[1]production!Z27</f>
        <v>1.8838676543209878E-4</v>
      </c>
      <c r="AF7" s="45">
        <f>$N7*[1]production!AA27</f>
        <v>1.7187437037037039E-4</v>
      </c>
      <c r="AG7" s="45">
        <f>$N7*[1]production!AB27</f>
        <v>3.3840592592592595E-4</v>
      </c>
      <c r="AH7" s="45">
        <f>$N7*[1]production!AC27</f>
        <v>3.5378172839506175E-5</v>
      </c>
      <c r="AI7" s="45">
        <f>$N7*[1]production!AD27</f>
        <v>8.2011654320987657E-4</v>
      </c>
      <c r="AJ7" s="45">
        <f>$N7*[1]production!AE27</f>
        <v>3.1354469135802472E-4</v>
      </c>
      <c r="AK7" s="45">
        <f>$N7*[1]production!AF27</f>
        <v>2.7559743209876544E-3</v>
      </c>
      <c r="AL7" s="45">
        <f>$N7*[1]production!AG27</f>
        <v>1.0988720987654322E-2</v>
      </c>
      <c r="AM7" s="45">
        <f>$N7*[1]production!AH27</f>
        <v>2.2677925925925924E-3</v>
      </c>
    </row>
    <row r="8" spans="2:39" x14ac:dyDescent="0.25">
      <c r="B8" t="s">
        <v>64</v>
      </c>
      <c r="G8" s="38" t="s">
        <v>42</v>
      </c>
      <c r="I8">
        <f>D6/'ZnO nanoparticles'!E12*'ZnO nanoparticles'!E10</f>
        <v>2.7654320987654323E-2</v>
      </c>
      <c r="J8" t="s">
        <v>9</v>
      </c>
      <c r="L8" s="53" t="str">
        <f>G9</f>
        <v>H2O</v>
      </c>
      <c r="M8" s="14"/>
      <c r="N8" s="51">
        <f>I9+I7/'ZnAc·2H2O pro'!N12*'ZnAc·2H2O pro'!E5</f>
        <v>0.13250759889237693</v>
      </c>
      <c r="O8" s="52" t="s">
        <v>9</v>
      </c>
      <c r="Q8" s="45">
        <f>N8*[1]production!$D$74</f>
        <v>2.3092099258974528E-4</v>
      </c>
      <c r="R8" s="45">
        <f>$N$8*[1]production!M74</f>
        <v>3.1772178021082431E-3</v>
      </c>
      <c r="S8" s="45">
        <f>$N$8*[1]production!N74</f>
        <v>1.0630554628739831E-5</v>
      </c>
      <c r="T8" s="45">
        <f>$N$8*[1]production!O74</f>
        <v>2.1240968102448021E-4</v>
      </c>
      <c r="U8" s="45">
        <f>$N$8*[1]production!P74</f>
        <v>6.1097928773286078E-5</v>
      </c>
      <c r="V8" s="45">
        <f>$N$8*[1]production!Q74</f>
        <v>3.1840250937849253E-6</v>
      </c>
      <c r="W8" s="45">
        <f>$N$8*[1]production!R74</f>
        <v>1.1283684583680357E-7</v>
      </c>
      <c r="X8" s="45">
        <f>$N$8*[1]production!S74</f>
        <v>4.2219571159089137E-3</v>
      </c>
      <c r="Y8" s="45">
        <f>$N$8*[1]production!T74</f>
        <v>2.3043071447384348E-5</v>
      </c>
      <c r="Z8" s="45">
        <f>$N$8*[1]production!U74</f>
        <v>3.6258054284921096E-3</v>
      </c>
      <c r="AA8" s="45">
        <f>$N$8*[1]production!V74</f>
        <v>2.2747579501854347E-7</v>
      </c>
      <c r="AB8" s="45">
        <f>$N$8*[1]production!W74</f>
        <v>1.5180070529110701E-5</v>
      </c>
      <c r="AC8" s="45">
        <f>$N$8*[1]production!X74</f>
        <v>2.9301405343071308E-8</v>
      </c>
      <c r="AD8" s="45">
        <f>$N$8*[1]production!Y74</f>
        <v>9.6779575003025343E-11</v>
      </c>
      <c r="AE8" s="45">
        <f>$N$8*[1]production!Z74</f>
        <v>7.5569083648322565E-7</v>
      </c>
      <c r="AF8" s="45">
        <f>$N$8*[1]production!AA74</f>
        <v>6.4987026800777338E-7</v>
      </c>
      <c r="AG8" s="45">
        <f>$N$8*[1]production!AB74</f>
        <v>1.1693530587054479E-6</v>
      </c>
      <c r="AH8" s="45">
        <f>$N$8*[1]production!AC74</f>
        <v>1.8883657918152635E-7</v>
      </c>
      <c r="AI8" s="45">
        <f>$N$8*[1]production!AD74</f>
        <v>2.0223309742954565E-6</v>
      </c>
      <c r="AJ8" s="45">
        <f>$N$8*[1]production!AE74</f>
        <v>1.7354520226934607E-4</v>
      </c>
      <c r="AK8" s="45">
        <f>$N$8*[1]production!AF74</f>
        <v>9.9522482300097528E-6</v>
      </c>
      <c r="AL8" s="45">
        <f>$N$8*[1]production!AG74</f>
        <v>3.8012454894256169E-5</v>
      </c>
      <c r="AM8" s="45">
        <f>$N$8*[1]production!AH74</f>
        <v>8.0307555384713956E-6</v>
      </c>
    </row>
    <row r="9" spans="2:39" x14ac:dyDescent="0.25">
      <c r="B9" s="12" t="s">
        <v>60</v>
      </c>
      <c r="D9">
        <v>1</v>
      </c>
      <c r="E9" t="s">
        <v>9</v>
      </c>
      <c r="G9" t="s">
        <v>7</v>
      </c>
      <c r="I9">
        <f>D6/'ZnO nanoparticles'!E12*'ZnO nanoparticles'!E5</f>
        <v>2.7425772880318337E-2</v>
      </c>
      <c r="J9" t="s">
        <v>9</v>
      </c>
      <c r="L9" s="54" t="s">
        <v>17</v>
      </c>
      <c r="M9" s="14"/>
      <c r="N9" s="51">
        <f>I7/'ZnAc·2H2O pro'!N12*'ZnAc·2H2O pro'!E9</f>
        <v>3.0234315948601664E-2</v>
      </c>
      <c r="O9" s="52" t="s">
        <v>9</v>
      </c>
      <c r="Q9" s="45">
        <f>[1]production!$D$35*N9</f>
        <v>5.6598639455782321E-2</v>
      </c>
      <c r="R9" s="45">
        <f>$N9*[1]production!M35</f>
        <v>1.5381219144368856</v>
      </c>
      <c r="S9" s="45">
        <f>$N9*[1]production!N35</f>
        <v>2.3503250188964477E-3</v>
      </c>
      <c r="T9" s="45">
        <f>$N9*[1]production!O35</f>
        <v>4.7328798185941039E-2</v>
      </c>
      <c r="U9" s="45">
        <f>$N9*[1]production!P35</f>
        <v>3.4107331821617543E-2</v>
      </c>
      <c r="V9" s="45">
        <f>$N9*[1]production!Q35</f>
        <v>7.5180650037792892E-4</v>
      </c>
      <c r="W9" s="45">
        <f>$N9*[1]production!R35</f>
        <v>2.2576266061980348E-5</v>
      </c>
      <c r="X9" s="45">
        <f>$N9*[1]production!S35</f>
        <v>1.1910204081632654</v>
      </c>
      <c r="Y9" s="45">
        <f>$N9*[1]production!T35</f>
        <v>6.0904006046863194E-3</v>
      </c>
      <c r="Z9" s="45">
        <f>$N9*[1]production!U35</f>
        <v>0.79797430083144372</v>
      </c>
      <c r="AA9" s="45">
        <f>$N9*[1]production!V35</f>
        <v>4.757369614512472E-5</v>
      </c>
      <c r="AB9" s="45">
        <f>$N9*[1]production!W35</f>
        <v>3.1050642479213907E-3</v>
      </c>
      <c r="AC9" s="45">
        <f>$N9*[1]production!X35</f>
        <v>2.3490249433106579E-5</v>
      </c>
      <c r="AD9" s="45">
        <f>$N9*[1]production!Y35</f>
        <v>1.0989871504157218E-8</v>
      </c>
      <c r="AE9" s="45">
        <f>$N9*[1]production!Z35</f>
        <v>1.553560090702948E-4</v>
      </c>
      <c r="AF9" s="45">
        <f>$N9*[1]production!AA35</f>
        <v>2.1729705215419503E-4</v>
      </c>
      <c r="AG9" s="45">
        <f>$N9*[1]production!AB35</f>
        <v>3.254421768707483E-4</v>
      </c>
      <c r="AH9" s="45">
        <f>$N9*[1]production!AC35</f>
        <v>3.9676492819349962E-5</v>
      </c>
      <c r="AI9" s="45">
        <f>$N9*[1]production!AD35</f>
        <v>4.3156462585034014E-4</v>
      </c>
      <c r="AJ9" s="45">
        <f>$N9*[1]production!AE35</f>
        <v>1.7941647770219199E-4</v>
      </c>
      <c r="AK9" s="45">
        <f>$N9*[1]production!AF35</f>
        <v>2.2374603174603177E-3</v>
      </c>
      <c r="AL9" s="45">
        <f>$N9*[1]production!AG35</f>
        <v>1.0139682539682541E-2</v>
      </c>
      <c r="AM9" s="45">
        <f>$N9*[1]production!AH35</f>
        <v>4.2340136054421773E-3</v>
      </c>
    </row>
    <row r="10" spans="2:39" x14ac:dyDescent="0.25">
      <c r="G10" t="s">
        <v>63</v>
      </c>
      <c r="I10">
        <f>D6/'ZnO nanoparticles'!E12*'ZnO nanoparticles'!F30+D6/'ZnO nanoparticles'!E12*'KAc crystallization&amp;dry'!F22</f>
        <v>0.23113129788600573</v>
      </c>
      <c r="J10" t="s">
        <v>26</v>
      </c>
      <c r="L10" s="55" t="s">
        <v>18</v>
      </c>
      <c r="M10" s="14"/>
      <c r="N10" s="51">
        <f>I7/'ZnAc·2H2O pro'!N12*'ZnAc·2H2O pro'!E10</f>
        <v>1.6049382716049384E-2</v>
      </c>
      <c r="O10" s="52" t="s">
        <v>9</v>
      </c>
      <c r="Q10" s="45">
        <f>N10*[1]production!$D$36</f>
        <v>8.1660864197530866E-2</v>
      </c>
      <c r="R10" s="45">
        <f>$N10*[1]production!M36</f>
        <v>0.94091495012345683</v>
      </c>
      <c r="S10" s="45">
        <f>$N10*[1]production!N36</f>
        <v>2.7478148148148149E-3</v>
      </c>
      <c r="T10" s="45">
        <f>$N10*[1]production!O36</f>
        <v>7.4331111111111126E-2</v>
      </c>
      <c r="U10" s="45">
        <f>$N10*[1]production!P36</f>
        <v>1.9175802469135805E-2</v>
      </c>
      <c r="V10" s="45">
        <f>$N10*[1]production!Q36</f>
        <v>3.0864567901234571E-3</v>
      </c>
      <c r="W10" s="45">
        <f>$N10*[1]production!R36</f>
        <v>9.1308148148148155E-5</v>
      </c>
      <c r="X10" s="45">
        <f>$N10*[1]production!S36</f>
        <v>6.5200617283950626</v>
      </c>
      <c r="Y10" s="45">
        <f>$N10*[1]production!T36</f>
        <v>2.7601728395061729E-3</v>
      </c>
      <c r="Z10" s="45">
        <f>$N10*[1]production!U36</f>
        <v>3.782679012345679</v>
      </c>
      <c r="AA10" s="45">
        <f>$N10*[1]production!V36</f>
        <v>1.3933753086419753E-4</v>
      </c>
      <c r="AB10" s="45">
        <f>$N10*[1]production!W36</f>
        <v>4.3761851851851857E-2</v>
      </c>
      <c r="AC10" s="45">
        <f>$N10*[1]production!X36</f>
        <v>1.1207604938271606E-5</v>
      </c>
      <c r="AD10" s="45">
        <f>$N10*[1]production!Y36</f>
        <v>3.2326666666666673E-9</v>
      </c>
      <c r="AE10" s="45">
        <f>$N10*[1]production!Z36</f>
        <v>3.1726419753086421E-4</v>
      </c>
      <c r="AF10" s="45">
        <f>$N10*[1]production!AA36</f>
        <v>3.9775185185185187E-4</v>
      </c>
      <c r="AG10" s="45">
        <f>$N10*[1]production!AB36</f>
        <v>8.4612345679012358E-4</v>
      </c>
      <c r="AH10" s="45">
        <f>$N10*[1]production!AC36</f>
        <v>1.1093814814814816E-3</v>
      </c>
      <c r="AI10" s="45">
        <f>$N10*[1]production!AD36</f>
        <v>8.9754567901234573E-4</v>
      </c>
      <c r="AJ10" s="45">
        <f>$N10*[1]production!AE36</f>
        <v>1.160225925925926E-3</v>
      </c>
      <c r="AK10" s="45">
        <f>$N10*[1]production!AF36</f>
        <v>5.1266543209876544E-3</v>
      </c>
      <c r="AL10" s="45">
        <f>$N10*[1]production!AG36</f>
        <v>4.783358024691358E-2</v>
      </c>
      <c r="AM10" s="45">
        <f>$N10*[1]production!AH36</f>
        <v>4.3312469135802474E-3</v>
      </c>
    </row>
    <row r="11" spans="2:39" x14ac:dyDescent="0.25">
      <c r="G11" t="s">
        <v>68</v>
      </c>
      <c r="I11">
        <f>D6/'ZnO nanoparticles'!E12*'ZnO nanoparticles'!F37+D6/'ZnO nanoparticles'!E12*'KAc crystallization&amp;dry'!F26</f>
        <v>7.0051357470821887E-3</v>
      </c>
      <c r="J11" t="s">
        <v>40</v>
      </c>
      <c r="L11" s="53" t="s">
        <v>63</v>
      </c>
      <c r="M11" s="14"/>
      <c r="N11" s="51">
        <f>I10+I7/'ZnAc·2H2O pro'!N12*'ZnAc·2H2O pro'!F34</f>
        <v>0.72443822051804063</v>
      </c>
      <c r="O11" s="52" t="str">
        <f>J10</f>
        <v>MJ</v>
      </c>
      <c r="Q11" s="45">
        <f>N11*[1]production!$D$6</f>
        <v>1.6393312492102741E-2</v>
      </c>
      <c r="R11" s="45">
        <f>$N11*[1]production!M6</f>
        <v>0.81869795625208019</v>
      </c>
      <c r="S11" s="45">
        <f>$N11*[1]production!N6</f>
        <v>8.1245746431098262E-2</v>
      </c>
      <c r="T11" s="45">
        <f>$N11*[1]production!O6</f>
        <v>1.3462235451886748E-2</v>
      </c>
      <c r="U11" s="45">
        <f>$N11*[1]production!P6</f>
        <v>4.6214811839727886E-3</v>
      </c>
      <c r="V11" s="45">
        <f>$N11*[1]production!Q6</f>
        <v>3.154493787423756E-4</v>
      </c>
      <c r="W11" s="45">
        <f>$N11*[1]production!R6</f>
        <v>7.5356063698286583E-6</v>
      </c>
      <c r="X11" s="45">
        <f>$N11*[1]production!S6</f>
        <v>0.38552428781308573</v>
      </c>
      <c r="Y11" s="45">
        <f>$N11*[1]production!T6</f>
        <v>1.3226068591997867E-3</v>
      </c>
      <c r="Z11" s="45">
        <f>$N11*[1]production!U6</f>
        <v>0.25551660475891813</v>
      </c>
      <c r="AA11" s="45">
        <f>$N11*[1]production!V6</f>
        <v>8.8866836510948034E-5</v>
      </c>
      <c r="AB11" s="45">
        <f>$N11*[1]production!W6</f>
        <v>8.5201179115126761E-4</v>
      </c>
      <c r="AC11" s="45">
        <f>$N11*[1]production!X6</f>
        <v>4.417334493430804E-6</v>
      </c>
      <c r="AD11" s="45">
        <f>$N11*[1]production!Y6</f>
        <v>1.2852258470210559E-9</v>
      </c>
      <c r="AE11" s="45">
        <f>$N11*[1]production!Z6</f>
        <v>1.736623302225847E-4</v>
      </c>
      <c r="AF11" s="45">
        <f>$N11*[1]production!AA6</f>
        <v>3.0122141209140132E-4</v>
      </c>
      <c r="AG11" s="45">
        <f>$N11*[1]production!AB6</f>
        <v>2.2464829218264441E-4</v>
      </c>
      <c r="AH11" s="45">
        <f>$N11*[1]production!AC6</f>
        <v>5.383155529025456E-5</v>
      </c>
      <c r="AI11" s="45">
        <f>$N11*[1]production!AD6</f>
        <v>1.2706646387886432E-3</v>
      </c>
      <c r="AJ11" s="45">
        <f>$N11*[1]production!AE6</f>
        <v>4.1645055544700084E-5</v>
      </c>
      <c r="AK11" s="45">
        <f>$N11*[1]production!AF6</f>
        <v>2.8739188646171193E-3</v>
      </c>
      <c r="AL11" s="45">
        <f>$N11*[1]production!AG6</f>
        <v>3.2959765718909295E-3</v>
      </c>
      <c r="AM11" s="45">
        <f>$N11*[1]production!AH6</f>
        <v>5.9364089980350838E-4</v>
      </c>
    </row>
    <row r="12" spans="2:39" x14ac:dyDescent="0.25">
      <c r="G12" t="str">
        <f>B8</f>
        <v>process output</v>
      </c>
      <c r="L12" s="53" t="s">
        <v>61</v>
      </c>
      <c r="M12" s="14"/>
      <c r="N12" s="51">
        <f>I7/'ZnAc·2H2O pro'!N12*'ZnAc·2H2O pro'!F38+I11</f>
        <v>1.123333980458459E-2</v>
      </c>
      <c r="O12" s="52" t="str">
        <f>J11</f>
        <v>kWh</v>
      </c>
      <c r="Q12" s="45">
        <f>N12*[1]production!$D$7</f>
        <v>7.9747725940706917E-3</v>
      </c>
      <c r="R12" s="45">
        <f>$N12*[1]production!M7</f>
        <v>0.14032241810481319</v>
      </c>
      <c r="S12" s="45">
        <f>$N12*[1]production!N7</f>
        <v>9.1301215929722164E-6</v>
      </c>
      <c r="T12" s="45">
        <f>$N12*[1]production!O7</f>
        <v>7.5262253356736296E-3</v>
      </c>
      <c r="U12" s="45">
        <f>$N12*[1]production!P7</f>
        <v>3.32394524817658E-3</v>
      </c>
      <c r="V12" s="45">
        <f>$N12*[1]production!Q7</f>
        <v>2.8656249841495289E-5</v>
      </c>
      <c r="W12" s="45">
        <f>$N12*[1]production!R7</f>
        <v>1.3984384722727357E-7</v>
      </c>
      <c r="X12" s="45">
        <f>$N12*[1]production!S7</f>
        <v>5.8621183770224683E-2</v>
      </c>
      <c r="Y12" s="45">
        <f>$N12*[1]production!T7</f>
        <v>4.7438393994760728E-5</v>
      </c>
      <c r="Z12" s="45">
        <f>$N12*[1]production!U7</f>
        <v>1.7629603489315054E-2</v>
      </c>
      <c r="AA12" s="45">
        <f>$N12*[1]production!V7</f>
        <v>6.9056956448683762E-6</v>
      </c>
      <c r="AB12" s="45">
        <f>$N12*[1]production!W7</f>
        <v>3.3688786073949185E-5</v>
      </c>
      <c r="AC12" s="45">
        <f>$N12*[1]production!X7</f>
        <v>1.2395990474359094E-6</v>
      </c>
      <c r="AD12" s="45">
        <f>$N12*[1]production!Y7</f>
        <v>6.6606965037303865E-10</v>
      </c>
      <c r="AE12" s="45">
        <f>$N12*[1]production!Z7</f>
        <v>8.409502844508115E-6</v>
      </c>
      <c r="AF12" s="45">
        <f>$N12*[1]production!AA7</f>
        <v>2.261945303051153E-5</v>
      </c>
      <c r="AG12" s="45">
        <f>$N12*[1]production!AB7</f>
        <v>3.2576685433295308E-5</v>
      </c>
      <c r="AH12" s="45">
        <f>$N12*[1]production!AC7</f>
        <v>5.8304403587735401E-7</v>
      </c>
      <c r="AI12" s="45">
        <f>$N12*[1]production!AD7</f>
        <v>3.5959044048455736E-6</v>
      </c>
      <c r="AJ12" s="45">
        <f>$N12*[1]production!AE7</f>
        <v>9.0075658557041991E-7</v>
      </c>
      <c r="AK12" s="45">
        <f>$N12*[1]production!AF7</f>
        <v>2.2033072692712215E-4</v>
      </c>
      <c r="AL12" s="45">
        <f>$N12*[1]production!AG7</f>
        <v>6.7941485806088519E-4</v>
      </c>
      <c r="AM12" s="45">
        <f>$N12*[1]production!AH7</f>
        <v>4.001427971791077E-4</v>
      </c>
    </row>
    <row r="13" spans="2:39" x14ac:dyDescent="0.25">
      <c r="G13" t="str">
        <f>B9</f>
        <v>ZnO ink</v>
      </c>
      <c r="I13">
        <f>D9</f>
        <v>1</v>
      </c>
      <c r="J13" t="s">
        <v>9</v>
      </c>
      <c r="L13" s="50" t="str">
        <f>G12</f>
        <v>process output</v>
      </c>
      <c r="M13" s="14"/>
      <c r="N13" s="51"/>
      <c r="O13" s="52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</row>
    <row r="14" spans="2:39" x14ac:dyDescent="0.25">
      <c r="G14" t="s">
        <v>47</v>
      </c>
      <c r="I14">
        <f>D6/'ZnO nanoparticles'!E12*'ZnO nanoparticles'!E13</f>
        <v>4.839506172839507E-2</v>
      </c>
      <c r="J14" t="s">
        <v>9</v>
      </c>
      <c r="L14" s="56" t="str">
        <f>G13</f>
        <v>ZnO ink</v>
      </c>
      <c r="M14" s="14"/>
      <c r="N14" s="51">
        <f>I13</f>
        <v>1</v>
      </c>
      <c r="O14" s="52" t="s">
        <v>9</v>
      </c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</row>
    <row r="15" spans="2:39" x14ac:dyDescent="0.25">
      <c r="G15" t="s">
        <v>65</v>
      </c>
      <c r="I15">
        <f>D6/'ZnO nanoparticles'!E12*('ZnO nanoparticles'!E7+'KAc crystallization&amp;dry'!E7)</f>
        <v>4.0759106213651669E-2</v>
      </c>
      <c r="J15" t="s">
        <v>9</v>
      </c>
      <c r="L15" s="57" t="s">
        <v>47</v>
      </c>
      <c r="M15" s="14"/>
      <c r="N15" s="51">
        <f>I14</f>
        <v>4.839506172839507E-2</v>
      </c>
      <c r="O15" s="52" t="s">
        <v>9</v>
      </c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</row>
    <row r="16" spans="2:39" x14ac:dyDescent="0.25">
      <c r="L16" s="57" t="s">
        <v>20</v>
      </c>
      <c r="M16" s="14"/>
      <c r="N16" s="51">
        <f>I7/'ZnAc·2H2O pro'!N12*'ZnAc·2H2O pro'!N13</f>
        <v>4.9382716049382717E-4</v>
      </c>
      <c r="O16" s="52" t="s">
        <v>9</v>
      </c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</row>
    <row r="17" spans="9:39" x14ac:dyDescent="0.25">
      <c r="L17" s="53" t="str">
        <f>G15</f>
        <v>wastewater</v>
      </c>
      <c r="M17" s="14"/>
      <c r="N17" s="51">
        <f>I15+I7/'ZnAc·2H2O pro'!N12*'ZnAc·2H2O pro'!E7</f>
        <v>0.13695204333682137</v>
      </c>
      <c r="O17" s="52" t="s">
        <v>9</v>
      </c>
      <c r="Q17" s="45">
        <f>N17*[1]production!$D$3/1000</f>
        <v>3.3899739287163394E-4</v>
      </c>
      <c r="R17" s="45">
        <f>$N17/1000*[1]production!M3</f>
        <v>2.8328959782781458E-3</v>
      </c>
      <c r="S17" s="45">
        <f>$N17/1000*[1]production!N3</f>
        <v>1.2172023707690011E-5</v>
      </c>
      <c r="T17" s="45">
        <f>$N17/1000*[1]production!O3</f>
        <v>3.1018268295356674E-4</v>
      </c>
      <c r="U17" s="45">
        <f>$N17/1000*[1]production!P3</f>
        <v>5.3598921200731782E-5</v>
      </c>
      <c r="V17" s="45">
        <f>$N17/1000*[1]production!Q3</f>
        <v>4.7394993637573775E-6</v>
      </c>
      <c r="W17" s="45">
        <f>$N17/1000*[1]production!R3</f>
        <v>1.9260935374890559E-6</v>
      </c>
      <c r="X17" s="45">
        <f>$N17/1000*[1]production!S3</f>
        <v>4.3757547366547796E-3</v>
      </c>
      <c r="Y17" s="45">
        <f>$N17/1000*[1]production!T3</f>
        <v>2.172881119582008E-5</v>
      </c>
      <c r="Z17" s="45">
        <f>$N17/1000*[1]production!U3</f>
        <v>4.2557847466917244E-3</v>
      </c>
      <c r="AA17" s="45">
        <f>$N17/1000*[1]production!V3</f>
        <v>1.7851698848954667E-5</v>
      </c>
      <c r="AB17" s="45">
        <f>$N17/1000*[1]production!W3</f>
        <v>2.3920043889209224E-5</v>
      </c>
      <c r="AC17" s="45">
        <f>$N17/1000*[1]production!X3</f>
        <v>2.4875969151700236E-8</v>
      </c>
      <c r="AD17" s="45">
        <f>$N17/1000*[1]production!Y3</f>
        <v>2.5134808513606829E-11</v>
      </c>
      <c r="AE17" s="45">
        <f>$N17/1000*[1]production!Z3</f>
        <v>6.9259387356297309E-7</v>
      </c>
      <c r="AF17" s="45">
        <f>$N17/1000*[1]production!AA3</f>
        <v>8.1433054488507365E-7</v>
      </c>
      <c r="AG17" s="45">
        <f>$N17/1000*[1]production!AB3</f>
        <v>1.4201926894028379E-6</v>
      </c>
      <c r="AH17" s="45">
        <f>$N17/1000*[1]production!AC3</f>
        <v>1.8919924786981874E-7</v>
      </c>
      <c r="AI17" s="45">
        <f>$N17/1000*[1]production!AD3</f>
        <v>3.1993366843914843E-6</v>
      </c>
      <c r="AJ17" s="45">
        <f>$N17/1000*[1]production!AE3</f>
        <v>1.458402309493811E-6</v>
      </c>
      <c r="AK17" s="45">
        <f>$N17/1000*[1]production!AF3</f>
        <v>1.3893784796520529E-5</v>
      </c>
      <c r="AL17" s="45">
        <f>$N17/1000*[1]production!AG3</f>
        <v>4.2052494427004374E-5</v>
      </c>
      <c r="AM17" s="45">
        <f>$N17/1000*[1]production!AH3</f>
        <v>7.5368818009552912E-6</v>
      </c>
    </row>
    <row r="18" spans="9:39" ht="15.75" thickBot="1" x14ac:dyDescent="0.3">
      <c r="L18" s="58" t="s">
        <v>28</v>
      </c>
      <c r="M18" s="59"/>
      <c r="N18" s="60">
        <f>I7/'ZnAc·2H2O pro'!N12*'ZnAc·2H2O pro'!N14</f>
        <v>6.0468631897203325E-4</v>
      </c>
      <c r="O18" s="61" t="s">
        <v>9</v>
      </c>
      <c r="Q18" s="45">
        <f>N18*[1]production!$D$4</f>
        <v>2.2331065759637189E-4</v>
      </c>
      <c r="R18" s="45">
        <f>$N18*[1]production!M4</f>
        <v>1.4312014470143613E-3</v>
      </c>
      <c r="S18" s="45">
        <f>$N18*[1]production!N4</f>
        <v>3.6850188964474678E-6</v>
      </c>
      <c r="T18" s="45">
        <f>$N18*[1]production!O4</f>
        <v>2.1717913832199545E-4</v>
      </c>
      <c r="U18" s="45">
        <f>$N18*[1]production!P4</f>
        <v>3.1473318216175356E-5</v>
      </c>
      <c r="V18" s="45">
        <f>$N18*[1]production!Q4</f>
        <v>7.3995464852607713E-5</v>
      </c>
      <c r="W18" s="45">
        <f>$N18*[1]production!R4</f>
        <v>1.1239909297052155E-6</v>
      </c>
      <c r="X18" s="45">
        <f>$N18*[1]production!S4</f>
        <v>6.8843537414965988E-2</v>
      </c>
      <c r="Y18" s="45">
        <f>$N18*[1]production!T4</f>
        <v>6.3340891912320484E-6</v>
      </c>
      <c r="Z18" s="45">
        <f>$N18*[1]production!U4</f>
        <v>5.5314285714285712E-2</v>
      </c>
      <c r="AA18" s="45">
        <f>$N18*[1]production!V4</f>
        <v>1.7523809523809524E-7</v>
      </c>
      <c r="AB18" s="45">
        <f>$N18*[1]production!W4</f>
        <v>3.4134542705971277E-6</v>
      </c>
      <c r="AC18" s="45">
        <f>$N18*[1]production!X4</f>
        <v>-4.8657294028722601E-8</v>
      </c>
      <c r="AD18" s="45">
        <f>$N18*[1]production!Y4</f>
        <v>1.1161904761904762E-11</v>
      </c>
      <c r="AE18" s="45">
        <f>$N18*[1]production!Z4</f>
        <v>2.5411942554799695E-7</v>
      </c>
      <c r="AF18" s="45">
        <f>$N18*[1]production!AA4</f>
        <v>5.2750415721844289E-7</v>
      </c>
      <c r="AG18" s="45">
        <f>$N18*[1]production!AB4</f>
        <v>5.9951020408163259E-7</v>
      </c>
      <c r="AH18" s="45">
        <f>$N18*[1]production!AC4</f>
        <v>7.7345427059712775E-7</v>
      </c>
      <c r="AI18" s="45">
        <f>$N18*[1]production!AD4</f>
        <v>7.6335600907029475E-6</v>
      </c>
      <c r="AJ18" s="45">
        <f>$N18*[1]production!AE4</f>
        <v>2.8847165532879819E-7</v>
      </c>
      <c r="AK18" s="45">
        <f>$N18*[1]production!AF4</f>
        <v>2.0846560846560847E-5</v>
      </c>
      <c r="AL18" s="45">
        <f>$N18*[1]production!AG4</f>
        <v>4.7818594104308385E-4</v>
      </c>
      <c r="AM18" s="45">
        <f>$N18*[1]production!AH4</f>
        <v>3.932275132275132E-6</v>
      </c>
    </row>
    <row r="19" spans="9:39" x14ac:dyDescent="0.25">
      <c r="I19">
        <f>I6+I7+I8+I9-I13-I14-I15</f>
        <v>1.5265566588595902E-16</v>
      </c>
      <c r="L19">
        <f>N14+N15+N16</f>
        <v>1.0488888888888888</v>
      </c>
      <c r="M19" t="s">
        <v>9</v>
      </c>
      <c r="Q19" s="45">
        <f>SUM(Q6:Q18)</f>
        <v>3.4066609906220506</v>
      </c>
      <c r="R19" s="45">
        <f>SUM(R6:R18)</f>
        <v>81.265255672035991</v>
      </c>
      <c r="S19" s="45">
        <f t="shared" ref="S19:AM19" si="6">SUM(S6:S18)</f>
        <v>0.20223688423054895</v>
      </c>
      <c r="T19" s="45">
        <f t="shared" si="6"/>
        <v>2.9072614008461724</v>
      </c>
      <c r="U19" s="45">
        <f t="shared" si="6"/>
        <v>1.7782392543478831</v>
      </c>
      <c r="V19" s="45">
        <f t="shared" si="6"/>
        <v>0.10397789136518555</v>
      </c>
      <c r="W19" s="45">
        <f t="shared" si="6"/>
        <v>1.4532581437649069E-3</v>
      </c>
      <c r="X19" s="45">
        <f t="shared" si="6"/>
        <v>58.86681799321164</v>
      </c>
      <c r="Y19" s="45">
        <f t="shared" si="6"/>
        <v>0.16745667281736965</v>
      </c>
      <c r="Z19" s="45">
        <f t="shared" si="6"/>
        <v>46.115827249166678</v>
      </c>
      <c r="AA19" s="45">
        <f t="shared" si="6"/>
        <v>3.0362799496821274E-3</v>
      </c>
      <c r="AB19" s="45">
        <f t="shared" si="6"/>
        <v>0.1807293129617368</v>
      </c>
      <c r="AC19" s="45">
        <f t="shared" si="6"/>
        <v>2.9440339194332826E-4</v>
      </c>
      <c r="AD19" s="45">
        <f t="shared" si="6"/>
        <v>7.1691134699353359E-7</v>
      </c>
      <c r="AE19" s="45">
        <f t="shared" si="6"/>
        <v>8.9468332092359441E-3</v>
      </c>
      <c r="AF19" s="45">
        <f t="shared" si="6"/>
        <v>2.2619835844468441E-2</v>
      </c>
      <c r="AG19" s="45">
        <f t="shared" si="6"/>
        <v>1.6259685593154924E-2</v>
      </c>
      <c r="AH19" s="45">
        <f t="shared" si="6"/>
        <v>3.1062162365641183E-3</v>
      </c>
      <c r="AI19" s="45">
        <f t="shared" si="6"/>
        <v>2.9920842619015439E-2</v>
      </c>
      <c r="AJ19" s="45">
        <f t="shared" si="6"/>
        <v>1.0169958983350581E-2</v>
      </c>
      <c r="AK19" s="45">
        <f t="shared" si="6"/>
        <v>0.13410283114485297</v>
      </c>
      <c r="AL19" s="45">
        <f t="shared" si="6"/>
        <v>0.52460922609456662</v>
      </c>
      <c r="AM19" s="45">
        <f t="shared" si="6"/>
        <v>0.22161533672106937</v>
      </c>
    </row>
    <row r="20" spans="9:39" x14ac:dyDescent="0.25">
      <c r="Q20" s="62">
        <f>Q19/$L$19*$N$14</f>
        <v>3.2478759444489893</v>
      </c>
      <c r="R20" s="62">
        <f>R19/$L$19*$N$14</f>
        <v>77.477468331390256</v>
      </c>
      <c r="S20" s="62">
        <f t="shared" ref="S20:AM20" si="7">S19/$L$19*$N$14</f>
        <v>0.19281058877912507</v>
      </c>
      <c r="T20" s="62">
        <f t="shared" si="7"/>
        <v>2.7717534541965629</v>
      </c>
      <c r="U20" s="62">
        <f t="shared" si="7"/>
        <v>1.6953552213062446</v>
      </c>
      <c r="V20" s="62">
        <f t="shared" si="7"/>
        <v>9.913146422528285E-2</v>
      </c>
      <c r="W20" s="62">
        <f t="shared" si="7"/>
        <v>1.3855215353690852E-3</v>
      </c>
      <c r="X20" s="62">
        <f t="shared" si="7"/>
        <v>56.123025629121273</v>
      </c>
      <c r="Y20" s="62">
        <f t="shared" si="7"/>
        <v>0.15965148891486514</v>
      </c>
      <c r="Z20" s="62">
        <f t="shared" si="7"/>
        <v>43.966360724841117</v>
      </c>
      <c r="AA20" s="62">
        <f t="shared" si="7"/>
        <v>2.8947584266037236E-3</v>
      </c>
      <c r="AB20" s="62">
        <f t="shared" si="7"/>
        <v>0.17230548905250334</v>
      </c>
      <c r="AC20" s="62">
        <f t="shared" si="7"/>
        <v>2.8068119994596979E-4</v>
      </c>
      <c r="AD20" s="62">
        <f t="shared" si="7"/>
        <v>6.8349598759976725E-7</v>
      </c>
      <c r="AE20" s="62">
        <f t="shared" si="7"/>
        <v>8.5298197969410489E-3</v>
      </c>
      <c r="AF20" s="62">
        <f t="shared" si="7"/>
        <v>2.1565521461887286E-2</v>
      </c>
      <c r="AG20" s="62">
        <f t="shared" si="7"/>
        <v>1.5501818891779061E-2</v>
      </c>
      <c r="AH20" s="62">
        <f t="shared" si="7"/>
        <v>2.9614349713005367E-3</v>
      </c>
      <c r="AI20" s="62">
        <f t="shared" si="7"/>
        <v>2.8526227073213877E-2</v>
      </c>
      <c r="AJ20" s="62">
        <f t="shared" si="7"/>
        <v>9.6959354714147503E-3</v>
      </c>
      <c r="AK20" s="62">
        <f t="shared" si="7"/>
        <v>0.12785227545589797</v>
      </c>
      <c r="AL20" s="62">
        <f t="shared" si="7"/>
        <v>0.50015710114948098</v>
      </c>
      <c r="AM20" s="62">
        <f t="shared" si="7"/>
        <v>0.21128580831457888</v>
      </c>
    </row>
    <row r="21" spans="9:39" x14ac:dyDescent="0.25">
      <c r="N21" s="45">
        <f>N6+N7+N8+N9+N10-N14-N15-N16-N17-N18</f>
        <v>-1.9114484300919443E-16</v>
      </c>
    </row>
    <row r="25" spans="9:39" x14ac:dyDescent="0.25">
      <c r="Q25" s="12"/>
      <c r="R25" s="12"/>
    </row>
  </sheetData>
  <mergeCells count="2">
    <mergeCell ref="S4:AJ4"/>
    <mergeCell ref="AK4:AM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ZnAc·2H2O pro</vt:lpstr>
      <vt:lpstr>ZnO nanoparticles</vt:lpstr>
      <vt:lpstr>KAc crystallization&amp;dry</vt:lpstr>
      <vt:lpstr>ZnO redisperse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2018-05-10T15:58:30Z</dcterms:modified>
</cp:coreProperties>
</file>