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codeName="ThisWorkbook"/>
  <mc:AlternateContent xmlns:mc="http://schemas.openxmlformats.org/markup-compatibility/2006">
    <mc:Choice Requires="x15">
      <x15ac:absPath xmlns:x15ac="http://schemas.microsoft.com/office/spreadsheetml/2010/11/ac" url="C:\Users\Alvin\Desktop\1_Perovskite_20180226\LCI for key components\"/>
    </mc:Choice>
  </mc:AlternateContent>
  <xr:revisionPtr revIDLastSave="0" documentId="13_ncr:1_{2F6CB3CF-8649-4EAE-92C5-A55E117CEB98}" xr6:coauthVersionLast="45" xr6:coauthVersionMax="45" xr10:uidLastSave="{00000000-0000-0000-0000-000000000000}"/>
  <bookViews>
    <workbookView xWindow="-28920" yWindow="-120" windowWidth="29040" windowHeight="15840" tabRatio="664" activeTab="2" xr2:uid="{00000000-000D-0000-FFFF-FFFF00000000}"/>
  </bookViews>
  <sheets>
    <sheet name="material inventory" sheetId="1" r:id="rId1"/>
    <sheet name="energy consumption" sheetId="2" r:id="rId2"/>
    <sheet name="results" sheetId="4" r:id="rId3"/>
    <sheet name="CB_DATA_" sheetId="6" state="veryHidden" r:id="rId4"/>
    <sheet name="Uncertainty" sheetId="5" r:id="rId5"/>
    <sheet name="recycling" sheetId="3" r:id="rId6"/>
    <sheet name="recycling level" sheetId="7" r:id="rId7"/>
    <sheet name="SA" sheetId="11" r:id="rId8"/>
    <sheet name="results (2)" sheetId="12"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CB_48ae3d17f2ad4e7ab86e43730bb603ba" localSheetId="3" hidden="1">#N/A</definedName>
    <definedName name="CB_4a78b1b96c0c481bb94e66c1fb649590" localSheetId="4" hidden="1">Uncertainty!$C$8</definedName>
    <definedName name="CB_4aa41d4295d64d219bbea59193412f0e" localSheetId="4" hidden="1">Uncertainty!$C$3</definedName>
    <definedName name="CB_4db9db67ea584643ad4268b245bfc341" localSheetId="4" hidden="1">Uncertainty!$C$7</definedName>
    <definedName name="CB_5895322eb8714570a88379f136b0b103" localSheetId="4" hidden="1">Uncertainty!$C$10</definedName>
    <definedName name="CB_71a5529834bd4c7894ce11afcddc2ea2" localSheetId="4" hidden="1">Uncertainty!$C$4</definedName>
    <definedName name="CB_7c6f82a5015a48539bc293bbf9a93126" localSheetId="3" hidden="1">#N/A</definedName>
    <definedName name="CB_884df6bfcca841108df712d8fcf4d796" localSheetId="4" hidden="1">Uncertainty!$C$9</definedName>
    <definedName name="CB_a2f21eceb02543edb9737b5dda4dd829" localSheetId="4" hidden="1">Uncertainty!$C$2</definedName>
    <definedName name="CB_Block_00000000000000000000000000000000" localSheetId="3" hidden="1">"'7.0.0.0"</definedName>
    <definedName name="CB_Block_00000000000000000000000000000000" localSheetId="4" hidden="1">"'7.0.0.0"</definedName>
    <definedName name="CB_Block_00000000000000000000000000000001" localSheetId="3" hidden="1">"'637136630646844027"</definedName>
    <definedName name="CB_Block_00000000000000000000000000000001" localSheetId="4" hidden="1">"'637136630646534110"</definedName>
    <definedName name="CB_Block_00000000000000000000000000000003" localSheetId="3" hidden="1">"'11.1.4716.0"</definedName>
    <definedName name="CB_Block_00000000000000000000000000000003" localSheetId="4" hidden="1">"'11.1.4716.0"</definedName>
    <definedName name="CB_BlockExt_00000000000000000000000000000003" localSheetId="3" hidden="1">"'11.1.2.4.850"</definedName>
    <definedName name="CB_BlockExt_00000000000000000000000000000003" localSheetId="4" hidden="1">"'11.1.2.4.850"</definedName>
    <definedName name="CB_c893e5dc31ff4b75a4731845944c9d74" localSheetId="4" hidden="1">Uncertainty!$C$6</definedName>
    <definedName name="CBCR_195603925479446cbaa777c78ee9f622" localSheetId="4" hidden="1">Uncertainty!$E$4</definedName>
    <definedName name="CBCR_2102a7ad97ff4b269bb635b0eb02f657" localSheetId="4" hidden="1">Uncertainty!$E$7</definedName>
    <definedName name="CBCR_25d8dc63ed464b6699b4d901b9071945" localSheetId="4" hidden="1">Uncertainty!$C$3</definedName>
    <definedName name="CBCR_37e0559681ca4aefb2302d726caad515" localSheetId="4" hidden="1">Uncertainty!$C$8</definedName>
    <definedName name="CBCR_3e04771891c743b6b3dd159d3f7a15a8" localSheetId="4" hidden="1">Uncertainty!$C$7</definedName>
    <definedName name="CBCR_4b96818ac5e7427eb3787c430a58ada8" localSheetId="4" hidden="1">Uncertainty!$C$4</definedName>
    <definedName name="CBCR_55c34cb0d1fb4fc1b0b26dc26a92fa85" localSheetId="4" hidden="1">Uncertainty!$C$2</definedName>
    <definedName name="CBCR_63634538aa9248cf8e289bfa1a4e2140" localSheetId="4" hidden="1">Uncertainty!$E$8</definedName>
    <definedName name="CBCR_6e49114b38134fc79401178dcfc3d7dd" localSheetId="4" hidden="1">Uncertainty!$E$2</definedName>
    <definedName name="CBCR_b45504cb9d6b423486e315debf049b0c" localSheetId="4" hidden="1">Uncertainty!$E$3</definedName>
    <definedName name="CBCR_c800660ec2a1443b886e06e1b57bbfaa" localSheetId="4" hidden="1">Uncertainty!$C$6</definedName>
    <definedName name="CBCR_d41575e045394a64aedd7193f6606a8d" localSheetId="4" hidden="1">Uncertainty!$E$6</definedName>
    <definedName name="CBWorkbookPriority" localSheetId="3" hidden="1">-1136823999165220</definedName>
    <definedName name="CBx_140fc868070149a192ec67685f2d1e6d" localSheetId="3" hidden="1">"'Uncertainty'!$A$1"</definedName>
    <definedName name="CBx_7bca17ca3b4941c48b933482c96b362f" localSheetId="3" hidden="1">"'CB_DATA_'!$A$1"</definedName>
    <definedName name="CBx_Sheet_Guid" localSheetId="3" hidden="1">"'7bca17ca-3b49-41c4-8b93-3482c96b362f"</definedName>
    <definedName name="CBx_Sheet_Guid" localSheetId="4" hidden="1">"'140fc868-0701-49a1-92ec-67685f2d1e6d"</definedName>
    <definedName name="CBx_SheetRef" localSheetId="3" hidden="1">CB_DATA_!$A$14</definedName>
    <definedName name="CBx_SheetRef" localSheetId="4" hidden="1">CB_DATA_!$B$14</definedName>
    <definedName name="CBx_StorageType" localSheetId="3" hidden="1">2</definedName>
    <definedName name="CBx_StorageType" localSheetId="4" hidden="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3" i="4" l="1"/>
  <c r="F33" i="4"/>
  <c r="G33" i="4"/>
  <c r="H33" i="4"/>
  <c r="I33" i="4"/>
  <c r="J33" i="4"/>
  <c r="K33" i="4"/>
  <c r="L33" i="4"/>
  <c r="M33" i="4"/>
  <c r="N33" i="4"/>
  <c r="O33" i="4"/>
  <c r="P33" i="4"/>
  <c r="Q33" i="4"/>
  <c r="R33" i="4"/>
  <c r="S33" i="4"/>
  <c r="T33" i="4"/>
  <c r="U33" i="4"/>
  <c r="V33" i="4"/>
  <c r="W33" i="4"/>
  <c r="X33" i="4"/>
  <c r="D33" i="4"/>
  <c r="H32" i="12" l="1"/>
  <c r="G32" i="12"/>
  <c r="C32" i="12"/>
  <c r="B32" i="12"/>
  <c r="C31" i="12"/>
  <c r="H31" i="12" s="1"/>
  <c r="B31" i="12"/>
  <c r="G31" i="12" s="1"/>
  <c r="G30" i="12"/>
  <c r="C30" i="12"/>
  <c r="H30" i="12" s="1"/>
  <c r="B30" i="12"/>
  <c r="A30" i="12"/>
  <c r="C28" i="12"/>
  <c r="H28" i="12" s="1"/>
  <c r="B28" i="12"/>
  <c r="G28" i="12" s="1"/>
  <c r="A28" i="12"/>
  <c r="C27" i="12"/>
  <c r="H27" i="12" s="1"/>
  <c r="B27" i="12"/>
  <c r="G27" i="12" s="1"/>
  <c r="A27" i="12"/>
  <c r="C26" i="12"/>
  <c r="H26" i="12" s="1"/>
  <c r="B26" i="12"/>
  <c r="G26" i="12" s="1"/>
  <c r="A26" i="12"/>
  <c r="C25" i="12"/>
  <c r="H25" i="12" s="1"/>
  <c r="B25" i="12"/>
  <c r="G25" i="12" s="1"/>
  <c r="A25" i="12"/>
  <c r="C24" i="12"/>
  <c r="H24" i="12" s="1"/>
  <c r="B24" i="12"/>
  <c r="G24" i="12" s="1"/>
  <c r="A24" i="12"/>
  <c r="C23" i="12"/>
  <c r="H23" i="12" s="1"/>
  <c r="B23" i="12"/>
  <c r="G23" i="12" s="1"/>
  <c r="A23" i="12"/>
  <c r="C22" i="12"/>
  <c r="H22" i="12" s="1"/>
  <c r="B22" i="12"/>
  <c r="G22" i="12" s="1"/>
  <c r="A22" i="12"/>
  <c r="C21" i="12"/>
  <c r="H21" i="12" s="1"/>
  <c r="B21" i="12"/>
  <c r="G21" i="12" s="1"/>
  <c r="A21" i="12"/>
  <c r="C20" i="12"/>
  <c r="H20" i="12" s="1"/>
  <c r="B20" i="12"/>
  <c r="G20" i="12" s="1"/>
  <c r="A20" i="12"/>
  <c r="C29" i="12"/>
  <c r="H29" i="12" s="1"/>
  <c r="B29" i="12"/>
  <c r="G29" i="12" s="1"/>
  <c r="A29" i="12"/>
  <c r="C19" i="12"/>
  <c r="H19" i="12" s="1"/>
  <c r="B19" i="12"/>
  <c r="G19" i="12" s="1"/>
  <c r="A19" i="12"/>
  <c r="C18" i="12"/>
  <c r="H18" i="12" s="1"/>
  <c r="B18" i="12"/>
  <c r="G18" i="12" s="1"/>
  <c r="A18" i="12"/>
  <c r="C17" i="12"/>
  <c r="H17" i="12" s="1"/>
  <c r="B17" i="12"/>
  <c r="G17" i="12" s="1"/>
  <c r="A17" i="12"/>
  <c r="C16" i="12"/>
  <c r="H16" i="12" s="1"/>
  <c r="B16" i="12"/>
  <c r="G16" i="12" s="1"/>
  <c r="A16" i="12"/>
  <c r="C15" i="12"/>
  <c r="H15" i="12" s="1"/>
  <c r="B15" i="12"/>
  <c r="G15" i="12" s="1"/>
  <c r="A15" i="12"/>
  <c r="C14" i="12"/>
  <c r="H14" i="12" s="1"/>
  <c r="B14" i="12"/>
  <c r="G14" i="12" s="1"/>
  <c r="A14" i="12"/>
  <c r="C13" i="12"/>
  <c r="H13" i="12" s="1"/>
  <c r="B13" i="12"/>
  <c r="G13" i="12" s="1"/>
  <c r="A13" i="12"/>
  <c r="C12" i="12"/>
  <c r="H12" i="12" s="1"/>
  <c r="B12" i="12"/>
  <c r="G12" i="12" s="1"/>
  <c r="A12" i="12"/>
  <c r="C11" i="12"/>
  <c r="H11" i="12" s="1"/>
  <c r="B11" i="12"/>
  <c r="G11" i="12" s="1"/>
  <c r="A11" i="12"/>
  <c r="C10" i="12"/>
  <c r="H10" i="12" s="1"/>
  <c r="B10" i="12"/>
  <c r="G10" i="12" s="1"/>
  <c r="A10" i="12"/>
  <c r="C9" i="12"/>
  <c r="H9" i="12" s="1"/>
  <c r="B9" i="12"/>
  <c r="G9" i="12" s="1"/>
  <c r="A9" i="12"/>
  <c r="C8" i="12"/>
  <c r="H8" i="12" s="1"/>
  <c r="B8" i="12"/>
  <c r="G8" i="12" s="1"/>
  <c r="A8" i="12"/>
  <c r="C7" i="12"/>
  <c r="H7" i="12" s="1"/>
  <c r="B7" i="12"/>
  <c r="G7" i="12" s="1"/>
  <c r="A7" i="12"/>
  <c r="C6" i="12"/>
  <c r="H6" i="12" s="1"/>
  <c r="B6" i="12"/>
  <c r="G6" i="12" s="1"/>
  <c r="A6" i="12"/>
  <c r="C5" i="12"/>
  <c r="H5" i="12" s="1"/>
  <c r="B5" i="12"/>
  <c r="G5" i="12" s="1"/>
  <c r="A5" i="12"/>
  <c r="C4" i="12"/>
  <c r="H4" i="12" s="1"/>
  <c r="B4" i="12"/>
  <c r="G4" i="12" s="1"/>
  <c r="A4" i="12"/>
  <c r="C3" i="12"/>
  <c r="H3" i="12" s="1"/>
  <c r="B3" i="12"/>
  <c r="G3" i="12" s="1"/>
  <c r="A3" i="12"/>
  <c r="C2" i="12"/>
  <c r="H2" i="12" s="1"/>
  <c r="B2" i="12"/>
  <c r="G2" i="12" s="1"/>
  <c r="G33" i="12" l="1"/>
  <c r="G34" i="12" s="1"/>
  <c r="H33" i="12"/>
  <c r="H34" i="12" s="1"/>
  <c r="B33" i="12"/>
  <c r="B34" i="12" s="1"/>
  <c r="C33" i="12"/>
  <c r="C34" i="12" s="1"/>
  <c r="A17" i="4" l="1"/>
  <c r="A18" i="4"/>
  <c r="A50" i="1"/>
  <c r="A49" i="1"/>
  <c r="P2" i="6"/>
  <c r="F8" i="1" l="1"/>
  <c r="I8" i="1" l="1"/>
  <c r="A7" i="4" s="1"/>
  <c r="C7" i="2"/>
  <c r="O8" i="1" l="1"/>
  <c r="G7" i="4" s="1"/>
  <c r="AD8" i="1"/>
  <c r="V7" i="4" s="1"/>
  <c r="V8" i="1"/>
  <c r="N7" i="4" s="1"/>
  <c r="N8" i="1"/>
  <c r="F7" i="4" s="1"/>
  <c r="Y8" i="1"/>
  <c r="Q7" i="4" s="1"/>
  <c r="X8" i="1"/>
  <c r="P7" i="4" s="1"/>
  <c r="AC8" i="1"/>
  <c r="U7" i="4" s="1"/>
  <c r="U8" i="1"/>
  <c r="M7" i="4" s="1"/>
  <c r="M8" i="1"/>
  <c r="E7" i="4" s="1"/>
  <c r="K8" i="1"/>
  <c r="C7" i="4" s="1"/>
  <c r="AF8" i="1"/>
  <c r="X7" i="4" s="1"/>
  <c r="AE8" i="1"/>
  <c r="W7" i="4" s="1"/>
  <c r="AB8" i="1"/>
  <c r="T7" i="4" s="1"/>
  <c r="T8" i="1"/>
  <c r="L7" i="4" s="1"/>
  <c r="L8" i="1"/>
  <c r="D7" i="4" s="1"/>
  <c r="P8" i="1"/>
  <c r="H7" i="4" s="1"/>
  <c r="AA8" i="1"/>
  <c r="S7" i="4" s="1"/>
  <c r="S8" i="1"/>
  <c r="K7" i="4" s="1"/>
  <c r="Q8" i="1"/>
  <c r="I7" i="4" s="1"/>
  <c r="W8" i="1"/>
  <c r="O7" i="4" s="1"/>
  <c r="J8" i="1"/>
  <c r="B7" i="4" s="1"/>
  <c r="Z8" i="1"/>
  <c r="R7" i="4" s="1"/>
  <c r="R8" i="1"/>
  <c r="J7" i="4" s="1"/>
  <c r="A20" i="4" l="1"/>
  <c r="A21" i="4"/>
  <c r="A22" i="4"/>
  <c r="A23" i="4"/>
  <c r="A24" i="4"/>
  <c r="A25" i="4"/>
  <c r="A26" i="4"/>
  <c r="A27" i="4"/>
  <c r="A19" i="4"/>
  <c r="A3" i="4"/>
  <c r="A4" i="4"/>
  <c r="A5" i="4"/>
  <c r="A6" i="4"/>
  <c r="A8" i="4"/>
  <c r="A9" i="4"/>
  <c r="A10" i="4"/>
  <c r="A11" i="4"/>
  <c r="A12" i="4"/>
  <c r="A13" i="4"/>
  <c r="A14" i="4"/>
  <c r="A15" i="4"/>
  <c r="A2" i="4"/>
  <c r="D20" i="2"/>
  <c r="F26" i="1" s="1"/>
  <c r="C20" i="2"/>
  <c r="E20" i="2" s="1"/>
  <c r="N18" i="1" l="1"/>
  <c r="F17" i="4" s="1"/>
  <c r="V18" i="1"/>
  <c r="N17" i="4" s="1"/>
  <c r="AD18" i="1"/>
  <c r="V17" i="4" s="1"/>
  <c r="O18" i="1"/>
  <c r="G17" i="4" s="1"/>
  <c r="W18" i="1"/>
  <c r="O17" i="4" s="1"/>
  <c r="AE18" i="1"/>
  <c r="W17" i="4" s="1"/>
  <c r="P18" i="1"/>
  <c r="H17" i="4" s="1"/>
  <c r="Q18" i="1"/>
  <c r="I17" i="4" s="1"/>
  <c r="Y18" i="1"/>
  <c r="Q17" i="4" s="1"/>
  <c r="K18" i="1"/>
  <c r="C17" i="4" s="1"/>
  <c r="L18" i="1"/>
  <c r="D17" i="4" s="1"/>
  <c r="T18" i="1"/>
  <c r="L17" i="4" s="1"/>
  <c r="U18" i="1"/>
  <c r="M17" i="4" s="1"/>
  <c r="AF18" i="1"/>
  <c r="X17" i="4" s="1"/>
  <c r="R18" i="1"/>
  <c r="J17" i="4" s="1"/>
  <c r="Z18" i="1"/>
  <c r="R17" i="4" s="1"/>
  <c r="J18" i="1"/>
  <c r="B17" i="4" s="1"/>
  <c r="AB18" i="1"/>
  <c r="T17" i="4" s="1"/>
  <c r="M18" i="1"/>
  <c r="E17" i="4" s="1"/>
  <c r="AC18" i="1"/>
  <c r="U17" i="4" s="1"/>
  <c r="X18" i="1"/>
  <c r="P17" i="4" s="1"/>
  <c r="S18" i="1"/>
  <c r="K17" i="4" s="1"/>
  <c r="AA18" i="1"/>
  <c r="S17" i="4" s="1"/>
  <c r="F27" i="1"/>
  <c r="F49" i="1"/>
  <c r="C18" i="2"/>
  <c r="C16" i="2"/>
  <c r="C15" i="2"/>
  <c r="C14" i="2"/>
  <c r="F50" i="1" l="1"/>
  <c r="M19" i="1"/>
  <c r="E18" i="4" s="1"/>
  <c r="U19" i="1"/>
  <c r="M18" i="4" s="1"/>
  <c r="AC19" i="1"/>
  <c r="U18" i="4" s="1"/>
  <c r="N19" i="1"/>
  <c r="F18" i="4" s="1"/>
  <c r="V19" i="1"/>
  <c r="N18" i="4" s="1"/>
  <c r="AD19" i="1"/>
  <c r="V18" i="4" s="1"/>
  <c r="O19" i="1"/>
  <c r="G18" i="4" s="1"/>
  <c r="P19" i="1"/>
  <c r="H18" i="4" s="1"/>
  <c r="X19" i="1"/>
  <c r="P18" i="4" s="1"/>
  <c r="AF19" i="1"/>
  <c r="X18" i="4" s="1"/>
  <c r="L19" i="1"/>
  <c r="D18" i="4" s="1"/>
  <c r="AB19" i="1"/>
  <c r="T18" i="4" s="1"/>
  <c r="Q19" i="1"/>
  <c r="I18" i="4" s="1"/>
  <c r="Y19" i="1"/>
  <c r="Q18" i="4" s="1"/>
  <c r="K19" i="1"/>
  <c r="C18" i="4" s="1"/>
  <c r="AA19" i="1"/>
  <c r="S18" i="4" s="1"/>
  <c r="T19" i="1"/>
  <c r="L18" i="4" s="1"/>
  <c r="W19" i="1"/>
  <c r="O18" i="4" s="1"/>
  <c r="AE19" i="1"/>
  <c r="W18" i="4" s="1"/>
  <c r="R19" i="1"/>
  <c r="J18" i="4" s="1"/>
  <c r="Z19" i="1"/>
  <c r="R18" i="4" s="1"/>
  <c r="J19" i="1"/>
  <c r="B18" i="4" s="1"/>
  <c r="S19" i="1"/>
  <c r="K18" i="4" s="1"/>
  <c r="C12" i="2"/>
  <c r="C11" i="2"/>
  <c r="I17" i="1" l="1"/>
  <c r="A16" i="4" s="1"/>
  <c r="I3" i="11" l="1"/>
  <c r="H3" i="11"/>
  <c r="G24" i="1" l="1"/>
  <c r="F1" i="5" l="1"/>
  <c r="L12" i="11" l="1"/>
  <c r="A31" i="11"/>
  <c r="C30" i="11"/>
  <c r="B30" i="11"/>
  <c r="A30" i="11"/>
  <c r="C29" i="11"/>
  <c r="B29" i="11"/>
  <c r="A29" i="11"/>
  <c r="F4" i="11"/>
  <c r="E4" i="11"/>
  <c r="C4" i="11"/>
  <c r="B4" i="11"/>
  <c r="F3" i="11"/>
  <c r="E3" i="11"/>
  <c r="C3" i="11"/>
  <c r="B3" i="11"/>
  <c r="A3" i="11"/>
  <c r="F2" i="11"/>
  <c r="E2" i="11"/>
  <c r="C2" i="11"/>
  <c r="B2" i="11"/>
  <c r="F1" i="11"/>
  <c r="E1" i="11"/>
  <c r="B1" i="11"/>
  <c r="A20" i="11" l="1"/>
  <c r="A21" i="11"/>
  <c r="A23" i="11"/>
  <c r="A28" i="11"/>
  <c r="A5" i="11"/>
  <c r="A6" i="11"/>
  <c r="A7" i="11"/>
  <c r="A8" i="11"/>
  <c r="A9" i="11"/>
  <c r="A10" i="11"/>
  <c r="A11" i="11"/>
  <c r="A12" i="11"/>
  <c r="A13" i="11"/>
  <c r="A14" i="11"/>
  <c r="A15" i="11"/>
  <c r="A16" i="11"/>
  <c r="A17" i="11"/>
  <c r="A18" i="11"/>
  <c r="F21" i="1" l="1"/>
  <c r="F42" i="1" l="1"/>
  <c r="M15" i="1"/>
  <c r="E14" i="4" s="1"/>
  <c r="U15" i="1"/>
  <c r="M14" i="4" s="1"/>
  <c r="AC15" i="1"/>
  <c r="U14" i="4" s="1"/>
  <c r="L15" i="1"/>
  <c r="D14" i="4" s="1"/>
  <c r="N15" i="1"/>
  <c r="F14" i="4" s="1"/>
  <c r="V15" i="1"/>
  <c r="N14" i="4" s="1"/>
  <c r="AD15" i="1"/>
  <c r="V14" i="4" s="1"/>
  <c r="W15" i="1"/>
  <c r="O14" i="4" s="1"/>
  <c r="P15" i="1"/>
  <c r="H14" i="4" s="1"/>
  <c r="AF15" i="1"/>
  <c r="X14" i="4" s="1"/>
  <c r="Q15" i="1"/>
  <c r="I14" i="4" s="1"/>
  <c r="T15" i="1"/>
  <c r="L14" i="4" s="1"/>
  <c r="O15" i="1"/>
  <c r="G14" i="4" s="1"/>
  <c r="AE15" i="1"/>
  <c r="W14" i="4" s="1"/>
  <c r="X15" i="1"/>
  <c r="P14" i="4" s="1"/>
  <c r="Y15" i="1"/>
  <c r="Q14" i="4" s="1"/>
  <c r="K15" i="1"/>
  <c r="C14" i="4" s="1"/>
  <c r="Z15" i="1"/>
  <c r="R14" i="4" s="1"/>
  <c r="AA15" i="1"/>
  <c r="S14" i="4" s="1"/>
  <c r="J15" i="1"/>
  <c r="B14" i="4" s="1"/>
  <c r="S15" i="1"/>
  <c r="K14" i="4" s="1"/>
  <c r="R15" i="1"/>
  <c r="J14" i="4" s="1"/>
  <c r="AB15" i="1"/>
  <c r="T14" i="4" s="1"/>
  <c r="C13" i="3" l="1"/>
  <c r="C16" i="7"/>
  <c r="D16" i="7"/>
  <c r="B13" i="3"/>
  <c r="L32" i="1"/>
  <c r="T32" i="1"/>
  <c r="AB32" i="1"/>
  <c r="Y32" i="1"/>
  <c r="R32" i="1"/>
  <c r="J32" i="1"/>
  <c r="M32" i="1"/>
  <c r="U32" i="1"/>
  <c r="AC32" i="1"/>
  <c r="AD32" i="1"/>
  <c r="AE32" i="1"/>
  <c r="P32" i="1"/>
  <c r="N32" i="1"/>
  <c r="V32" i="1"/>
  <c r="W32" i="1"/>
  <c r="X32" i="1"/>
  <c r="AF32" i="1"/>
  <c r="K32" i="1"/>
  <c r="Z32" i="1"/>
  <c r="O32" i="1"/>
  <c r="Q32" i="1"/>
  <c r="AA32" i="1"/>
  <c r="S32" i="1"/>
  <c r="P19" i="11"/>
  <c r="P21" i="11"/>
  <c r="P11" i="11"/>
  <c r="P20" i="11" s="1"/>
  <c r="P6" i="11"/>
  <c r="P15" i="11" s="1"/>
  <c r="P7" i="11"/>
  <c r="P16" i="11" s="1"/>
  <c r="P8" i="11"/>
  <c r="P17" i="11" s="1"/>
  <c r="P9" i="11"/>
  <c r="P18" i="11" s="1"/>
  <c r="P5" i="11"/>
  <c r="P14" i="11" s="1"/>
  <c r="L11" i="11"/>
  <c r="L20" i="11" s="1"/>
  <c r="L10" i="11"/>
  <c r="L19" i="11" s="1"/>
  <c r="L6" i="11"/>
  <c r="L15" i="11" s="1"/>
  <c r="L7" i="11"/>
  <c r="L16" i="11" s="1"/>
  <c r="L8" i="11"/>
  <c r="L17" i="11" s="1"/>
  <c r="L9" i="11"/>
  <c r="L18" i="11" s="1"/>
  <c r="L21" i="11"/>
  <c r="L5" i="11"/>
  <c r="L14" i="11" s="1"/>
  <c r="P16" i="7" l="1"/>
  <c r="N16" i="7"/>
  <c r="X16" i="7"/>
  <c r="L16" i="7"/>
  <c r="J16" i="7"/>
  <c r="Z16" i="7"/>
  <c r="T16" i="7"/>
  <c r="H16" i="7"/>
  <c r="F16" i="7"/>
  <c r="F16" i="11" s="1"/>
  <c r="C16" i="11"/>
  <c r="I16" i="11" s="1"/>
  <c r="R16" i="7"/>
  <c r="AB16" i="7"/>
  <c r="V16" i="7"/>
  <c r="E16" i="7"/>
  <c r="E16" i="11" s="1"/>
  <c r="Y16" i="7"/>
  <c r="AA16" i="7"/>
  <c r="I16" i="7"/>
  <c r="W16" i="7"/>
  <c r="U16" i="7"/>
  <c r="M16" i="7"/>
  <c r="Q16" i="7"/>
  <c r="S16" i="7"/>
  <c r="O16" i="7"/>
  <c r="K16" i="7"/>
  <c r="G16" i="7"/>
  <c r="B16" i="11"/>
  <c r="H16" i="11" s="1"/>
  <c r="C10" i="5"/>
  <c r="A28" i="3" l="1"/>
  <c r="C18" i="3"/>
  <c r="B18" i="3"/>
  <c r="C1" i="3"/>
  <c r="B1" i="3"/>
  <c r="C9" i="5"/>
  <c r="B11" i="6"/>
  <c r="A11" i="6"/>
  <c r="A28" i="4"/>
  <c r="X1" i="4"/>
  <c r="W1" i="4"/>
  <c r="V1" i="4"/>
  <c r="U1" i="4"/>
  <c r="T1" i="4"/>
  <c r="S1" i="4"/>
  <c r="R1" i="4"/>
  <c r="Q1" i="4"/>
  <c r="P1" i="4"/>
  <c r="O1" i="4"/>
  <c r="N1" i="4"/>
  <c r="M1" i="4"/>
  <c r="L1" i="4"/>
  <c r="K1" i="4"/>
  <c r="J1" i="4"/>
  <c r="I1" i="4"/>
  <c r="H1" i="4"/>
  <c r="G1" i="4"/>
  <c r="F1" i="4"/>
  <c r="E1" i="4"/>
  <c r="D1" i="4"/>
  <c r="C1" i="4"/>
  <c r="B1" i="4"/>
  <c r="D26" i="2"/>
  <c r="C26" i="2"/>
  <c r="F20" i="2"/>
  <c r="AF14" i="2" s="1"/>
  <c r="T27" i="4" s="1"/>
  <c r="E18" i="2"/>
  <c r="F18" i="2" s="1"/>
  <c r="U13" i="2" s="1"/>
  <c r="I26" i="4" s="1"/>
  <c r="E16" i="2"/>
  <c r="F16" i="2" s="1"/>
  <c r="E15" i="2"/>
  <c r="F15" i="2" s="1"/>
  <c r="U11" i="2" s="1"/>
  <c r="I24" i="4" s="1"/>
  <c r="AI14" i="2"/>
  <c r="W27" i="4" s="1"/>
  <c r="AH14" i="2"/>
  <c r="V27" i="4" s="1"/>
  <c r="E14" i="2"/>
  <c r="F14" i="2" s="1"/>
  <c r="E12" i="2"/>
  <c r="F12" i="2" s="1"/>
  <c r="E11" i="2"/>
  <c r="F11" i="2" s="1"/>
  <c r="D7" i="2"/>
  <c r="E7" i="2" s="1"/>
  <c r="F25" i="1"/>
  <c r="F48" i="1" s="1"/>
  <c r="F23" i="1"/>
  <c r="B19" i="1"/>
  <c r="B17" i="1"/>
  <c r="F17" i="1" s="1"/>
  <c r="F14" i="1"/>
  <c r="F10" i="1"/>
  <c r="K9" i="2" s="1"/>
  <c r="L9" i="2" s="1"/>
  <c r="F7" i="1"/>
  <c r="F6" i="1"/>
  <c r="AF6" i="1" s="1"/>
  <c r="X5" i="4" s="1"/>
  <c r="F4" i="1"/>
  <c r="F30" i="1" s="1"/>
  <c r="W21" i="1" s="1"/>
  <c r="F3" i="1"/>
  <c r="N14" i="2" l="1"/>
  <c r="R14" i="2"/>
  <c r="F27" i="4" s="1"/>
  <c r="S14" i="2"/>
  <c r="G27" i="4" s="1"/>
  <c r="T14" i="2"/>
  <c r="H27" i="4" s="1"/>
  <c r="U14" i="2"/>
  <c r="I27" i="4" s="1"/>
  <c r="W14" i="2"/>
  <c r="K27" i="4" s="1"/>
  <c r="V14" i="2"/>
  <c r="J27" i="4" s="1"/>
  <c r="AF7" i="1"/>
  <c r="X6" i="4" s="1"/>
  <c r="O14" i="2"/>
  <c r="Z14" i="2"/>
  <c r="N27" i="4" s="1"/>
  <c r="Q14" i="2"/>
  <c r="E27" i="4" s="1"/>
  <c r="AB14" i="2"/>
  <c r="P27" i="4" s="1"/>
  <c r="Z3" i="1"/>
  <c r="R2" i="4" s="1"/>
  <c r="L38" i="1"/>
  <c r="T38" i="1"/>
  <c r="AB38" i="1"/>
  <c r="M38" i="1"/>
  <c r="U38" i="1"/>
  <c r="AC38" i="1"/>
  <c r="N38" i="1"/>
  <c r="V38" i="1"/>
  <c r="AD38" i="1"/>
  <c r="O38" i="1"/>
  <c r="W38" i="1"/>
  <c r="AE38" i="1"/>
  <c r="X38" i="1"/>
  <c r="AF38" i="1"/>
  <c r="Y38" i="1"/>
  <c r="K38" i="1"/>
  <c r="AA38" i="1"/>
  <c r="P38" i="1"/>
  <c r="Q38" i="1"/>
  <c r="R38" i="1"/>
  <c r="Z38" i="1"/>
  <c r="J38" i="1"/>
  <c r="S38" i="1"/>
  <c r="Y14" i="2"/>
  <c r="M27" i="4" s="1"/>
  <c r="AC14" i="2"/>
  <c r="Q27" i="4" s="1"/>
  <c r="AD14" i="2"/>
  <c r="R27" i="4" s="1"/>
  <c r="AE14" i="2"/>
  <c r="S27" i="4" s="1"/>
  <c r="AG14" i="2"/>
  <c r="U27" i="4" s="1"/>
  <c r="Q13" i="2"/>
  <c r="E26" i="4" s="1"/>
  <c r="T13" i="2"/>
  <c r="H26" i="4" s="1"/>
  <c r="AD13" i="2"/>
  <c r="R26" i="4" s="1"/>
  <c r="AJ13" i="2"/>
  <c r="X26" i="4" s="1"/>
  <c r="N11" i="2"/>
  <c r="B24" i="4" s="1"/>
  <c r="N17" i="1"/>
  <c r="F16" i="4" s="1"/>
  <c r="V17" i="1"/>
  <c r="N16" i="4" s="1"/>
  <c r="AD17" i="1"/>
  <c r="V16" i="4" s="1"/>
  <c r="X17" i="1"/>
  <c r="P16" i="4" s="1"/>
  <c r="AA17" i="1"/>
  <c r="S16" i="4" s="1"/>
  <c r="AC17" i="1"/>
  <c r="U16" i="4" s="1"/>
  <c r="O17" i="1"/>
  <c r="G16" i="4" s="1"/>
  <c r="W17" i="1"/>
  <c r="O16" i="4" s="1"/>
  <c r="AE17" i="1"/>
  <c r="W16" i="4" s="1"/>
  <c r="P17" i="1"/>
  <c r="H16" i="4" s="1"/>
  <c r="AF17" i="1"/>
  <c r="X16" i="4" s="1"/>
  <c r="T17" i="1"/>
  <c r="L16" i="4" s="1"/>
  <c r="Q17" i="1"/>
  <c r="I16" i="4" s="1"/>
  <c r="Y17" i="1"/>
  <c r="Q16" i="4" s="1"/>
  <c r="K17" i="1"/>
  <c r="C16" i="4" s="1"/>
  <c r="R17" i="1"/>
  <c r="J16" i="4" s="1"/>
  <c r="J17" i="1"/>
  <c r="B16" i="4" s="1"/>
  <c r="L17" i="1"/>
  <c r="D16" i="4" s="1"/>
  <c r="M17" i="1"/>
  <c r="E16" i="4" s="1"/>
  <c r="Z17" i="1"/>
  <c r="R16" i="4" s="1"/>
  <c r="S17" i="1"/>
  <c r="K16" i="4" s="1"/>
  <c r="AB17" i="1"/>
  <c r="T16" i="4" s="1"/>
  <c r="U17" i="1"/>
  <c r="M16" i="4" s="1"/>
  <c r="G25" i="1"/>
  <c r="A27" i="11"/>
  <c r="A25" i="11"/>
  <c r="A24" i="11"/>
  <c r="A22" i="11"/>
  <c r="A26" i="11"/>
  <c r="AF3" i="1"/>
  <c r="X2" i="4" s="1"/>
  <c r="J16" i="1"/>
  <c r="B15" i="4" s="1"/>
  <c r="R16" i="1"/>
  <c r="J15" i="4" s="1"/>
  <c r="AB16" i="1"/>
  <c r="T15" i="4" s="1"/>
  <c r="N16" i="1"/>
  <c r="F15" i="4" s="1"/>
  <c r="X9" i="1"/>
  <c r="P8" i="4" s="1"/>
  <c r="U4" i="1"/>
  <c r="M3" i="4" s="1"/>
  <c r="F19" i="1"/>
  <c r="X13" i="1" s="1"/>
  <c r="P12" i="4" s="1"/>
  <c r="M6" i="1"/>
  <c r="E5" i="4" s="1"/>
  <c r="S3" i="1"/>
  <c r="K2" i="4" s="1"/>
  <c r="J7" i="1"/>
  <c r="S16" i="1"/>
  <c r="K15" i="4" s="1"/>
  <c r="U3" i="1"/>
  <c r="M2" i="4" s="1"/>
  <c r="AC7" i="1"/>
  <c r="U6" i="4" s="1"/>
  <c r="AA16" i="1"/>
  <c r="S15" i="4" s="1"/>
  <c r="K16" i="1"/>
  <c r="C15" i="4" s="1"/>
  <c r="T16" i="1"/>
  <c r="L15" i="4" s="1"/>
  <c r="AC16" i="1"/>
  <c r="U15" i="4" s="1"/>
  <c r="L16" i="1"/>
  <c r="D15" i="4" s="1"/>
  <c r="U16" i="1"/>
  <c r="M15" i="4" s="1"/>
  <c r="AD16" i="1"/>
  <c r="V15" i="4" s="1"/>
  <c r="M16" i="1"/>
  <c r="E15" i="4" s="1"/>
  <c r="V16" i="1"/>
  <c r="N15" i="4" s="1"/>
  <c r="AF16" i="1"/>
  <c r="X15" i="4" s="1"/>
  <c r="P16" i="1"/>
  <c r="H15" i="4" s="1"/>
  <c r="Y16" i="1"/>
  <c r="Q15" i="4" s="1"/>
  <c r="X16" i="1"/>
  <c r="P15" i="4" s="1"/>
  <c r="Q16" i="1"/>
  <c r="I15" i="4" s="1"/>
  <c r="Z16" i="1"/>
  <c r="R15" i="4" s="1"/>
  <c r="Z9" i="1"/>
  <c r="R8" i="4" s="1"/>
  <c r="N9" i="1"/>
  <c r="F8" i="4" s="1"/>
  <c r="AA9" i="1"/>
  <c r="S8" i="4" s="1"/>
  <c r="O9" i="1"/>
  <c r="G8" i="4" s="1"/>
  <c r="AF9" i="1"/>
  <c r="X8" i="4" s="1"/>
  <c r="K4" i="1"/>
  <c r="F32" i="1"/>
  <c r="AB22" i="1" s="1"/>
  <c r="F44" i="1"/>
  <c r="Q9" i="1"/>
  <c r="I8" i="4" s="1"/>
  <c r="F46" i="1"/>
  <c r="AD36" i="1" s="1"/>
  <c r="E26" i="2"/>
  <c r="F26" i="2" s="1"/>
  <c r="M4" i="1"/>
  <c r="E3" i="4" s="1"/>
  <c r="K7" i="1"/>
  <c r="R3" i="1"/>
  <c r="J2" i="4" s="1"/>
  <c r="R4" i="1"/>
  <c r="J3" i="4" s="1"/>
  <c r="U7" i="1"/>
  <c r="M6" i="4" s="1"/>
  <c r="R9" i="1"/>
  <c r="J8" i="4" s="1"/>
  <c r="O16" i="1"/>
  <c r="G15" i="4" s="1"/>
  <c r="W16" i="1"/>
  <c r="O15" i="4" s="1"/>
  <c r="AE16" i="1"/>
  <c r="W15" i="4" s="1"/>
  <c r="AA14" i="2"/>
  <c r="O27" i="4" s="1"/>
  <c r="AJ14" i="2"/>
  <c r="X27" i="4" s="1"/>
  <c r="J4" i="1"/>
  <c r="P9" i="1"/>
  <c r="H8" i="4" s="1"/>
  <c r="S4" i="1"/>
  <c r="K3" i="4" s="1"/>
  <c r="Z7" i="1"/>
  <c r="R6" i="4" s="1"/>
  <c r="V9" i="1"/>
  <c r="N8" i="4" s="1"/>
  <c r="AC11" i="1"/>
  <c r="U10" i="4" s="1"/>
  <c r="U11" i="1"/>
  <c r="M10" i="4" s="1"/>
  <c r="M11" i="1"/>
  <c r="E10" i="4" s="1"/>
  <c r="AB11" i="1"/>
  <c r="T10" i="4" s="1"/>
  <c r="T11" i="1"/>
  <c r="L10" i="4" s="1"/>
  <c r="L11" i="1"/>
  <c r="D10" i="4" s="1"/>
  <c r="K11" i="1"/>
  <c r="Z11" i="1"/>
  <c r="R10" i="4" s="1"/>
  <c r="R11" i="1"/>
  <c r="J10" i="4" s="1"/>
  <c r="F39" i="1"/>
  <c r="Y11" i="1"/>
  <c r="Q10" i="4" s="1"/>
  <c r="Q11" i="1"/>
  <c r="I10" i="4" s="1"/>
  <c r="S11" i="1"/>
  <c r="K10" i="4" s="1"/>
  <c r="AF11" i="1"/>
  <c r="X10" i="4" s="1"/>
  <c r="X11" i="1"/>
  <c r="P10" i="4" s="1"/>
  <c r="P11" i="1"/>
  <c r="H10" i="4" s="1"/>
  <c r="AE11" i="1"/>
  <c r="W10" i="4" s="1"/>
  <c r="W11" i="1"/>
  <c r="O10" i="4" s="1"/>
  <c r="O11" i="1"/>
  <c r="G10" i="4" s="1"/>
  <c r="AA11" i="1"/>
  <c r="S10" i="4" s="1"/>
  <c r="AD11" i="1"/>
  <c r="V10" i="4" s="1"/>
  <c r="V11" i="1"/>
  <c r="N10" i="4" s="1"/>
  <c r="N11" i="1"/>
  <c r="F10" i="4" s="1"/>
  <c r="Q8" i="2"/>
  <c r="E21" i="4" s="1"/>
  <c r="AC8" i="2"/>
  <c r="Q21" i="4" s="1"/>
  <c r="T8" i="2"/>
  <c r="H21" i="4" s="1"/>
  <c r="S8" i="2"/>
  <c r="G21" i="4" s="1"/>
  <c r="AB8" i="2"/>
  <c r="P21" i="4" s="1"/>
  <c r="AA4" i="1"/>
  <c r="S3" i="4" s="1"/>
  <c r="U6" i="1"/>
  <c r="M5" i="4" s="1"/>
  <c r="R7" i="1"/>
  <c r="J6" i="4" s="1"/>
  <c r="L9" i="1"/>
  <c r="D8" i="4" s="1"/>
  <c r="T9" i="1"/>
  <c r="L8" i="4" s="1"/>
  <c r="AC9" i="1"/>
  <c r="U8" i="4" s="1"/>
  <c r="O21" i="1"/>
  <c r="R6" i="1"/>
  <c r="J5" i="4" s="1"/>
  <c r="K3" i="1"/>
  <c r="M3" i="1"/>
  <c r="E2" i="4" s="1"/>
  <c r="AC4" i="1"/>
  <c r="U3" i="4" s="1"/>
  <c r="Z6" i="1"/>
  <c r="R5" i="4" s="1"/>
  <c r="S7" i="1"/>
  <c r="K6" i="4" s="1"/>
  <c r="M9" i="1"/>
  <c r="E8" i="4" s="1"/>
  <c r="U9" i="1"/>
  <c r="M8" i="4" s="1"/>
  <c r="AD9" i="1"/>
  <c r="V8" i="4" s="1"/>
  <c r="AE21" i="1"/>
  <c r="F36" i="1"/>
  <c r="Y26" i="1" s="1"/>
  <c r="J6" i="1"/>
  <c r="AC6" i="1"/>
  <c r="U5" i="4" s="1"/>
  <c r="AA6" i="1"/>
  <c r="S5" i="4" s="1"/>
  <c r="K6" i="1"/>
  <c r="AA7" i="1"/>
  <c r="S6" i="4" s="1"/>
  <c r="Y9" i="1"/>
  <c r="Q8" i="4" s="1"/>
  <c r="F43" i="1"/>
  <c r="AA3" i="1"/>
  <c r="S2" i="4" s="1"/>
  <c r="F33" i="1"/>
  <c r="AC3" i="1"/>
  <c r="U2" i="4" s="1"/>
  <c r="Z4" i="1"/>
  <c r="R3" i="4" s="1"/>
  <c r="S6" i="1"/>
  <c r="K5" i="4" s="1"/>
  <c r="M7" i="1"/>
  <c r="E6" i="4" s="1"/>
  <c r="K9" i="1"/>
  <c r="S9" i="1"/>
  <c r="K8" i="4" s="1"/>
  <c r="AB9" i="1"/>
  <c r="T8" i="4" s="1"/>
  <c r="M21" i="1"/>
  <c r="F47" i="1"/>
  <c r="R37" i="1" s="1"/>
  <c r="D9" i="2"/>
  <c r="E9" i="2" s="1"/>
  <c r="F9" i="2" s="1"/>
  <c r="O7" i="2" s="1"/>
  <c r="AJ9" i="2"/>
  <c r="X22" i="4" s="1"/>
  <c r="AB9" i="2"/>
  <c r="P22" i="4" s="1"/>
  <c r="T9" i="2"/>
  <c r="H22" i="4" s="1"/>
  <c r="AG9" i="2"/>
  <c r="U22" i="4" s="1"/>
  <c r="X9" i="2"/>
  <c r="L22" i="4" s="1"/>
  <c r="O9" i="2"/>
  <c r="AF9" i="2"/>
  <c r="T22" i="4" s="1"/>
  <c r="W9" i="2"/>
  <c r="K22" i="4" s="1"/>
  <c r="N9" i="2"/>
  <c r="AE9" i="2"/>
  <c r="S22" i="4" s="1"/>
  <c r="V9" i="2"/>
  <c r="J22" i="4" s="1"/>
  <c r="AD9" i="2"/>
  <c r="R22" i="4" s="1"/>
  <c r="U9" i="2"/>
  <c r="I22" i="4" s="1"/>
  <c r="AI9" i="2"/>
  <c r="W22" i="4" s="1"/>
  <c r="Z9" i="2"/>
  <c r="N22" i="4" s="1"/>
  <c r="Q9" i="2"/>
  <c r="E22" i="4" s="1"/>
  <c r="P9" i="2"/>
  <c r="D22" i="4" s="1"/>
  <c r="AH9" i="2"/>
  <c r="V22" i="4" s="1"/>
  <c r="AC9" i="2"/>
  <c r="Q22" i="4" s="1"/>
  <c r="AA9" i="2"/>
  <c r="O22" i="4" s="1"/>
  <c r="Y9" i="2"/>
  <c r="M22" i="4" s="1"/>
  <c r="S9" i="2"/>
  <c r="G22" i="4" s="1"/>
  <c r="R9" i="2"/>
  <c r="F22" i="4" s="1"/>
  <c r="AG12" i="2"/>
  <c r="U25" i="4" s="1"/>
  <c r="Y12" i="2"/>
  <c r="M25" i="4" s="1"/>
  <c r="Q12" i="2"/>
  <c r="E25" i="4" s="1"/>
  <c r="AD12" i="2"/>
  <c r="R25" i="4" s="1"/>
  <c r="U12" i="2"/>
  <c r="I25" i="4" s="1"/>
  <c r="AC12" i="2"/>
  <c r="Q25" i="4" s="1"/>
  <c r="T12" i="2"/>
  <c r="H25" i="4" s="1"/>
  <c r="AB12" i="2"/>
  <c r="P25" i="4" s="1"/>
  <c r="S12" i="2"/>
  <c r="G25" i="4" s="1"/>
  <c r="AJ12" i="2"/>
  <c r="X25" i="4" s="1"/>
  <c r="AA12" i="2"/>
  <c r="O25" i="4" s="1"/>
  <c r="R12" i="2"/>
  <c r="F25" i="4" s="1"/>
  <c r="AF12" i="2"/>
  <c r="T25" i="4" s="1"/>
  <c r="W12" i="2"/>
  <c r="K25" i="4" s="1"/>
  <c r="N12" i="2"/>
  <c r="AE12" i="2"/>
  <c r="S25" i="4" s="1"/>
  <c r="Z12" i="2"/>
  <c r="N25" i="4" s="1"/>
  <c r="X12" i="2"/>
  <c r="L25" i="4" s="1"/>
  <c r="V12" i="2"/>
  <c r="J25" i="4" s="1"/>
  <c r="O12" i="2"/>
  <c r="P12" i="2"/>
  <c r="D25" i="4" s="1"/>
  <c r="AI12" i="2"/>
  <c r="W25" i="4" s="1"/>
  <c r="AH12" i="2"/>
  <c r="V25" i="4" s="1"/>
  <c r="AC10" i="2"/>
  <c r="Q23" i="4" s="1"/>
  <c r="U10" i="2"/>
  <c r="I23" i="4" s="1"/>
  <c r="AB10" i="2"/>
  <c r="P23" i="4" s="1"/>
  <c r="S10" i="2"/>
  <c r="G23" i="4" s="1"/>
  <c r="AJ10" i="2"/>
  <c r="X23" i="4" s="1"/>
  <c r="AA10" i="2"/>
  <c r="O23" i="4" s="1"/>
  <c r="R10" i="2"/>
  <c r="F23" i="4" s="1"/>
  <c r="AI10" i="2"/>
  <c r="W23" i="4" s="1"/>
  <c r="Z10" i="2"/>
  <c r="N23" i="4" s="1"/>
  <c r="Q10" i="2"/>
  <c r="E23" i="4" s="1"/>
  <c r="AH10" i="2"/>
  <c r="V23" i="4" s="1"/>
  <c r="Y10" i="2"/>
  <c r="M23" i="4" s="1"/>
  <c r="P10" i="2"/>
  <c r="D23" i="4" s="1"/>
  <c r="AE10" i="2"/>
  <c r="S23" i="4" s="1"/>
  <c r="V10" i="2"/>
  <c r="J23" i="4" s="1"/>
  <c r="O10" i="2"/>
  <c r="N10" i="2"/>
  <c r="AG10" i="2"/>
  <c r="U23" i="4" s="1"/>
  <c r="X10" i="2"/>
  <c r="L23" i="4" s="1"/>
  <c r="AF10" i="2"/>
  <c r="T23" i="4" s="1"/>
  <c r="AD10" i="2"/>
  <c r="R23" i="4" s="1"/>
  <c r="W10" i="2"/>
  <c r="K23" i="4" s="1"/>
  <c r="T10" i="2"/>
  <c r="H23" i="4" s="1"/>
  <c r="AI11" i="2"/>
  <c r="W24" i="4" s="1"/>
  <c r="AA11" i="2"/>
  <c r="O24" i="4" s="1"/>
  <c r="S11" i="2"/>
  <c r="G24" i="4" s="1"/>
  <c r="AC11" i="2"/>
  <c r="Q24" i="4" s="1"/>
  <c r="T11" i="2"/>
  <c r="H24" i="4" s="1"/>
  <c r="AB11" i="2"/>
  <c r="P24" i="4" s="1"/>
  <c r="R11" i="2"/>
  <c r="F24" i="4" s="1"/>
  <c r="AJ11" i="2"/>
  <c r="X24" i="4" s="1"/>
  <c r="Z11" i="2"/>
  <c r="N24" i="4" s="1"/>
  <c r="Q11" i="2"/>
  <c r="E24" i="4" s="1"/>
  <c r="AH11" i="2"/>
  <c r="V24" i="4" s="1"/>
  <c r="Y11" i="2"/>
  <c r="M24" i="4" s="1"/>
  <c r="P11" i="2"/>
  <c r="D24" i="4" s="1"/>
  <c r="AE11" i="2"/>
  <c r="S24" i="4" s="1"/>
  <c r="V11" i="2"/>
  <c r="J24" i="4" s="1"/>
  <c r="L3" i="1"/>
  <c r="D2" i="4" s="1"/>
  <c r="T3" i="1"/>
  <c r="L2" i="4" s="1"/>
  <c r="AB3" i="1"/>
  <c r="T2" i="4" s="1"/>
  <c r="L4" i="1"/>
  <c r="D3" i="4" s="1"/>
  <c r="T4" i="1"/>
  <c r="L3" i="4" s="1"/>
  <c r="AB4" i="1"/>
  <c r="T3" i="4" s="1"/>
  <c r="L6" i="1"/>
  <c r="D5" i="4" s="1"/>
  <c r="T6" i="1"/>
  <c r="L5" i="4" s="1"/>
  <c r="AB6" i="1"/>
  <c r="T5" i="4" s="1"/>
  <c r="L7" i="1"/>
  <c r="D6" i="4" s="1"/>
  <c r="T7" i="1"/>
  <c r="L6" i="4" s="1"/>
  <c r="AB7" i="1"/>
  <c r="T6" i="4" s="1"/>
  <c r="N21" i="1"/>
  <c r="AF21" i="1"/>
  <c r="Z8" i="2"/>
  <c r="N21" i="4" s="1"/>
  <c r="O11" i="2"/>
  <c r="V3" i="1"/>
  <c r="N2" i="4" s="1"/>
  <c r="V4" i="1"/>
  <c r="N3" i="4" s="1"/>
  <c r="V6" i="1"/>
  <c r="N5" i="4" s="1"/>
  <c r="N7" i="1"/>
  <c r="F6" i="4" s="1"/>
  <c r="P21" i="1"/>
  <c r="W11" i="2"/>
  <c r="K24" i="4" s="1"/>
  <c r="AD3" i="1"/>
  <c r="V2" i="4" s="1"/>
  <c r="N6" i="1"/>
  <c r="F5" i="4" s="1"/>
  <c r="AD7" i="1"/>
  <c r="V6" i="4" s="1"/>
  <c r="W3" i="1"/>
  <c r="O2" i="4" s="1"/>
  <c r="AE3" i="1"/>
  <c r="W2" i="4" s="1"/>
  <c r="O4" i="1"/>
  <c r="G3" i="4" s="1"/>
  <c r="W4" i="1"/>
  <c r="O3" i="4" s="1"/>
  <c r="AE4" i="1"/>
  <c r="W3" i="4" s="1"/>
  <c r="O6" i="1"/>
  <c r="G5" i="4" s="1"/>
  <c r="W6" i="1"/>
  <c r="O5" i="4" s="1"/>
  <c r="AE6" i="1"/>
  <c r="W5" i="4" s="1"/>
  <c r="O7" i="1"/>
  <c r="G6" i="4" s="1"/>
  <c r="W7" i="1"/>
  <c r="O6" i="4" s="1"/>
  <c r="AE7" i="1"/>
  <c r="W6" i="4" s="1"/>
  <c r="V21" i="1"/>
  <c r="AI8" i="2"/>
  <c r="W21" i="4" s="1"/>
  <c r="X11" i="2"/>
  <c r="L24" i="4" s="1"/>
  <c r="AH13" i="2"/>
  <c r="V26" i="4" s="1"/>
  <c r="Z13" i="2"/>
  <c r="N26" i="4" s="1"/>
  <c r="R13" i="2"/>
  <c r="F26" i="4" s="1"/>
  <c r="AI13" i="2"/>
  <c r="W26" i="4" s="1"/>
  <c r="Y13" i="2"/>
  <c r="M26" i="4" s="1"/>
  <c r="P13" i="2"/>
  <c r="D26" i="4" s="1"/>
  <c r="AG13" i="2"/>
  <c r="U26" i="4" s="1"/>
  <c r="X13" i="2"/>
  <c r="L26" i="4" s="1"/>
  <c r="O13" i="2"/>
  <c r="AF13" i="2"/>
  <c r="T26" i="4" s="1"/>
  <c r="W13" i="2"/>
  <c r="K26" i="4" s="1"/>
  <c r="N13" i="2"/>
  <c r="AE13" i="2"/>
  <c r="S26" i="4" s="1"/>
  <c r="V13" i="2"/>
  <c r="J26" i="4" s="1"/>
  <c r="AB13" i="2"/>
  <c r="P26" i="4" s="1"/>
  <c r="S13" i="2"/>
  <c r="G26" i="4" s="1"/>
  <c r="N3" i="1"/>
  <c r="F2" i="4" s="1"/>
  <c r="N4" i="1"/>
  <c r="F3" i="4" s="1"/>
  <c r="AD4" i="1"/>
  <c r="V3" i="4" s="1"/>
  <c r="AD6" i="1"/>
  <c r="V5" i="4" s="1"/>
  <c r="V7" i="1"/>
  <c r="N6" i="4" s="1"/>
  <c r="O3" i="1"/>
  <c r="G2" i="4" s="1"/>
  <c r="P3" i="1"/>
  <c r="H2" i="4" s="1"/>
  <c r="X3" i="1"/>
  <c r="P2" i="4" s="1"/>
  <c r="P4" i="1"/>
  <c r="H3" i="4" s="1"/>
  <c r="X4" i="1"/>
  <c r="P3" i="4" s="1"/>
  <c r="AF4" i="1"/>
  <c r="X3" i="4" s="1"/>
  <c r="P6" i="1"/>
  <c r="H5" i="4" s="1"/>
  <c r="X6" i="1"/>
  <c r="P5" i="4" s="1"/>
  <c r="P7" i="1"/>
  <c r="H6" i="4" s="1"/>
  <c r="X7" i="1"/>
  <c r="P6" i="4" s="1"/>
  <c r="F7" i="2"/>
  <c r="AD11" i="2"/>
  <c r="R24" i="4" s="1"/>
  <c r="AA13" i="2"/>
  <c r="O26" i="4" s="1"/>
  <c r="Q3" i="1"/>
  <c r="I2" i="4" s="1"/>
  <c r="Y3" i="1"/>
  <c r="Q2" i="4" s="1"/>
  <c r="Z21" i="1"/>
  <c r="R21" i="1"/>
  <c r="J21" i="1"/>
  <c r="AD21" i="1"/>
  <c r="U21" i="1"/>
  <c r="L21" i="1"/>
  <c r="AC21" i="1"/>
  <c r="T21" i="1"/>
  <c r="K21" i="1"/>
  <c r="AB21" i="1"/>
  <c r="S21" i="1"/>
  <c r="F29" i="1"/>
  <c r="AA21" i="1"/>
  <c r="Q21" i="1"/>
  <c r="Q4" i="1"/>
  <c r="I3" i="4" s="1"/>
  <c r="Y4" i="1"/>
  <c r="Q3" i="4" s="1"/>
  <c r="F5" i="1"/>
  <c r="F11" i="1"/>
  <c r="Q6" i="1"/>
  <c r="I5" i="4" s="1"/>
  <c r="Y6" i="1"/>
  <c r="Q5" i="4" s="1"/>
  <c r="F12" i="1"/>
  <c r="Q7" i="1"/>
  <c r="I6" i="4" s="1"/>
  <c r="Y7" i="1"/>
  <c r="Q6" i="4" s="1"/>
  <c r="X21" i="1"/>
  <c r="AF11" i="2"/>
  <c r="T24" i="4" s="1"/>
  <c r="AC13" i="2"/>
  <c r="Q26" i="4" s="1"/>
  <c r="Y21" i="1"/>
  <c r="AF8" i="2"/>
  <c r="T21" i="4" s="1"/>
  <c r="X8" i="2"/>
  <c r="L21" i="4" s="1"/>
  <c r="P8" i="2"/>
  <c r="D21" i="4" s="1"/>
  <c r="AH8" i="2"/>
  <c r="V21" i="4" s="1"/>
  <c r="Y8" i="2"/>
  <c r="M21" i="4" s="1"/>
  <c r="O8" i="2"/>
  <c r="AG8" i="2"/>
  <c r="U21" i="4" s="1"/>
  <c r="W8" i="2"/>
  <c r="K21" i="4" s="1"/>
  <c r="N8" i="2"/>
  <c r="AE8" i="2"/>
  <c r="S21" i="4" s="1"/>
  <c r="V8" i="2"/>
  <c r="J21" i="4" s="1"/>
  <c r="AD8" i="2"/>
  <c r="R21" i="4" s="1"/>
  <c r="U8" i="2"/>
  <c r="I21" i="4" s="1"/>
  <c r="AJ8" i="2"/>
  <c r="X21" i="4" s="1"/>
  <c r="AA8" i="2"/>
  <c r="O21" i="4" s="1"/>
  <c r="R8" i="2"/>
  <c r="F21" i="4" s="1"/>
  <c r="AG11" i="2"/>
  <c r="U24" i="4" s="1"/>
  <c r="B27" i="4"/>
  <c r="W9" i="1"/>
  <c r="O8" i="4" s="1"/>
  <c r="AE9" i="1"/>
  <c r="W8" i="4" s="1"/>
  <c r="F18" i="1"/>
  <c r="F35" i="1"/>
  <c r="C27" i="4"/>
  <c r="F15" i="1"/>
  <c r="AE10" i="1" s="1"/>
  <c r="W9" i="4" s="1"/>
  <c r="F37" i="1"/>
  <c r="F45" i="1"/>
  <c r="P14" i="2"/>
  <c r="D27" i="4" s="1"/>
  <c r="X14" i="2"/>
  <c r="L27" i="4" s="1"/>
  <c r="J22" i="1" l="1"/>
  <c r="O26" i="1"/>
  <c r="F55" i="1"/>
  <c r="I43" i="1"/>
  <c r="U36" i="1"/>
  <c r="W13" i="1"/>
  <c r="O12" i="4" s="1"/>
  <c r="AD13" i="1"/>
  <c r="V12" i="4" s="1"/>
  <c r="AA13" i="1"/>
  <c r="S12" i="4" s="1"/>
  <c r="Y13" i="1"/>
  <c r="Q12" i="4" s="1"/>
  <c r="W22" i="1"/>
  <c r="C14" i="3"/>
  <c r="C17" i="7"/>
  <c r="B14" i="3"/>
  <c r="D17" i="7"/>
  <c r="C27" i="3"/>
  <c r="C28" i="7"/>
  <c r="B27" i="3"/>
  <c r="D28" i="7"/>
  <c r="B15" i="3"/>
  <c r="D18" i="7"/>
  <c r="C15" i="3"/>
  <c r="C18" i="7"/>
  <c r="C24" i="3"/>
  <c r="C25" i="7"/>
  <c r="Y36" i="1"/>
  <c r="L36" i="1"/>
  <c r="J36" i="1"/>
  <c r="X36" i="1"/>
  <c r="Z13" i="1"/>
  <c r="R12" i="4" s="1"/>
  <c r="AC22" i="1"/>
  <c r="Q13" i="1"/>
  <c r="I12" i="4" s="1"/>
  <c r="T13" i="1"/>
  <c r="L12" i="4" s="1"/>
  <c r="O22" i="1"/>
  <c r="AE36" i="1"/>
  <c r="K13" i="1"/>
  <c r="U26" i="1"/>
  <c r="R7" i="2"/>
  <c r="F20" i="4" s="1"/>
  <c r="AD26" i="1"/>
  <c r="X26" i="1"/>
  <c r="M26" i="1"/>
  <c r="Q26" i="1"/>
  <c r="K26" i="1"/>
  <c r="J26" i="1"/>
  <c r="V26" i="1"/>
  <c r="P26" i="1"/>
  <c r="AE26" i="1"/>
  <c r="Z26" i="1"/>
  <c r="R26" i="1"/>
  <c r="AB26" i="1"/>
  <c r="S26" i="1"/>
  <c r="N26" i="1"/>
  <c r="W26" i="1"/>
  <c r="L26" i="1"/>
  <c r="AF26" i="1"/>
  <c r="W7" i="2"/>
  <c r="K20" i="4" s="1"/>
  <c r="R13" i="1"/>
  <c r="J12" i="4" s="1"/>
  <c r="O13" i="1"/>
  <c r="G12" i="4" s="1"/>
  <c r="S36" i="1"/>
  <c r="P36" i="1"/>
  <c r="N36" i="1"/>
  <c r="S13" i="1"/>
  <c r="K12" i="4" s="1"/>
  <c r="M13" i="1"/>
  <c r="E12" i="4" s="1"/>
  <c r="L13" i="1"/>
  <c r="D12" i="4" s="1"/>
  <c r="AC36" i="1"/>
  <c r="AB13" i="1"/>
  <c r="T12" i="4" s="1"/>
  <c r="AC13" i="1"/>
  <c r="U12" i="4" s="1"/>
  <c r="U13" i="1"/>
  <c r="M12" i="4" s="1"/>
  <c r="P13" i="1"/>
  <c r="H12" i="4" s="1"/>
  <c r="T36" i="1"/>
  <c r="O36" i="1"/>
  <c r="B6" i="4"/>
  <c r="C9" i="7" s="1"/>
  <c r="K36" i="1"/>
  <c r="F20" i="1"/>
  <c r="Z14" i="1" s="1"/>
  <c r="R13" i="4" s="1"/>
  <c r="F41" i="1"/>
  <c r="W36" i="1"/>
  <c r="V13" i="1"/>
  <c r="N12" i="4" s="1"/>
  <c r="AE13" i="1"/>
  <c r="W12" i="4" s="1"/>
  <c r="AF13" i="1"/>
  <c r="X12" i="4" s="1"/>
  <c r="N13" i="1"/>
  <c r="F12" i="4" s="1"/>
  <c r="AH7" i="2"/>
  <c r="V20" i="4" s="1"/>
  <c r="B5" i="4"/>
  <c r="C8" i="7" s="1"/>
  <c r="C6" i="4"/>
  <c r="D9" i="7" s="1"/>
  <c r="AF22" i="1"/>
  <c r="N7" i="2"/>
  <c r="R22" i="1"/>
  <c r="U22" i="1"/>
  <c r="Q22" i="1"/>
  <c r="P7" i="2"/>
  <c r="D20" i="4" s="1"/>
  <c r="AJ7" i="2"/>
  <c r="X20" i="4" s="1"/>
  <c r="AA7" i="2"/>
  <c r="O20" i="4" s="1"/>
  <c r="AD22" i="1"/>
  <c r="Y22" i="1"/>
  <c r="U7" i="2"/>
  <c r="I20" i="4" s="1"/>
  <c r="V7" i="2"/>
  <c r="J20" i="4" s="1"/>
  <c r="S7" i="2"/>
  <c r="G20" i="4" s="1"/>
  <c r="C5" i="4"/>
  <c r="D8" i="7" s="1"/>
  <c r="C3" i="4"/>
  <c r="D6" i="7" s="1"/>
  <c r="M22" i="1"/>
  <c r="X7" i="2"/>
  <c r="L20" i="4" s="1"/>
  <c r="AF7" i="2"/>
  <c r="T20" i="4" s="1"/>
  <c r="AB7" i="2"/>
  <c r="P20" i="4" s="1"/>
  <c r="AA22" i="1"/>
  <c r="AB36" i="1"/>
  <c r="R36" i="1"/>
  <c r="Q36" i="1"/>
  <c r="M36" i="1"/>
  <c r="V36" i="1"/>
  <c r="AF36" i="1"/>
  <c r="AA36" i="1"/>
  <c r="Z36" i="1"/>
  <c r="B3" i="4"/>
  <c r="C6" i="7" s="1"/>
  <c r="P22" i="1"/>
  <c r="V22" i="1"/>
  <c r="AD7" i="2"/>
  <c r="R20" i="4" s="1"/>
  <c r="Q7" i="2"/>
  <c r="E20" i="4" s="1"/>
  <c r="T7" i="2"/>
  <c r="H20" i="4" s="1"/>
  <c r="L22" i="1"/>
  <c r="AE7" i="2"/>
  <c r="S20" i="4" s="1"/>
  <c r="K22" i="1"/>
  <c r="AE22" i="1"/>
  <c r="Y7" i="2"/>
  <c r="M20" i="4" s="1"/>
  <c r="Z7" i="2"/>
  <c r="N20" i="4" s="1"/>
  <c r="AC7" i="2"/>
  <c r="Q20" i="4" s="1"/>
  <c r="Z22" i="1"/>
  <c r="S22" i="1"/>
  <c r="E22" i="2"/>
  <c r="T22" i="1"/>
  <c r="N22" i="1"/>
  <c r="AG7" i="2"/>
  <c r="U20" i="4" s="1"/>
  <c r="AI7" i="2"/>
  <c r="W20" i="4" s="1"/>
  <c r="X22" i="1"/>
  <c r="C10" i="4"/>
  <c r="K37" i="1"/>
  <c r="C8" i="4"/>
  <c r="D10" i="7" s="1"/>
  <c r="Y10" i="1"/>
  <c r="Q9" i="4" s="1"/>
  <c r="AA37" i="1"/>
  <c r="AB37" i="1"/>
  <c r="P37" i="1"/>
  <c r="Z37" i="1"/>
  <c r="N37" i="1"/>
  <c r="Y37" i="1"/>
  <c r="M37" i="1"/>
  <c r="X37" i="1"/>
  <c r="L37" i="1"/>
  <c r="V37" i="1"/>
  <c r="J37" i="1"/>
  <c r="U37" i="1"/>
  <c r="AF37" i="1"/>
  <c r="S37" i="1"/>
  <c r="AD37" i="1"/>
  <c r="Q37" i="1"/>
  <c r="C2" i="4"/>
  <c r="Q10" i="1"/>
  <c r="I9" i="4" s="1"/>
  <c r="AC26" i="1"/>
  <c r="AA26" i="1"/>
  <c r="T26" i="1"/>
  <c r="O37" i="1"/>
  <c r="W37" i="1"/>
  <c r="AC37" i="1"/>
  <c r="AE37" i="1"/>
  <c r="T37" i="1"/>
  <c r="C20" i="4"/>
  <c r="D21" i="7" s="1"/>
  <c r="C24" i="4"/>
  <c r="Y12" i="1"/>
  <c r="Q11" i="4" s="1"/>
  <c r="Q12" i="1"/>
  <c r="I11" i="4" s="1"/>
  <c r="AF12" i="1"/>
  <c r="X11" i="4" s="1"/>
  <c r="X12" i="1"/>
  <c r="P11" i="4" s="1"/>
  <c r="AE12" i="1"/>
  <c r="W11" i="4" s="1"/>
  <c r="W12" i="1"/>
  <c r="O11" i="4" s="1"/>
  <c r="O12" i="1"/>
  <c r="G11" i="4" s="1"/>
  <c r="V12" i="1"/>
  <c r="N11" i="4" s="1"/>
  <c r="L12" i="1"/>
  <c r="D11" i="4" s="1"/>
  <c r="F40" i="1"/>
  <c r="U12" i="1"/>
  <c r="M11" i="4" s="1"/>
  <c r="K12" i="1"/>
  <c r="AB12" i="1"/>
  <c r="T11" i="4" s="1"/>
  <c r="T12" i="1"/>
  <c r="L11" i="4" s="1"/>
  <c r="J12" i="1"/>
  <c r="AD12" i="1"/>
  <c r="V11" i="4" s="1"/>
  <c r="S12" i="1"/>
  <c r="K11" i="4" s="1"/>
  <c r="AC12" i="1"/>
  <c r="U11" i="4" s="1"/>
  <c r="R12" i="1"/>
  <c r="J11" i="4" s="1"/>
  <c r="P12" i="1"/>
  <c r="H11" i="4" s="1"/>
  <c r="AA12" i="1"/>
  <c r="S11" i="4" s="1"/>
  <c r="N12" i="1"/>
  <c r="F11" i="4" s="1"/>
  <c r="Z12" i="1"/>
  <c r="R11" i="4" s="1"/>
  <c r="M12" i="1"/>
  <c r="E11" i="4" s="1"/>
  <c r="C26" i="4"/>
  <c r="C25" i="4"/>
  <c r="B21" i="4"/>
  <c r="C22" i="7" s="1"/>
  <c r="F31" i="1"/>
  <c r="F53" i="1" s="1"/>
  <c r="B22" i="4"/>
  <c r="C23" i="7" s="1"/>
  <c r="Y25" i="1"/>
  <c r="Q25" i="1"/>
  <c r="AC25" i="1"/>
  <c r="T25" i="1"/>
  <c r="K25" i="1"/>
  <c r="AB25" i="1"/>
  <c r="S25" i="1"/>
  <c r="J25" i="1"/>
  <c r="AA25" i="1"/>
  <c r="R25" i="1"/>
  <c r="Z25" i="1"/>
  <c r="P25" i="1"/>
  <c r="W25" i="1"/>
  <c r="V25" i="1"/>
  <c r="U25" i="1"/>
  <c r="M25" i="1"/>
  <c r="O25" i="1"/>
  <c r="AE25" i="1"/>
  <c r="AF25" i="1"/>
  <c r="N25" i="1"/>
  <c r="AD25" i="1"/>
  <c r="L25" i="1"/>
  <c r="X25" i="1"/>
  <c r="Z5" i="1"/>
  <c r="R4" i="4" s="1"/>
  <c r="R5" i="1"/>
  <c r="J4" i="4" s="1"/>
  <c r="J5" i="1"/>
  <c r="Y5" i="1"/>
  <c r="Q4" i="4" s="1"/>
  <c r="Q5" i="1"/>
  <c r="I4" i="4" s="1"/>
  <c r="AA5" i="1"/>
  <c r="S4" i="4" s="1"/>
  <c r="AF5" i="1"/>
  <c r="X4" i="4" s="1"/>
  <c r="X5" i="1"/>
  <c r="P4" i="4" s="1"/>
  <c r="P5" i="1"/>
  <c r="H4" i="4" s="1"/>
  <c r="AD5" i="1"/>
  <c r="V4" i="4" s="1"/>
  <c r="AE5" i="1"/>
  <c r="W4" i="4" s="1"/>
  <c r="W5" i="1"/>
  <c r="O4" i="4" s="1"/>
  <c r="O5" i="1"/>
  <c r="G4" i="4" s="1"/>
  <c r="N5" i="1"/>
  <c r="F4" i="4" s="1"/>
  <c r="V5" i="1"/>
  <c r="N4" i="4" s="1"/>
  <c r="AC5" i="1"/>
  <c r="U4" i="4" s="1"/>
  <c r="U5" i="1"/>
  <c r="M4" i="4" s="1"/>
  <c r="M5" i="1"/>
  <c r="E4" i="4" s="1"/>
  <c r="S5" i="1"/>
  <c r="K4" i="4" s="1"/>
  <c r="AB5" i="1"/>
  <c r="T4" i="4" s="1"/>
  <c r="T5" i="1"/>
  <c r="L4" i="4" s="1"/>
  <c r="L5" i="1"/>
  <c r="D4" i="4" s="1"/>
  <c r="K5" i="1"/>
  <c r="B26" i="4"/>
  <c r="B23" i="4"/>
  <c r="AE35" i="1"/>
  <c r="W35" i="1"/>
  <c r="O35" i="1"/>
  <c r="AF35" i="1"/>
  <c r="V35" i="1"/>
  <c r="M35" i="1"/>
  <c r="AD35" i="1"/>
  <c r="U35" i="1"/>
  <c r="L35" i="1"/>
  <c r="AC35" i="1"/>
  <c r="T35" i="1"/>
  <c r="K35" i="1"/>
  <c r="AB35" i="1"/>
  <c r="S35" i="1"/>
  <c r="J35" i="1"/>
  <c r="P35" i="1"/>
  <c r="N35" i="1"/>
  <c r="AA35" i="1"/>
  <c r="Z35" i="1"/>
  <c r="Y35" i="1"/>
  <c r="X35" i="1"/>
  <c r="R35" i="1"/>
  <c r="Q35" i="1"/>
  <c r="W10" i="1"/>
  <c r="O9" i="4" s="1"/>
  <c r="O10" i="1"/>
  <c r="G9" i="4" s="1"/>
  <c r="X10" i="1"/>
  <c r="P9" i="4" s="1"/>
  <c r="M10" i="1"/>
  <c r="E9" i="4" s="1"/>
  <c r="V10" i="1"/>
  <c r="N9" i="4" s="1"/>
  <c r="L10" i="1"/>
  <c r="D9" i="4" s="1"/>
  <c r="R10" i="1"/>
  <c r="J9" i="4" s="1"/>
  <c r="AF10" i="1"/>
  <c r="X9" i="4" s="1"/>
  <c r="U10" i="1"/>
  <c r="M9" i="4" s="1"/>
  <c r="K10" i="1"/>
  <c r="F38" i="1"/>
  <c r="AD10" i="1"/>
  <c r="V9" i="4" s="1"/>
  <c r="T10" i="1"/>
  <c r="L9" i="4" s="1"/>
  <c r="J10" i="1"/>
  <c r="Z10" i="1"/>
  <c r="R9" i="4" s="1"/>
  <c r="AC10" i="1"/>
  <c r="U9" i="4" s="1"/>
  <c r="S10" i="1"/>
  <c r="K9" i="4" s="1"/>
  <c r="AB10" i="1"/>
  <c r="T9" i="4" s="1"/>
  <c r="AA10" i="1"/>
  <c r="S9" i="4" s="1"/>
  <c r="P10" i="1"/>
  <c r="H9" i="4" s="1"/>
  <c r="N10" i="1"/>
  <c r="F9" i="4" s="1"/>
  <c r="C21" i="4"/>
  <c r="D22" i="7" s="1"/>
  <c r="F22" i="2"/>
  <c r="AH6" i="2"/>
  <c r="Z6" i="2"/>
  <c r="R6" i="2"/>
  <c r="AC6" i="2"/>
  <c r="T6" i="2"/>
  <c r="AB6" i="2"/>
  <c r="S6" i="2"/>
  <c r="AJ6" i="2"/>
  <c r="AA6" i="2"/>
  <c r="Q6" i="2"/>
  <c r="AI6" i="2"/>
  <c r="Y6" i="2"/>
  <c r="P6" i="2"/>
  <c r="AE6" i="2"/>
  <c r="V6" i="2"/>
  <c r="X6" i="2"/>
  <c r="W6" i="2"/>
  <c r="U6" i="2"/>
  <c r="O6" i="2"/>
  <c r="Q30" i="2" s="1"/>
  <c r="N6" i="2"/>
  <c r="AG6" i="2"/>
  <c r="AF6" i="2"/>
  <c r="AD6" i="2"/>
  <c r="C23" i="4"/>
  <c r="B25" i="4"/>
  <c r="C22" i="4"/>
  <c r="D23" i="7" s="1"/>
  <c r="M14" i="1" l="1"/>
  <c r="E13" i="4" s="1"/>
  <c r="Q14" i="1"/>
  <c r="I13" i="4" s="1"/>
  <c r="N14" i="1"/>
  <c r="F13" i="4" s="1"/>
  <c r="AE14" i="1"/>
  <c r="W13" i="4" s="1"/>
  <c r="AD14" i="1"/>
  <c r="V13" i="4" s="1"/>
  <c r="O14" i="1"/>
  <c r="G13" i="4" s="1"/>
  <c r="L14" i="1"/>
  <c r="D13" i="4" s="1"/>
  <c r="J14" i="1"/>
  <c r="AC14" i="1"/>
  <c r="U13" i="4" s="1"/>
  <c r="W14" i="1"/>
  <c r="O13" i="4" s="1"/>
  <c r="T14" i="1"/>
  <c r="L13" i="4" s="1"/>
  <c r="AB14" i="1"/>
  <c r="T13" i="4" s="1"/>
  <c r="S14" i="1"/>
  <c r="K13" i="4" s="1"/>
  <c r="P14" i="1"/>
  <c r="H13" i="4" s="1"/>
  <c r="U14" i="1"/>
  <c r="M13" i="4" s="1"/>
  <c r="X14" i="1"/>
  <c r="P13" i="4" s="1"/>
  <c r="V14" i="1"/>
  <c r="N13" i="4" s="1"/>
  <c r="AF14" i="1"/>
  <c r="X13" i="4" s="1"/>
  <c r="D5" i="7"/>
  <c r="C5" i="11" s="1"/>
  <c r="I5" i="11" s="1"/>
  <c r="F34" i="1"/>
  <c r="R24" i="1" s="1"/>
  <c r="Y14" i="1"/>
  <c r="Q13" i="4" s="1"/>
  <c r="R14" i="1"/>
  <c r="J13" i="4" s="1"/>
  <c r="K14" i="1"/>
  <c r="I55" i="1" s="1"/>
  <c r="AA14" i="1"/>
  <c r="S13" i="4" s="1"/>
  <c r="AB17" i="7"/>
  <c r="X17" i="7"/>
  <c r="T17" i="7"/>
  <c r="P17" i="7"/>
  <c r="L17" i="7"/>
  <c r="H17" i="7"/>
  <c r="Z17" i="7"/>
  <c r="V17" i="7"/>
  <c r="R17" i="7"/>
  <c r="N17" i="7"/>
  <c r="J17" i="7"/>
  <c r="F17" i="7"/>
  <c r="F17" i="11" s="1"/>
  <c r="C17" i="11"/>
  <c r="I17" i="11" s="1"/>
  <c r="B17" i="11"/>
  <c r="H17" i="11" s="1"/>
  <c r="AA17" i="7"/>
  <c r="W17" i="7"/>
  <c r="S17" i="7"/>
  <c r="O17" i="7"/>
  <c r="K17" i="7"/>
  <c r="G17" i="7"/>
  <c r="Y17" i="7"/>
  <c r="U17" i="7"/>
  <c r="Q17" i="7"/>
  <c r="M17" i="7"/>
  <c r="I17" i="7"/>
  <c r="E17" i="7"/>
  <c r="E17" i="11" s="1"/>
  <c r="C18" i="11"/>
  <c r="I18" i="11" s="1"/>
  <c r="Z18" i="7"/>
  <c r="V18" i="7"/>
  <c r="R18" i="7"/>
  <c r="N18" i="7"/>
  <c r="J18" i="7"/>
  <c r="F18" i="7"/>
  <c r="F18" i="11" s="1"/>
  <c r="AB18" i="7"/>
  <c r="X18" i="7"/>
  <c r="T18" i="7"/>
  <c r="P18" i="7"/>
  <c r="L18" i="7"/>
  <c r="H18" i="7"/>
  <c r="C21" i="11"/>
  <c r="I21" i="11" s="1"/>
  <c r="V21" i="7"/>
  <c r="N21" i="7"/>
  <c r="AB21" i="7"/>
  <c r="T21" i="7"/>
  <c r="L21" i="7"/>
  <c r="F21" i="7"/>
  <c r="F21" i="11" s="1"/>
  <c r="Z21" i="7"/>
  <c r="R21" i="7"/>
  <c r="J21" i="7"/>
  <c r="X21" i="7"/>
  <c r="P21" i="7"/>
  <c r="H21" i="7"/>
  <c r="AB9" i="7"/>
  <c r="X9" i="7"/>
  <c r="T9" i="7"/>
  <c r="P9" i="7"/>
  <c r="L9" i="7"/>
  <c r="H9" i="7"/>
  <c r="F9" i="7"/>
  <c r="F9" i="11" s="1"/>
  <c r="Z9" i="7"/>
  <c r="V9" i="7"/>
  <c r="R9" i="7"/>
  <c r="N9" i="7"/>
  <c r="J9" i="7"/>
  <c r="C9" i="11"/>
  <c r="I9" i="11" s="1"/>
  <c r="X28" i="7"/>
  <c r="P28" i="7"/>
  <c r="H28" i="7"/>
  <c r="C28" i="11"/>
  <c r="I28" i="11" s="1"/>
  <c r="V28" i="7"/>
  <c r="N28" i="7"/>
  <c r="F28" i="7"/>
  <c r="F28" i="11" s="1"/>
  <c r="AB28" i="7"/>
  <c r="T28" i="7"/>
  <c r="L28" i="7"/>
  <c r="Z28" i="7"/>
  <c r="R28" i="7"/>
  <c r="J28" i="7"/>
  <c r="AB22" i="7"/>
  <c r="T22" i="7"/>
  <c r="L22" i="7"/>
  <c r="F22" i="7"/>
  <c r="F22" i="11" s="1"/>
  <c r="Z22" i="7"/>
  <c r="R22" i="7"/>
  <c r="J22" i="7"/>
  <c r="C22" i="11"/>
  <c r="I22" i="11" s="1"/>
  <c r="X22" i="7"/>
  <c r="P22" i="7"/>
  <c r="H22" i="7"/>
  <c r="V22" i="7"/>
  <c r="N22" i="7"/>
  <c r="F6" i="7"/>
  <c r="F6" i="11" s="1"/>
  <c r="Z6" i="7"/>
  <c r="V6" i="7"/>
  <c r="R6" i="7"/>
  <c r="N6" i="7"/>
  <c r="J6" i="7"/>
  <c r="C6" i="11"/>
  <c r="I6" i="11" s="1"/>
  <c r="AB6" i="7"/>
  <c r="X6" i="7"/>
  <c r="T6" i="7"/>
  <c r="P6" i="7"/>
  <c r="L6" i="7"/>
  <c r="H6" i="7"/>
  <c r="G8" i="7"/>
  <c r="AA8" i="7"/>
  <c r="W8" i="7"/>
  <c r="S8" i="7"/>
  <c r="O8" i="7"/>
  <c r="K8" i="7"/>
  <c r="B8" i="11"/>
  <c r="H8" i="11" s="1"/>
  <c r="E8" i="7"/>
  <c r="E8" i="11" s="1"/>
  <c r="M8" i="7"/>
  <c r="Q8" i="7"/>
  <c r="U8" i="7"/>
  <c r="Y8" i="7"/>
  <c r="I8" i="7"/>
  <c r="B23" i="11"/>
  <c r="H23" i="11" s="1"/>
  <c r="Y23" i="7"/>
  <c r="Q23" i="7"/>
  <c r="I23" i="7"/>
  <c r="W23" i="7"/>
  <c r="O23" i="7"/>
  <c r="G23" i="7"/>
  <c r="U23" i="7"/>
  <c r="M23" i="7"/>
  <c r="S23" i="7"/>
  <c r="AA23" i="7"/>
  <c r="K23" i="7"/>
  <c r="E23" i="7"/>
  <c r="E23" i="11" s="1"/>
  <c r="AB5" i="7"/>
  <c r="J5" i="7"/>
  <c r="H8" i="7"/>
  <c r="AB8" i="7"/>
  <c r="X8" i="7"/>
  <c r="T8" i="7"/>
  <c r="P8" i="7"/>
  <c r="L8" i="7"/>
  <c r="C8" i="11"/>
  <c r="I8" i="11" s="1"/>
  <c r="F8" i="7"/>
  <c r="F8" i="11" s="1"/>
  <c r="Z8" i="7"/>
  <c r="V8" i="7"/>
  <c r="R8" i="7"/>
  <c r="N8" i="7"/>
  <c r="J8" i="7"/>
  <c r="B25" i="11"/>
  <c r="U25" i="7"/>
  <c r="M25" i="7"/>
  <c r="AA25" i="7"/>
  <c r="S25" i="7"/>
  <c r="K25" i="7"/>
  <c r="E25" i="7"/>
  <c r="E25" i="11" s="1"/>
  <c r="Y25" i="7"/>
  <c r="Q25" i="7"/>
  <c r="I25" i="7"/>
  <c r="W25" i="7"/>
  <c r="O25" i="7"/>
  <c r="G25" i="7"/>
  <c r="W28" i="7"/>
  <c r="O28" i="7"/>
  <c r="G28" i="7"/>
  <c r="E28" i="7"/>
  <c r="E28" i="11" s="1"/>
  <c r="B28" i="11"/>
  <c r="H28" i="11" s="1"/>
  <c r="U28" i="7"/>
  <c r="M28" i="7"/>
  <c r="Y28" i="7"/>
  <c r="AA28" i="7"/>
  <c r="S28" i="7"/>
  <c r="K28" i="7"/>
  <c r="Q28" i="7"/>
  <c r="I28" i="7"/>
  <c r="Z23" i="7"/>
  <c r="R23" i="7"/>
  <c r="J23" i="7"/>
  <c r="C23" i="11"/>
  <c r="I23" i="11" s="1"/>
  <c r="X23" i="7"/>
  <c r="P23" i="7"/>
  <c r="H23" i="7"/>
  <c r="V23" i="7"/>
  <c r="N23" i="7"/>
  <c r="AB23" i="7"/>
  <c r="T23" i="7"/>
  <c r="L23" i="7"/>
  <c r="F23" i="7"/>
  <c r="F23" i="11" s="1"/>
  <c r="E6" i="7"/>
  <c r="E6" i="11" s="1"/>
  <c r="M6" i="7"/>
  <c r="Y6" i="7"/>
  <c r="U6" i="7"/>
  <c r="Q6" i="7"/>
  <c r="I6" i="7"/>
  <c r="B6" i="11"/>
  <c r="H6" i="11" s="1"/>
  <c r="K6" i="7"/>
  <c r="O6" i="7"/>
  <c r="S6" i="7"/>
  <c r="G6" i="7"/>
  <c r="W6" i="7"/>
  <c r="AA6" i="7"/>
  <c r="B9" i="11"/>
  <c r="H9" i="11" s="1"/>
  <c r="AA9" i="7"/>
  <c r="W9" i="7"/>
  <c r="S9" i="7"/>
  <c r="O9" i="7"/>
  <c r="K9" i="7"/>
  <c r="G9" i="7"/>
  <c r="E9" i="7"/>
  <c r="E9" i="11" s="1"/>
  <c r="Y9" i="7"/>
  <c r="U9" i="7"/>
  <c r="Q9" i="7"/>
  <c r="M9" i="7"/>
  <c r="I9" i="7"/>
  <c r="AA22" i="7"/>
  <c r="S22" i="7"/>
  <c r="K22" i="7"/>
  <c r="E22" i="7"/>
  <c r="E22" i="11" s="1"/>
  <c r="Y22" i="7"/>
  <c r="Q22" i="7"/>
  <c r="I22" i="7"/>
  <c r="U22" i="7"/>
  <c r="M22" i="7"/>
  <c r="B22" i="11"/>
  <c r="H22" i="11" s="1"/>
  <c r="W22" i="7"/>
  <c r="O22" i="7"/>
  <c r="G22" i="7"/>
  <c r="F10" i="7"/>
  <c r="F10" i="11" s="1"/>
  <c r="C10" i="11"/>
  <c r="I10" i="11" s="1"/>
  <c r="Z10" i="7"/>
  <c r="V10" i="7"/>
  <c r="R10" i="7"/>
  <c r="N10" i="7"/>
  <c r="J10" i="7"/>
  <c r="AB10" i="7"/>
  <c r="X10" i="7"/>
  <c r="T10" i="7"/>
  <c r="P10" i="7"/>
  <c r="L10" i="7"/>
  <c r="H10" i="7"/>
  <c r="B18" i="11"/>
  <c r="H18" i="11" s="1"/>
  <c r="Y18" i="7"/>
  <c r="U18" i="7"/>
  <c r="Q18" i="7"/>
  <c r="M18" i="7"/>
  <c r="I18" i="7"/>
  <c r="E18" i="7"/>
  <c r="E18" i="11" s="1"/>
  <c r="G18" i="7"/>
  <c r="K18" i="7"/>
  <c r="O18" i="7"/>
  <c r="S18" i="7"/>
  <c r="W18" i="7"/>
  <c r="AA18" i="7"/>
  <c r="B26" i="3"/>
  <c r="D27" i="7"/>
  <c r="B23" i="3"/>
  <c r="D24" i="7"/>
  <c r="B24" i="3"/>
  <c r="D25" i="7"/>
  <c r="B25" i="3"/>
  <c r="D26" i="7"/>
  <c r="B9" i="3"/>
  <c r="D12" i="7"/>
  <c r="C23" i="3"/>
  <c r="C24" i="7"/>
  <c r="C25" i="3"/>
  <c r="C26" i="7"/>
  <c r="C26" i="3"/>
  <c r="C27" i="7"/>
  <c r="C12" i="4"/>
  <c r="AF51" i="1"/>
  <c r="B20" i="4"/>
  <c r="C21" i="7" s="1"/>
  <c r="B4" i="4"/>
  <c r="C7" i="7" s="1"/>
  <c r="C4" i="4"/>
  <c r="D7" i="7" s="1"/>
  <c r="U22" i="2"/>
  <c r="I19" i="4"/>
  <c r="E19" i="4"/>
  <c r="Q22" i="2"/>
  <c r="N19" i="4"/>
  <c r="Z22" i="2"/>
  <c r="B11" i="4"/>
  <c r="T19" i="4"/>
  <c r="AF22" i="2"/>
  <c r="S19" i="4"/>
  <c r="AE22" i="2"/>
  <c r="P19" i="4"/>
  <c r="AB22" i="2"/>
  <c r="U19" i="4"/>
  <c r="AG22" i="2"/>
  <c r="D19" i="4"/>
  <c r="P22" i="2"/>
  <c r="H19" i="4"/>
  <c r="T22" i="2"/>
  <c r="Y30" i="1"/>
  <c r="Q30" i="1"/>
  <c r="AD30" i="1"/>
  <c r="U30" i="1"/>
  <c r="L30" i="1"/>
  <c r="AC30" i="1"/>
  <c r="T30" i="1"/>
  <c r="K30" i="1"/>
  <c r="AB30" i="1"/>
  <c r="S30" i="1"/>
  <c r="J30" i="1"/>
  <c r="AA30" i="1"/>
  <c r="R30" i="1"/>
  <c r="W30" i="1"/>
  <c r="V30" i="1"/>
  <c r="P30" i="1"/>
  <c r="AE30" i="1"/>
  <c r="O30" i="1"/>
  <c r="M30" i="1"/>
  <c r="AF30" i="1"/>
  <c r="N30" i="1"/>
  <c r="Z30" i="1"/>
  <c r="X30" i="1"/>
  <c r="B19" i="4"/>
  <c r="N26" i="2"/>
  <c r="E29" i="7" s="1"/>
  <c r="N22" i="2"/>
  <c r="M19" i="4"/>
  <c r="Y22" i="2"/>
  <c r="AC22" i="2"/>
  <c r="Q19" i="4"/>
  <c r="W19" i="4"/>
  <c r="AI22" i="2"/>
  <c r="K19" i="4"/>
  <c r="W22" i="2"/>
  <c r="O19" i="4"/>
  <c r="AA22" i="2"/>
  <c r="V19" i="4"/>
  <c r="AH22" i="2"/>
  <c r="X19" i="4"/>
  <c r="AJ22" i="2"/>
  <c r="Z28" i="1"/>
  <c r="R28" i="1"/>
  <c r="J28" i="1"/>
  <c r="AB28" i="1"/>
  <c r="S28" i="1"/>
  <c r="AA28" i="1"/>
  <c r="Q28" i="1"/>
  <c r="Y28" i="1"/>
  <c r="P28" i="1"/>
  <c r="X28" i="1"/>
  <c r="O28" i="1"/>
  <c r="AD28" i="1"/>
  <c r="L28" i="1"/>
  <c r="AC28" i="1"/>
  <c r="K28" i="1"/>
  <c r="T28" i="1"/>
  <c r="W28" i="1"/>
  <c r="V28" i="1"/>
  <c r="U28" i="1"/>
  <c r="AF28" i="1"/>
  <c r="N28" i="1"/>
  <c r="AE28" i="1"/>
  <c r="M28" i="1"/>
  <c r="C19" i="4"/>
  <c r="O26" i="2"/>
  <c r="F29" i="7" s="1"/>
  <c r="O22" i="2"/>
  <c r="F19" i="4"/>
  <c r="R22" i="2"/>
  <c r="B9" i="4"/>
  <c r="C11" i="7" s="1"/>
  <c r="AA24" i="1"/>
  <c r="B13" i="4"/>
  <c r="L19" i="4"/>
  <c r="X22" i="2"/>
  <c r="R19" i="4"/>
  <c r="AD22" i="2"/>
  <c r="J19" i="4"/>
  <c r="V22" i="2"/>
  <c r="G19" i="4"/>
  <c r="S22" i="2"/>
  <c r="C9" i="4"/>
  <c r="D11" i="7" s="1"/>
  <c r="C11" i="4"/>
  <c r="AA20" i="1" l="1"/>
  <c r="S28" i="4" s="1"/>
  <c r="AB24" i="1"/>
  <c r="AB20" i="1" s="1"/>
  <c r="T28" i="4" s="1"/>
  <c r="N24" i="1"/>
  <c r="N20" i="1" s="1"/>
  <c r="F28" i="4" s="1"/>
  <c r="F51" i="1"/>
  <c r="Z5" i="7"/>
  <c r="F5" i="7"/>
  <c r="F5" i="11" s="1"/>
  <c r="L5" i="7"/>
  <c r="R20" i="1"/>
  <c r="J28" i="4" s="1"/>
  <c r="H5" i="7"/>
  <c r="N5" i="7"/>
  <c r="P5" i="7"/>
  <c r="R5" i="7"/>
  <c r="T5" i="7"/>
  <c r="V5" i="7"/>
  <c r="X5" i="7"/>
  <c r="A59" i="1"/>
  <c r="Q24" i="1"/>
  <c r="Q20" i="1" s="1"/>
  <c r="I28" i="4" s="1"/>
  <c r="AC24" i="1"/>
  <c r="AC20" i="1" s="1"/>
  <c r="AF24" i="1"/>
  <c r="AF20" i="1" s="1"/>
  <c r="Y24" i="1"/>
  <c r="Y20" i="1" s="1"/>
  <c r="Q28" i="4" s="1"/>
  <c r="K24" i="1"/>
  <c r="U24" i="1"/>
  <c r="O24" i="1"/>
  <c r="W24" i="1"/>
  <c r="S24" i="1"/>
  <c r="S20" i="1" s="1"/>
  <c r="K28" i="4" s="1"/>
  <c r="L24" i="1"/>
  <c r="X24" i="1"/>
  <c r="X20" i="1" s="1"/>
  <c r="P28" i="4" s="1"/>
  <c r="AD24" i="1"/>
  <c r="AD20" i="1" s="1"/>
  <c r="V28" i="4" s="1"/>
  <c r="V24" i="1"/>
  <c r="M24" i="1"/>
  <c r="Z24" i="1"/>
  <c r="T24" i="1"/>
  <c r="P24" i="1"/>
  <c r="P20" i="1" s="1"/>
  <c r="H28" i="4" s="1"/>
  <c r="J24" i="1"/>
  <c r="J20" i="1" s="1"/>
  <c r="AE24" i="1"/>
  <c r="AE20" i="1" s="1"/>
  <c r="W28" i="4" s="1"/>
  <c r="C13" i="4"/>
  <c r="D15" i="7" s="1"/>
  <c r="Z11" i="7"/>
  <c r="V11" i="7"/>
  <c r="R11" i="7"/>
  <c r="N11" i="7"/>
  <c r="J11" i="7"/>
  <c r="F11" i="7"/>
  <c r="F11" i="11" s="1"/>
  <c r="C11" i="11"/>
  <c r="I11" i="11" s="1"/>
  <c r="AB11" i="7"/>
  <c r="X11" i="7"/>
  <c r="T11" i="7"/>
  <c r="P11" i="7"/>
  <c r="L11" i="7"/>
  <c r="H11" i="7"/>
  <c r="Y11" i="7"/>
  <c r="U11" i="7"/>
  <c r="Q11" i="7"/>
  <c r="M11" i="7"/>
  <c r="I11" i="7"/>
  <c r="E11" i="7"/>
  <c r="E11" i="11" s="1"/>
  <c r="B11" i="11"/>
  <c r="H11" i="11" s="1"/>
  <c r="AA11" i="7"/>
  <c r="W11" i="7"/>
  <c r="S11" i="7"/>
  <c r="O11" i="7"/>
  <c r="K11" i="7"/>
  <c r="G11" i="7"/>
  <c r="V25" i="7"/>
  <c r="N25" i="7"/>
  <c r="AB25" i="7"/>
  <c r="T25" i="7"/>
  <c r="L25" i="7"/>
  <c r="C25" i="11"/>
  <c r="Z25" i="7"/>
  <c r="R25" i="7"/>
  <c r="J25" i="7"/>
  <c r="X25" i="7"/>
  <c r="P25" i="7"/>
  <c r="H25" i="7"/>
  <c r="F25" i="7"/>
  <c r="F25" i="11" s="1"/>
  <c r="Z7" i="7"/>
  <c r="V7" i="7"/>
  <c r="R7" i="7"/>
  <c r="N7" i="7"/>
  <c r="J7" i="7"/>
  <c r="C7" i="11"/>
  <c r="I7" i="11" s="1"/>
  <c r="AB7" i="7"/>
  <c r="X7" i="7"/>
  <c r="T7" i="7"/>
  <c r="P7" i="7"/>
  <c r="L7" i="7"/>
  <c r="H7" i="7"/>
  <c r="F7" i="7"/>
  <c r="F7" i="11" s="1"/>
  <c r="AA26" i="7"/>
  <c r="S26" i="7"/>
  <c r="K26" i="7"/>
  <c r="Y26" i="7"/>
  <c r="Q26" i="7"/>
  <c r="I26" i="7"/>
  <c r="E26" i="7"/>
  <c r="E26" i="11" s="1"/>
  <c r="B26" i="11"/>
  <c r="H26" i="11" s="1"/>
  <c r="W26" i="7"/>
  <c r="O26" i="7"/>
  <c r="G26" i="7"/>
  <c r="U26" i="7"/>
  <c r="M26" i="7"/>
  <c r="Y7" i="7"/>
  <c r="U7" i="7"/>
  <c r="Q7" i="7"/>
  <c r="M7" i="7"/>
  <c r="I7" i="7"/>
  <c r="B7" i="11"/>
  <c r="H7" i="11" s="1"/>
  <c r="AA7" i="7"/>
  <c r="W7" i="7"/>
  <c r="S7" i="7"/>
  <c r="O7" i="7"/>
  <c r="K7" i="7"/>
  <c r="G7" i="7"/>
  <c r="E7" i="7"/>
  <c r="E7" i="11" s="1"/>
  <c r="W24" i="7"/>
  <c r="O24" i="7"/>
  <c r="G24" i="7"/>
  <c r="U24" i="7"/>
  <c r="M24" i="7"/>
  <c r="B24" i="11"/>
  <c r="H24" i="11" s="1"/>
  <c r="Q24" i="7"/>
  <c r="AA24" i="7"/>
  <c r="S24" i="7"/>
  <c r="K24" i="7"/>
  <c r="E24" i="7"/>
  <c r="E24" i="11" s="1"/>
  <c r="Y24" i="7"/>
  <c r="I24" i="7"/>
  <c r="X24" i="7"/>
  <c r="P24" i="7"/>
  <c r="H24" i="7"/>
  <c r="V24" i="7"/>
  <c r="N24" i="7"/>
  <c r="C24" i="11"/>
  <c r="AB24" i="7"/>
  <c r="T24" i="7"/>
  <c r="L24" i="7"/>
  <c r="Z24" i="7"/>
  <c r="R24" i="7"/>
  <c r="J24" i="7"/>
  <c r="F24" i="7"/>
  <c r="F24" i="11" s="1"/>
  <c r="B21" i="11"/>
  <c r="H21" i="11" s="1"/>
  <c r="U21" i="7"/>
  <c r="M21" i="7"/>
  <c r="AA21" i="7"/>
  <c r="S21" i="7"/>
  <c r="K21" i="7"/>
  <c r="E21" i="7"/>
  <c r="E21" i="11" s="1"/>
  <c r="W21" i="7"/>
  <c r="O21" i="7"/>
  <c r="Y21" i="7"/>
  <c r="Q21" i="7"/>
  <c r="I21" i="7"/>
  <c r="G21" i="7"/>
  <c r="Z29" i="7"/>
  <c r="R29" i="7"/>
  <c r="J29" i="7"/>
  <c r="X29" i="7"/>
  <c r="P29" i="7"/>
  <c r="H29" i="7"/>
  <c r="F29" i="11"/>
  <c r="I29" i="11" s="1"/>
  <c r="V29" i="7"/>
  <c r="N29" i="7"/>
  <c r="AB29" i="7"/>
  <c r="T29" i="7"/>
  <c r="L29" i="7"/>
  <c r="C12" i="11"/>
  <c r="I12" i="11" s="1"/>
  <c r="AB12" i="7"/>
  <c r="X12" i="7"/>
  <c r="T12" i="7"/>
  <c r="P12" i="7"/>
  <c r="L12" i="7"/>
  <c r="H12" i="7"/>
  <c r="Z12" i="7"/>
  <c r="V12" i="7"/>
  <c r="R12" i="7"/>
  <c r="N12" i="7"/>
  <c r="J12" i="7"/>
  <c r="F12" i="7"/>
  <c r="F12" i="11" s="1"/>
  <c r="Z27" i="7"/>
  <c r="R27" i="7"/>
  <c r="J27" i="7"/>
  <c r="C27" i="11"/>
  <c r="I27" i="11" s="1"/>
  <c r="X27" i="7"/>
  <c r="P27" i="7"/>
  <c r="H27" i="7"/>
  <c r="V27" i="7"/>
  <c r="N27" i="7"/>
  <c r="F27" i="7"/>
  <c r="F27" i="11" s="1"/>
  <c r="AB27" i="7"/>
  <c r="T27" i="7"/>
  <c r="L27" i="7"/>
  <c r="Y29" i="7"/>
  <c r="Q29" i="7"/>
  <c r="I29" i="7"/>
  <c r="W29" i="7"/>
  <c r="O29" i="7"/>
  <c r="G29" i="7"/>
  <c r="E29" i="11"/>
  <c r="H29" i="11" s="1"/>
  <c r="AA29" i="7"/>
  <c r="K29" i="7"/>
  <c r="U29" i="7"/>
  <c r="M29" i="7"/>
  <c r="S29" i="7"/>
  <c r="B27" i="11"/>
  <c r="H27" i="11" s="1"/>
  <c r="Y27" i="7"/>
  <c r="Q27" i="7"/>
  <c r="I27" i="7"/>
  <c r="E27" i="7"/>
  <c r="E27" i="11" s="1"/>
  <c r="W27" i="7"/>
  <c r="O27" i="7"/>
  <c r="G27" i="7"/>
  <c r="S27" i="7"/>
  <c r="U27" i="7"/>
  <c r="M27" i="7"/>
  <c r="AA27" i="7"/>
  <c r="K27" i="7"/>
  <c r="AB26" i="7"/>
  <c r="T26" i="7"/>
  <c r="L26" i="7"/>
  <c r="Z26" i="7"/>
  <c r="R26" i="7"/>
  <c r="J26" i="7"/>
  <c r="C26" i="11"/>
  <c r="I26" i="11" s="1"/>
  <c r="X26" i="7"/>
  <c r="P26" i="7"/>
  <c r="H26" i="7"/>
  <c r="F26" i="7"/>
  <c r="F26" i="11" s="1"/>
  <c r="V26" i="7"/>
  <c r="N26" i="7"/>
  <c r="C10" i="3"/>
  <c r="C13" i="7"/>
  <c r="B11" i="3"/>
  <c r="D14" i="7"/>
  <c r="B19" i="3"/>
  <c r="D20" i="7"/>
  <c r="B12" i="3"/>
  <c r="C19" i="3"/>
  <c r="C20" i="7"/>
  <c r="B10" i="3"/>
  <c r="D13" i="7"/>
  <c r="C12" i="3"/>
  <c r="C15" i="7"/>
  <c r="U51" i="1"/>
  <c r="M29" i="4" s="1"/>
  <c r="R51" i="1"/>
  <c r="J29" i="4" s="1"/>
  <c r="AE51" i="1"/>
  <c r="W29" i="4" s="1"/>
  <c r="K51" i="1"/>
  <c r="C29" i="4" s="1"/>
  <c r="N51" i="1"/>
  <c r="F29" i="4" s="1"/>
  <c r="O51" i="1"/>
  <c r="G29" i="4" s="1"/>
  <c r="L51" i="1"/>
  <c r="D29" i="4" s="1"/>
  <c r="T51" i="1"/>
  <c r="L29" i="4" s="1"/>
  <c r="J51" i="1"/>
  <c r="B29" i="4" s="1"/>
  <c r="Z51" i="1"/>
  <c r="R29" i="4" s="1"/>
  <c r="AA51" i="1"/>
  <c r="S29" i="4" s="1"/>
  <c r="X51" i="1"/>
  <c r="P29" i="4" s="1"/>
  <c r="AC51" i="1"/>
  <c r="U29" i="4" s="1"/>
  <c r="M51" i="1"/>
  <c r="E29" i="4" s="1"/>
  <c r="P51" i="1"/>
  <c r="H29" i="4" s="1"/>
  <c r="AD51" i="1"/>
  <c r="V29" i="4" s="1"/>
  <c r="V51" i="1"/>
  <c r="N29" i="4" s="1"/>
  <c r="Y51" i="1"/>
  <c r="Q29" i="4" s="1"/>
  <c r="G51" i="1"/>
  <c r="Q51" i="1"/>
  <c r="I29" i="4" s="1"/>
  <c r="W51" i="1"/>
  <c r="O29" i="4" s="1"/>
  <c r="AB51" i="1"/>
  <c r="T29" i="4" s="1"/>
  <c r="S51" i="1"/>
  <c r="K29" i="4" s="1"/>
  <c r="C28" i="3"/>
  <c r="B28" i="4"/>
  <c r="B28" i="3"/>
  <c r="U28" i="4"/>
  <c r="X28" i="4"/>
  <c r="X29" i="4"/>
  <c r="Z20" i="1" l="1"/>
  <c r="R28" i="4" s="1"/>
  <c r="R31" i="4" s="1"/>
  <c r="O20" i="1"/>
  <c r="G28" i="4" s="1"/>
  <c r="G31" i="4" s="1"/>
  <c r="M20" i="1"/>
  <c r="E28" i="4" s="1"/>
  <c r="E31" i="4" s="1"/>
  <c r="U20" i="1"/>
  <c r="U52" i="1" s="1"/>
  <c r="T20" i="1"/>
  <c r="L28" i="4" s="1"/>
  <c r="L31" i="4" s="1"/>
  <c r="V20" i="1"/>
  <c r="N28" i="4" s="1"/>
  <c r="N31" i="4" s="1"/>
  <c r="K20" i="1"/>
  <c r="C28" i="4" s="1"/>
  <c r="C31" i="4" s="1"/>
  <c r="W20" i="1"/>
  <c r="O28" i="4" s="1"/>
  <c r="O31" i="4" s="1"/>
  <c r="L20" i="1"/>
  <c r="D28" i="4" s="1"/>
  <c r="D31" i="4" s="1"/>
  <c r="M30" i="4"/>
  <c r="H30" i="4"/>
  <c r="I30" i="4"/>
  <c r="R30" i="4"/>
  <c r="D30" i="4"/>
  <c r="T30" i="4"/>
  <c r="X30" i="4"/>
  <c r="L30" i="4"/>
  <c r="O30" i="4"/>
  <c r="N30" i="4"/>
  <c r="B30" i="4"/>
  <c r="F30" i="4"/>
  <c r="G30" i="4"/>
  <c r="U30" i="4"/>
  <c r="C30" i="4"/>
  <c r="E30" i="4"/>
  <c r="S30" i="4"/>
  <c r="K30" i="4"/>
  <c r="W30" i="4"/>
  <c r="Q30" i="4"/>
  <c r="J30" i="4"/>
  <c r="V30" i="4"/>
  <c r="P30" i="4"/>
  <c r="I24" i="11"/>
  <c r="Z15" i="7"/>
  <c r="V15" i="7"/>
  <c r="R15" i="7"/>
  <c r="N15" i="7"/>
  <c r="J15" i="7"/>
  <c r="C15" i="11"/>
  <c r="I15" i="11" s="1"/>
  <c r="AB15" i="7"/>
  <c r="X15" i="7"/>
  <c r="T15" i="7"/>
  <c r="P15" i="7"/>
  <c r="L15" i="7"/>
  <c r="H15" i="7"/>
  <c r="F15" i="7"/>
  <c r="F15" i="11" s="1"/>
  <c r="AA13" i="7"/>
  <c r="W13" i="7"/>
  <c r="S13" i="7"/>
  <c r="O13" i="7"/>
  <c r="K13" i="7"/>
  <c r="G13" i="7"/>
  <c r="B13" i="11"/>
  <c r="H13" i="11" s="1"/>
  <c r="E13" i="7"/>
  <c r="E13" i="11" s="1"/>
  <c r="Y13" i="7"/>
  <c r="U13" i="7"/>
  <c r="Q13" i="7"/>
  <c r="M13" i="7"/>
  <c r="I13" i="7"/>
  <c r="W20" i="7"/>
  <c r="O20" i="7"/>
  <c r="G20" i="7"/>
  <c r="U20" i="7"/>
  <c r="M20" i="7"/>
  <c r="Y20" i="7"/>
  <c r="AA20" i="7"/>
  <c r="S20" i="7"/>
  <c r="K20" i="7"/>
  <c r="E20" i="7"/>
  <c r="E20" i="11" s="1"/>
  <c r="Q20" i="7"/>
  <c r="B20" i="11"/>
  <c r="H20" i="11" s="1"/>
  <c r="I20" i="7"/>
  <c r="Y15" i="7"/>
  <c r="U15" i="7"/>
  <c r="Q15" i="7"/>
  <c r="M15" i="7"/>
  <c r="I15" i="7"/>
  <c r="E15" i="7"/>
  <c r="E15" i="11" s="1"/>
  <c r="B15" i="11"/>
  <c r="H15" i="11" s="1"/>
  <c r="AA15" i="7"/>
  <c r="W15" i="7"/>
  <c r="S15" i="7"/>
  <c r="O15" i="7"/>
  <c r="K15" i="7"/>
  <c r="G15" i="7"/>
  <c r="X20" i="7"/>
  <c r="P20" i="7"/>
  <c r="H20" i="7"/>
  <c r="V20" i="7"/>
  <c r="N20" i="7"/>
  <c r="AB20" i="7"/>
  <c r="T20" i="7"/>
  <c r="L20" i="7"/>
  <c r="F20" i="7"/>
  <c r="F20" i="11" s="1"/>
  <c r="C20" i="11"/>
  <c r="I20" i="11" s="1"/>
  <c r="Z20" i="7"/>
  <c r="R20" i="7"/>
  <c r="J20" i="7"/>
  <c r="C29" i="3"/>
  <c r="AB13" i="7"/>
  <c r="X13" i="7"/>
  <c r="T13" i="7"/>
  <c r="P13" i="7"/>
  <c r="L13" i="7"/>
  <c r="H13" i="7"/>
  <c r="C13" i="11"/>
  <c r="I13" i="11" s="1"/>
  <c r="Z13" i="7"/>
  <c r="V13" i="7"/>
  <c r="R13" i="7"/>
  <c r="N13" i="7"/>
  <c r="J13" i="7"/>
  <c r="F13" i="7"/>
  <c r="F13" i="11" s="1"/>
  <c r="Z14" i="7"/>
  <c r="V14" i="7"/>
  <c r="R14" i="7"/>
  <c r="N14" i="7"/>
  <c r="J14" i="7"/>
  <c r="F14" i="7"/>
  <c r="F14" i="11" s="1"/>
  <c r="C14" i="11"/>
  <c r="I14" i="11" s="1"/>
  <c r="AB14" i="7"/>
  <c r="X14" i="7"/>
  <c r="T14" i="7"/>
  <c r="P14" i="7"/>
  <c r="L14" i="7"/>
  <c r="H14" i="7"/>
  <c r="B16" i="3"/>
  <c r="B29" i="3"/>
  <c r="AE52" i="1"/>
  <c r="W31" i="4"/>
  <c r="Y52" i="1"/>
  <c r="C31" i="7"/>
  <c r="B31" i="11" s="1"/>
  <c r="D31" i="7"/>
  <c r="C31" i="11" s="1"/>
  <c r="P52" i="1"/>
  <c r="T31" i="4"/>
  <c r="H31" i="4"/>
  <c r="Q31" i="4"/>
  <c r="J31" i="4"/>
  <c r="N52" i="1"/>
  <c r="X52" i="1"/>
  <c r="AA52" i="1"/>
  <c r="R52" i="1"/>
  <c r="S31" i="4"/>
  <c r="AB52" i="1"/>
  <c r="P31" i="4"/>
  <c r="F31" i="4"/>
  <c r="AC52" i="1"/>
  <c r="K31" i="4"/>
  <c r="Q52" i="1"/>
  <c r="AF52" i="1"/>
  <c r="X31" i="4"/>
  <c r="I31" i="4"/>
  <c r="Z52" i="1"/>
  <c r="V31" i="4"/>
  <c r="S52" i="1"/>
  <c r="AD52" i="1"/>
  <c r="U31" i="4"/>
  <c r="O52" i="1" l="1"/>
  <c r="M52" i="1"/>
  <c r="V52" i="1"/>
  <c r="T52" i="1"/>
  <c r="K52" i="1"/>
  <c r="L52" i="1"/>
  <c r="F32" i="4"/>
  <c r="H32" i="4"/>
  <c r="K32" i="4"/>
  <c r="W52" i="1"/>
  <c r="E32" i="4"/>
  <c r="X32" i="4"/>
  <c r="P32" i="4"/>
  <c r="R32" i="4"/>
  <c r="M28" i="4"/>
  <c r="M31" i="4" s="1"/>
  <c r="M32" i="4" s="1"/>
  <c r="J32" i="4"/>
  <c r="W32" i="4"/>
  <c r="I32" i="4"/>
  <c r="T32" i="4"/>
  <c r="U32" i="4"/>
  <c r="C32" i="4"/>
  <c r="D32" i="4"/>
  <c r="G32" i="4"/>
  <c r="O32" i="4"/>
  <c r="S32" i="4"/>
  <c r="N32" i="4"/>
  <c r="L32" i="4"/>
  <c r="V32" i="4"/>
  <c r="Q32" i="4"/>
  <c r="D37" i="7"/>
  <c r="D34" i="4"/>
  <c r="B13" i="5" l="1"/>
  <c r="J3" i="1"/>
  <c r="J9" i="1"/>
  <c r="B8" i="4" s="1"/>
  <c r="C10" i="7" s="1"/>
  <c r="J11" i="1"/>
  <c r="B10" i="4" s="1"/>
  <c r="J13" i="1"/>
  <c r="B12" i="4" s="1"/>
  <c r="G10" i="7" l="1"/>
  <c r="M10" i="7"/>
  <c r="O10" i="7"/>
  <c r="Y10" i="7"/>
  <c r="E10" i="7"/>
  <c r="E10" i="11" s="1"/>
  <c r="W10" i="7"/>
  <c r="S10" i="7"/>
  <c r="U10" i="7"/>
  <c r="B10" i="11"/>
  <c r="H10" i="11" s="1"/>
  <c r="K10" i="7"/>
  <c r="Q10" i="7"/>
  <c r="AA10" i="7"/>
  <c r="I10" i="7"/>
  <c r="C9" i="3"/>
  <c r="C12" i="7"/>
  <c r="C11" i="3"/>
  <c r="C14" i="7"/>
  <c r="B2" i="4"/>
  <c r="B31" i="4" s="1"/>
  <c r="J52" i="1"/>
  <c r="C16" i="3" l="1"/>
  <c r="B12" i="11"/>
  <c r="H12" i="11" s="1"/>
  <c r="S12" i="7"/>
  <c r="Y12" i="7"/>
  <c r="AA12" i="7"/>
  <c r="K12" i="7"/>
  <c r="M12" i="7"/>
  <c r="G12" i="7"/>
  <c r="I12" i="7"/>
  <c r="Q12" i="7"/>
  <c r="O12" i="7"/>
  <c r="U12" i="7"/>
  <c r="W12" i="7"/>
  <c r="E12" i="7"/>
  <c r="E12" i="11" s="1"/>
  <c r="B32" i="4"/>
  <c r="C5" i="7"/>
  <c r="K14" i="7"/>
  <c r="E14" i="7"/>
  <c r="E14" i="11" s="1"/>
  <c r="I14" i="7"/>
  <c r="U14" i="7"/>
  <c r="S14" i="7"/>
  <c r="Y14" i="7"/>
  <c r="Q14" i="7"/>
  <c r="W14" i="7"/>
  <c r="O14" i="7"/>
  <c r="M14" i="7"/>
  <c r="B14" i="11"/>
  <c r="H14" i="11" s="1"/>
  <c r="AA14" i="7"/>
  <c r="G14" i="7"/>
  <c r="G5" i="7" l="1"/>
  <c r="B5" i="11"/>
  <c r="H5" i="11" s="1"/>
  <c r="S5" i="7"/>
  <c r="Y5" i="7"/>
  <c r="Q5" i="7"/>
  <c r="K5" i="7"/>
  <c r="W5" i="7"/>
  <c r="O5" i="7"/>
  <c r="U5" i="7"/>
  <c r="M5" i="7"/>
  <c r="E5" i="7"/>
  <c r="I5" i="7"/>
  <c r="C37" i="7"/>
  <c r="AA5" i="7"/>
  <c r="A13" i="5"/>
  <c r="E5" i="11" l="1"/>
  <c r="F31" i="7" l="1"/>
  <c r="N31" i="7" l="1"/>
  <c r="V31" i="7"/>
  <c r="R31" i="7"/>
  <c r="Z31" i="7"/>
  <c r="AB31" i="7"/>
  <c r="L31" i="7"/>
  <c r="P31" i="7"/>
  <c r="X31" i="7"/>
  <c r="H31" i="7"/>
  <c r="J31" i="7"/>
  <c r="F31" i="11"/>
  <c r="I31" i="11" s="1"/>
  <c r="T31" i="7"/>
  <c r="E30" i="7"/>
  <c r="F30" i="7"/>
  <c r="E31" i="7"/>
  <c r="AA30" i="7" l="1"/>
  <c r="Y30" i="7"/>
  <c r="E37" i="7"/>
  <c r="G30" i="7"/>
  <c r="W30" i="7"/>
  <c r="E30" i="11"/>
  <c r="M30" i="7"/>
  <c r="K30" i="7"/>
  <c r="Q30" i="7"/>
  <c r="O30" i="7"/>
  <c r="I30" i="7"/>
  <c r="U30" i="7"/>
  <c r="S30" i="7"/>
  <c r="W31" i="7"/>
  <c r="Y31" i="7"/>
  <c r="I31" i="7"/>
  <c r="S31" i="7"/>
  <c r="U31" i="7"/>
  <c r="AA31" i="7"/>
  <c r="Q31" i="7"/>
  <c r="G31" i="7"/>
  <c r="G37" i="7" s="1"/>
  <c r="C42" i="7" s="1"/>
  <c r="E31" i="11"/>
  <c r="H31" i="11" s="1"/>
  <c r="M31" i="7"/>
  <c r="K31" i="7"/>
  <c r="O31" i="7"/>
  <c r="V30" i="7"/>
  <c r="V37" i="7" s="1"/>
  <c r="E48" i="7" s="1"/>
  <c r="X30" i="7"/>
  <c r="X37" i="7" s="1"/>
  <c r="F46" i="7" s="1"/>
  <c r="T30" i="7"/>
  <c r="T37" i="7" s="1"/>
  <c r="E47" i="7" s="1"/>
  <c r="F37" i="7"/>
  <c r="N30" i="7"/>
  <c r="N37" i="7" s="1"/>
  <c r="D47" i="7" s="1"/>
  <c r="L30" i="7"/>
  <c r="L37" i="7" s="1"/>
  <c r="D46" i="7" s="1"/>
  <c r="P30" i="7"/>
  <c r="P37" i="7" s="1"/>
  <c r="D48" i="7" s="1"/>
  <c r="R30" i="7"/>
  <c r="R37" i="7" s="1"/>
  <c r="E46" i="7" s="1"/>
  <c r="Z30" i="7"/>
  <c r="Z37" i="7" s="1"/>
  <c r="F47" i="7" s="1"/>
  <c r="H30" i="7"/>
  <c r="H37" i="7" s="1"/>
  <c r="C47" i="7" s="1"/>
  <c r="AB30" i="7"/>
  <c r="AB37" i="7" s="1"/>
  <c r="F48" i="7" s="1"/>
  <c r="F30" i="11"/>
  <c r="J30" i="7"/>
  <c r="J37" i="7" s="1"/>
  <c r="C48" i="7" s="1"/>
  <c r="K37" i="7" l="1"/>
  <c r="D41" i="7" s="1"/>
  <c r="I37" i="7"/>
  <c r="C43" i="7" s="1"/>
  <c r="M37" i="7"/>
  <c r="D42" i="7" s="1"/>
  <c r="S37" i="7"/>
  <c r="E42" i="7" s="1"/>
  <c r="O37" i="7"/>
  <c r="D43" i="7" s="1"/>
  <c r="Y37" i="7"/>
  <c r="F42" i="7" s="1"/>
  <c r="W37" i="7"/>
  <c r="F41" i="7" s="1"/>
  <c r="Q37" i="7"/>
  <c r="E41" i="7" s="1"/>
  <c r="AA37" i="7"/>
  <c r="F43" i="7" s="1"/>
  <c r="H30" i="11"/>
  <c r="H34" i="11" s="1"/>
  <c r="E34" i="11"/>
  <c r="F34" i="11"/>
  <c r="I30" i="11"/>
  <c r="I34" i="11" s="1"/>
  <c r="C46" i="7"/>
  <c r="C41" i="7"/>
  <c r="U37" i="7"/>
  <c r="E43" i="7" s="1"/>
  <c r="I36" i="11" l="1"/>
  <c r="O17" i="11"/>
  <c r="O15" i="11"/>
  <c r="O16" i="11"/>
  <c r="O21" i="11"/>
  <c r="Q21" i="11" s="1"/>
  <c r="O18" i="11"/>
  <c r="O14" i="11"/>
  <c r="O20" i="11"/>
  <c r="O19" i="11"/>
  <c r="Q19" i="11" s="1"/>
  <c r="O8" i="11"/>
  <c r="O5" i="11"/>
  <c r="O11" i="11"/>
  <c r="O12" i="11"/>
  <c r="Q12" i="11" s="1"/>
  <c r="O9" i="11"/>
  <c r="O7" i="11"/>
  <c r="O6" i="11"/>
  <c r="O10" i="11"/>
  <c r="Q10" i="11" s="1"/>
  <c r="H36" i="11"/>
</calcChain>
</file>

<file path=xl/sharedStrings.xml><?xml version="1.0" encoding="utf-8"?>
<sst xmlns="http://schemas.openxmlformats.org/spreadsheetml/2006/main" count="469" uniqueCount="210">
  <si>
    <t>thickness (nm)</t>
  </si>
  <si>
    <t>area (m2)</t>
  </si>
  <si>
    <t>density (kg/m3)</t>
  </si>
  <si>
    <t>utilization efficiency</t>
  </si>
  <si>
    <t>mass (kg)</t>
  </si>
  <si>
    <t>note</t>
  </si>
  <si>
    <t xml:space="preserve">ReCiPe Midpoint (E) </t>
  </si>
  <si>
    <t>ReCiPe Endpoint (E,A)</t>
  </si>
  <si>
    <t>Substrate patterning</t>
  </si>
  <si>
    <t>Carbon footprint</t>
  </si>
  <si>
    <t>Primary energy consumption</t>
  </si>
  <si>
    <t>agricultural land occupation</t>
  </si>
  <si>
    <t>climate change</t>
  </si>
  <si>
    <t>fossil depletion</t>
  </si>
  <si>
    <t>freshwater ecotoxicity</t>
  </si>
  <si>
    <t>freshwater eutrophication</t>
  </si>
  <si>
    <t>human toxicity</t>
  </si>
  <si>
    <t>ionising radiation</t>
  </si>
  <si>
    <t>marine ecotoxicity</t>
  </si>
  <si>
    <t>marine eutrophication</t>
  </si>
  <si>
    <t>metal depletion</t>
  </si>
  <si>
    <t>natural land transformation</t>
  </si>
  <si>
    <t>ozone depletion</t>
  </si>
  <si>
    <t>particulate matter formation</t>
  </si>
  <si>
    <t>photochemical oxidant formation</t>
  </si>
  <si>
    <t>terrestrial acidification</t>
  </si>
  <si>
    <t>terrestrial ecotoxicity</t>
  </si>
  <si>
    <t>urban land occupation</t>
  </si>
  <si>
    <t>water depletion</t>
  </si>
  <si>
    <t>ecosystem quality</t>
  </si>
  <si>
    <t>human health</t>
  </si>
  <si>
    <t>resources</t>
  </si>
  <si>
    <t>FTO glass</t>
  </si>
  <si>
    <t>-</t>
  </si>
  <si>
    <t>Substrate</t>
  </si>
  <si>
    <t>Zinc powder</t>
  </si>
  <si>
    <t>Chemical etching</t>
  </si>
  <si>
    <t>Dilute HCl</t>
  </si>
  <si>
    <t>Zn+2HCl-&gt;ZnCl2+H2</t>
  </si>
  <si>
    <t>Ethanol</t>
  </si>
  <si>
    <t>Cleaning</t>
  </si>
  <si>
    <t>Deionized water</t>
  </si>
  <si>
    <t>Blocking layer deposition</t>
  </si>
  <si>
    <t>BL-TiO2 ink</t>
  </si>
  <si>
    <t>density of ethanol</t>
  </si>
  <si>
    <t>La-doped BSO NPs</t>
  </si>
  <si>
    <t>PbI2</t>
  </si>
  <si>
    <t>Dimethylformamide</t>
  </si>
  <si>
    <t>ETL deposition</t>
  </si>
  <si>
    <t>CH3NH3I</t>
  </si>
  <si>
    <t>Isopropanol</t>
  </si>
  <si>
    <t>2-Methoxyethanol</t>
  </si>
  <si>
    <t>Solvent of La-doped BSO NPs</t>
  </si>
  <si>
    <t>PTAA solution</t>
  </si>
  <si>
    <t>Perovskite layer deposition</t>
  </si>
  <si>
    <t>Direct emissions</t>
  </si>
  <si>
    <t>Solvent of PbI2</t>
  </si>
  <si>
    <t>H2</t>
  </si>
  <si>
    <t>Solvent of CH3NH3I</t>
  </si>
  <si>
    <t>TiCl4</t>
  </si>
  <si>
    <t>HTL deposition</t>
  </si>
  <si>
    <t>Acetone</t>
  </si>
  <si>
    <t>Cathode deposition</t>
  </si>
  <si>
    <t>Acetic anhydride</t>
  </si>
  <si>
    <t>emitted to</t>
  </si>
  <si>
    <t>ZnCl2</t>
  </si>
  <si>
    <t>Resultant from chemical etching</t>
  </si>
  <si>
    <t>wastewater</t>
  </si>
  <si>
    <t>air</t>
  </si>
  <si>
    <t>Cleaning solvent</t>
  </si>
  <si>
    <t>PTAA</t>
  </si>
  <si>
    <t>Solvent in BL-TiO2 ink</t>
  </si>
  <si>
    <t>LiTFSI</t>
  </si>
  <si>
    <t>Wasted effective component of BL-TiO2 ink</t>
  </si>
  <si>
    <t>Toluene</t>
  </si>
  <si>
    <t>Solvent in BL-TiO2 ink and solvent of CH3NH3I</t>
  </si>
  <si>
    <t>Acetonitrile</t>
  </si>
  <si>
    <t>4-tert-butylpyridine</t>
  </si>
  <si>
    <t>Wasted effective component of LBSO ink</t>
  </si>
  <si>
    <t>Solvent in LBSO ink</t>
  </si>
  <si>
    <t>Wasted PbI2</t>
  </si>
  <si>
    <t>Wasted effective component of PTAA solution</t>
  </si>
  <si>
    <t>Solvent in PTAA solution</t>
  </si>
  <si>
    <t>Mass of module</t>
  </si>
  <si>
    <t>Wastewater</t>
  </si>
  <si>
    <t>PV production</t>
  </si>
  <si>
    <t>Treatment</t>
  </si>
  <si>
    <t>total</t>
  </si>
  <si>
    <t>Direcet process energy</t>
  </si>
  <si>
    <t>Power (W)</t>
  </si>
  <si>
    <t>Time (s)</t>
  </si>
  <si>
    <t>Electricity consumption (MJ)</t>
  </si>
  <si>
    <t>Sonication</t>
  </si>
  <si>
    <t>Spray pyrolysis</t>
  </si>
  <si>
    <t>power</t>
  </si>
  <si>
    <t>rate  ml/s</t>
  </si>
  <si>
    <t>time</t>
  </si>
  <si>
    <t>LBSO spin coating</t>
  </si>
  <si>
    <t>ETL calcining</t>
  </si>
  <si>
    <t>Calcining</t>
  </si>
  <si>
    <t>PTAA spin coating</t>
  </si>
  <si>
    <t>1st-step spin coating</t>
  </si>
  <si>
    <t>2nd-step spin coating</t>
  </si>
  <si>
    <t>Drying</t>
  </si>
  <si>
    <t>Hole transporter layer deposition</t>
  </si>
  <si>
    <t>Electrode deposition</t>
  </si>
  <si>
    <t>Total</t>
  </si>
  <si>
    <t>kWh</t>
  </si>
  <si>
    <t>UV/O3 cleaning</t>
  </si>
  <si>
    <t>Crystal Ball Data</t>
  </si>
  <si>
    <t>Workbook Variables</t>
  </si>
  <si>
    <t>Last Var Column</t>
  </si>
  <si>
    <t xml:space="preserve">    Name:</t>
  </si>
  <si>
    <t xml:space="preserve">    Value:</t>
  </si>
  <si>
    <t>Worksheet Data</t>
  </si>
  <si>
    <t>Last Data Column Used</t>
  </si>
  <si>
    <t>Sheet Ref</t>
  </si>
  <si>
    <t>Sheet Guid</t>
  </si>
  <si>
    <t>7bca17ca-3b49-41c4-8b93-3482c96b362f</t>
  </si>
  <si>
    <t>140fc868-0701-49a1-92ec-67685f2d1e6d</t>
  </si>
  <si>
    <t>Deleted sheet count</t>
  </si>
  <si>
    <t>Last row used</t>
  </si>
  <si>
    <t>Data blocks</t>
  </si>
  <si>
    <t>CB_Block_0</t>
  </si>
  <si>
    <t>CB_Block_7.0.0.0:1</t>
  </si>
  <si>
    <t>Decisioneering:7.0.0.0</t>
  </si>
  <si>
    <t>item</t>
  </si>
  <si>
    <t>unit</t>
  </si>
  <si>
    <t>module 1</t>
  </si>
  <si>
    <t>Insolation</t>
  </si>
  <si>
    <t>kWh/m2/yr</t>
  </si>
  <si>
    <t>EPBT</t>
  </si>
  <si>
    <t>performance ratio</t>
  </si>
  <si>
    <t>CO2 emission factor</t>
  </si>
  <si>
    <t>module efficiency</t>
  </si>
  <si>
    <t>epsilon</t>
  </si>
  <si>
    <t>MJ/kWh</t>
  </si>
  <si>
    <t>lifetime</t>
  </si>
  <si>
    <t>yr</t>
  </si>
  <si>
    <t>primary energy consumption</t>
  </si>
  <si>
    <t>MJ/m2</t>
  </si>
  <si>
    <t>CO2</t>
  </si>
  <si>
    <t>Performance ratio</t>
  </si>
  <si>
    <t>Lifetime</t>
  </si>
  <si>
    <t>Module efficiency</t>
  </si>
  <si>
    <t>https://www.ossila.com/products/uv-ozone-cleaner</t>
  </si>
  <si>
    <t>glass</t>
  </si>
  <si>
    <t>glass</t>
    <phoneticPr fontId="11" type="noConversion"/>
  </si>
  <si>
    <t>metal</t>
  </si>
  <si>
    <t>metal</t>
    <phoneticPr fontId="11" type="noConversion"/>
  </si>
  <si>
    <t>material embedded</t>
    <phoneticPr fontId="11" type="noConversion"/>
  </si>
  <si>
    <t>manufacturing</t>
    <phoneticPr fontId="11" type="noConversion"/>
  </si>
  <si>
    <t>landfill (0,0)</t>
    <phoneticPr fontId="11" type="noConversion"/>
  </si>
  <si>
    <t>ideal recycling (1,1)</t>
    <phoneticPr fontId="11" type="noConversion"/>
  </si>
  <si>
    <t>recycling (1,0.95)</t>
    <phoneticPr fontId="11" type="noConversion"/>
  </si>
  <si>
    <t>recycling level</t>
    <phoneticPr fontId="11" type="noConversion"/>
  </si>
  <si>
    <t>recycling (1,0.9)</t>
    <phoneticPr fontId="11" type="noConversion"/>
  </si>
  <si>
    <t>recycling (0.9,1)</t>
    <phoneticPr fontId="11" type="noConversion"/>
  </si>
  <si>
    <t>recycling (0.9,0.95)</t>
    <phoneticPr fontId="11" type="noConversion"/>
  </si>
  <si>
    <t>recycling (0.9,0.9)</t>
    <phoneticPr fontId="11" type="noConversion"/>
  </si>
  <si>
    <t>recycling (0.8,1)</t>
    <phoneticPr fontId="11" type="noConversion"/>
  </si>
  <si>
    <t>recycling (0.8,0.95)</t>
    <phoneticPr fontId="11" type="noConversion"/>
  </si>
  <si>
    <t>recycling (0.8,0.9)</t>
    <phoneticPr fontId="11" type="noConversion"/>
  </si>
  <si>
    <r>
      <t>g</t>
    </r>
    <r>
      <rPr>
        <sz val="11"/>
        <color theme="1"/>
        <rFont val="Calibri"/>
        <family val="3"/>
        <charset val="134"/>
        <scheme val="minor"/>
      </rPr>
      <t>lass</t>
    </r>
    <phoneticPr fontId="11" type="noConversion"/>
  </si>
  <si>
    <r>
      <t>m</t>
    </r>
    <r>
      <rPr>
        <sz val="11"/>
        <color theme="1"/>
        <rFont val="Calibri"/>
        <family val="3"/>
        <charset val="134"/>
        <scheme val="minor"/>
      </rPr>
      <t>etal</t>
    </r>
    <phoneticPr fontId="11" type="noConversion"/>
  </si>
  <si>
    <t>recycling (0.7,1)</t>
    <phoneticPr fontId="11" type="noConversion"/>
  </si>
  <si>
    <t>recycling (0.7,0.95)</t>
    <phoneticPr fontId="11" type="noConversion"/>
  </si>
  <si>
    <t>recycling (0.7,0.9)</t>
    <phoneticPr fontId="11" type="noConversion"/>
  </si>
  <si>
    <t>Recycling level of substrate (100%)</t>
  </si>
  <si>
    <t>Recycling level of gold (100%)</t>
  </si>
  <si>
    <t>Energy consumption for sonication, kWh (0.483)</t>
  </si>
  <si>
    <t>Energy consumption of thermal evaporation, kWh (3.309)</t>
  </si>
  <si>
    <t>Energy consumption of spin coating of PL, kWh (0.206)</t>
  </si>
  <si>
    <t>Energy consumption of PTAA spin coating, kWh (0.168)</t>
  </si>
  <si>
    <t>Utilization efficiency of gold (82%)</t>
  </si>
  <si>
    <t>Recycling</t>
  </si>
  <si>
    <t>End of life</t>
  </si>
  <si>
    <t>all</t>
  </si>
  <si>
    <t>ideal recycling (1,1)</t>
  </si>
  <si>
    <t>CF</t>
  </si>
  <si>
    <t>PEC</t>
  </si>
  <si>
    <t>Wasted CH3NH3I</t>
  </si>
  <si>
    <t>Energy consumption of drying of PL, kWh (0.089)</t>
  </si>
  <si>
    <t>GHG emission factor</t>
  </si>
  <si>
    <t>ETL spin coating</t>
  </si>
  <si>
    <t>PL 1st-step spin coating</t>
  </si>
  <si>
    <t>PL 2nd-step spin coating</t>
  </si>
  <si>
    <t>PL Drying</t>
  </si>
  <si>
    <t>HTL spin coating</t>
  </si>
  <si>
    <r>
      <t>BL-TiO</t>
    </r>
    <r>
      <rPr>
        <sz val="11"/>
        <color rgb="FFFF0000"/>
        <rFont val="Times New Roman"/>
        <family val="1"/>
      </rPr>
      <t>₂</t>
    </r>
    <r>
      <rPr>
        <sz val="11"/>
        <color rgb="FFFF0000"/>
        <rFont val="Calibri"/>
        <family val="2"/>
        <scheme val="minor"/>
      </rPr>
      <t xml:space="preserve"> ink</t>
    </r>
  </si>
  <si>
    <r>
      <t>PbI</t>
    </r>
    <r>
      <rPr>
        <sz val="11"/>
        <color rgb="FFFF0000"/>
        <rFont val="Times New Roman"/>
        <family val="1"/>
      </rPr>
      <t>₂</t>
    </r>
  </si>
  <si>
    <r>
      <t>CH</t>
    </r>
    <r>
      <rPr>
        <sz val="11"/>
        <color rgb="FFFF0000"/>
        <rFont val="Times New Roman"/>
        <family val="1"/>
      </rPr>
      <t>₃</t>
    </r>
    <r>
      <rPr>
        <sz val="11"/>
        <color rgb="FFFF0000"/>
        <rFont val="Calibri"/>
        <family val="2"/>
        <scheme val="minor"/>
      </rPr>
      <t>NH</t>
    </r>
    <r>
      <rPr>
        <sz val="11"/>
        <color rgb="FFFF0000"/>
        <rFont val="Times New Roman"/>
        <family val="1"/>
      </rPr>
      <t>₃</t>
    </r>
    <r>
      <rPr>
        <sz val="11"/>
        <color rgb="FFFF0000"/>
        <rFont val="Calibri"/>
        <family val="2"/>
        <scheme val="minor"/>
      </rPr>
      <t>I</t>
    </r>
  </si>
  <si>
    <r>
      <t>H</t>
    </r>
    <r>
      <rPr>
        <sz val="11"/>
        <color rgb="FFFF0000"/>
        <rFont val="Times New Roman"/>
        <family val="1"/>
      </rPr>
      <t>₂</t>
    </r>
  </si>
  <si>
    <r>
      <t>TiCl</t>
    </r>
    <r>
      <rPr>
        <sz val="11"/>
        <color rgb="FFFF0000"/>
        <rFont val="Times New Roman"/>
        <family val="1"/>
      </rPr>
      <t>₄</t>
    </r>
  </si>
  <si>
    <t>BL-TiO₂ ink</t>
  </si>
  <si>
    <t>PbI₂</t>
  </si>
  <si>
    <t>CH₃NH₃I</t>
  </si>
  <si>
    <t>Cu</t>
  </si>
  <si>
    <t>Tem</t>
  </si>
  <si>
    <t>Sputtering</t>
  </si>
  <si>
    <t>Wasted copper</t>
  </si>
  <si>
    <t>Espinosa 2015</t>
  </si>
  <si>
    <t>Ar</t>
  </si>
  <si>
    <t>O₂</t>
  </si>
  <si>
    <t>80% active area</t>
  </si>
  <si>
    <t>Electrode sputtering</t>
  </si>
  <si>
    <t>㜸〱敤㕣㕤㙣ㅣ搷㜵摥㍢攴㉥㜷㤶愴㐸㡢戲㘴㈹㡥㑤㐷㜱散㤸㉡㉤捡㔶ㅣ愷㔵㔵晥㐸㤴ㅣ㑡愴㑤㑡㑥敡ㄸ昴㜰昷づ㌹搶捥㉣㍤㌳愴㐸㕢愹搵㈰㉦㐵㡡晥戸㘹㠲〴㐶愳ㅡ㐵㥡ㄴ慤ㅢ㍦挴㑥㡡愲㐰㠱〲㉤ち〷㈸搰攴愱㐰ㅦ摣戴㘸ㅦ㕡ㄴ〲晡ㄲ愰〱搲敦㍢㌳戳㍢扢攴㡥攸㤵摤搲〵㉦挵挳㍢昷㙦敥扤攷昷㥥㜳㐷㌹㤵换攵㝥㠶挴扦㑣摤捣摣㍤扦ㄹ㠴摡ㅤ㥤慣㔵慢扡ㅣ㍡㌵㉦ㄸㅤ昷㝤㙢㜳挶〹挲㉥㌴㈸㉣㍡愸て昲㡢㠱昳愲㉥㉥慥㙢㍦㐰愳㝣㉥㔷㉣㥡〶敡㌹〸㝦〷㤳〷㤳扤晡扡〱ㄶ㈶㈷㘶㤷㥥挷愸昳㘱捤搷挷㠶㉦㐷㝤㑦㡤㡤㡤㡥㡤㍥晡搸搸㈷㐶㡦ㅦㅢ㥥㕣慢㠶㙢扥㍥攵改戵搰户慡挷㠶攷搶㤶慡㑥昹搳㝡㜳愱㜶㐵㝢愷昴搲昱㐷㤶慣㐷㍦㌹昶攸挹㤳昶攳㡦㝦戲て慦捥㕤㥣㥣㤸昳戵ㅤ扣㐷㘳收㌹攵㐷愷㜴搹攱摡戴昶ㅤ㙦㜹㜴㜲〲晦㔲昳挷搳㘳愳昳㉢㕡㠷㝣戵昶戵㔷搶㠱㠹㡥扤敥㜸㄰慣戹慢摣㍣搳㍤㡢愵㤶慤㈰捣扢㤳扡㕡㌵摤㘴搴愲㍢㡢扤慢㕡㥢㝤敥扣昶〲㈷㜴搶㥤㜰戳攰㉥㘰愰㑡扦㝢㈹搰㑦㔹摥戲扥㘸戹㍡敦㑥慦㌹㤵敥㈸攵扡ㅥ㐸㠶㐸㑦㑣㤶㍦㍡ㅥ戸㤳㉢㤶㉦㌳ち戸㌱ㄹ㙤捦晡攵收戶㐷摢㡦换愹换ㅢ㌸收晤敤摢愱收戲攵搷㕢㡥戴㙦ㄹ㉦扥㜹〶て户㙦㥦摡愳收㍥ㅦ㙦摦㐷戶戲戹戵敡㡤改㕢㜶ㄴ㡢㌱ぢ〴㍤〴㐵〲㈲搰㉣ㄱ昴ㄲ昴〱愸敥晦〲㤷愴㍢戲捡㔸戴㡣挵㈵㘳戱㙣㉣㔶㡣㐵㙤㉣摡挶攲戲戱戸㘲㉣㍡挶攲昳挶攲ㄵ戴㐹㔲戱愷挷㠸搳㝤晢摥晡攷慦っ㍣昷挴ㅦ晤昷㜷慣愳㝦昱愳㙢㝤晢搰攸挹㜸㔲㔳扥㜵ㄵ愴搶愰攲ㄳ愳挷昹㜳㙢慥〰㔳搸㈷敤挷散戱戱捡挹攳搶㈳㔶㥥换捡㐰㝥ㄳ愱っ愲㙤㥦晤戴攳㔵㙡㔷〵㜷㜷㑦㔸㠱㙥㙣摣㐸㕣㌷㔱㕢昳㉡挱㠷戶慦㥣て慤㔰ㅦ㘹慤㙢っ戲愵摢㍣搸㑡〷昲扥㝢㕡扢㕤戶慡㙢㝡㝣挳㠹慡㍦摣㔲敤捥昹戵愵昶戵㘷㝤晤㐲扤㜶换㡣挶㈱搴搶㘵散㉤慢㡣慡愲㜹つ㑦慥搴〲敤挹昴㐶摣㌹愷㝣㐵晢昳㥡㈲㔱㔷㘴愹㜷戲㉡收晡㤱㔹てぢ〵户㔶㍥㤲㉥戵捦㙣㠴㘰㘶㕤挱㝣㔷戵ㅦ㙥㉥㔸㑢㔵㝤戰愹㐹昴㑥㔴ㅣ㙥㉡㍥㕢㉢慦〵㤳㌵㉦昴㙢搵收㥡昱捡扡〵㐹㔳戹㔰慢攸敥敥㥣〸〵〸摣慥㉥愵㜲て戵攷〵㐱㐴ち挵㘴攴扢㥡挹㙥昴㈹慣づ慢愸㙡搲愴昱搱㕢っ挶昹㡡㡣挹攰挰搴㥡愸㍦昸搲〷㙦㌱㙣ㅤ㜳敦㙦㘳挳ㄸ㡡㔷㝦㘶㕤㝢攱㌹换慢㔴戵㥦愹晤ㄴ㘷㘴づ〰攴㙦㐲㈰戴摤㍤慡㍡戵愱㌶昳㔷㥤㑡戸㔲㔸搱捥昲㑡㠸㌲㘸挸㘲㤱㕢扢㈵㤹㜷愰挸摣㑦㌰〴㔰㉡攵ち〷搸愸㔰㐲捡攵㈹㥤㌲㜸戹㐹㤰戳㕦ㄳ㉦昷搹㘷㥤㙡愸㈳愱㍣㘰〳㈳㤱㔶ㄳ昴昵㤳㐴㝤慢ㅣ㈹㡣〳昶㈴愸搴㜲扣㜰戳挱户㕢戸㈴㈲愲㍤㔹戰敢㘴〱㐵㐱戳㍣挸攰㌵㄰㑤㡢㌴挸㙥㥣㈲㈲戲㐱㠶㘶挷挸捤㐴挶昶ㄹ㌲〲敤搳㐴挸搶挷摢换〸ㄲ晢㔶㈲㘵愷戶晣戸㈷捤戶戳攵㈳㘹㜶㈷㌶捥㍣㐸㜰㠸攰㉥㠲挳〰敡㕦㈱攱㈸攵㤰㙦㑥收㠷昰㙣摥㑤昰㘱〰挸㈷㤳㌲㈷ㄶ㔵戴愱㜶㘲㐷戲㕤㍦散㘴㌱㡡㈳㔱㐴换戸㙥㘷昶扢㠲攸搸敡摣ㅤ扡戶㕢㜴散挷摡搳㘶㝡㌹愴挸㡣愶改戵摥愲㘹㝡㈳搸戴㐳扤㜵㉦扡㥡挳〴昷〱㤴捣㡦㄰㐲戹搰攰摤㤹㐵㑦㤳昲〳㘱ㄶ㐵挶㔰㠷ち㍥㈶㘴ㅥ〱㌲㠴摣㤶攳换㥥つ㑤㜳㜰挴晥挰摢搰挷摡昳㜷㡣昴ㄶ扤戹愷㜷攸㉦㝡㤷㔶昴㔱戰㤷晡挷戶㍡收㝥㔴㥢ㅦ㈳㜸〰愰㐵挷昰昴晤㙥㍤〵㘲ㄶ扢㈹捣敤愷搷㐵慣摣㠵捤㔵㉤ㅡ愸捦㕥戰晣㘵ㅤ挲㠳㜱㝥ち戶㜰捤昷㜵ㄵ㠷摡㡡ㄴ昰晣㜲愸戹㌰㌸敢搷㕣㤶敦搹挸挱〷㐲㌱㜴㜷ㅢ㕤戹ㄶㅢ㌹挳搶㑣昹㥣㔲㤴㐳ㅤ晣㐸㝢㈱㤱敡搴㑣㕥散㤷㝤扥摣㤳㈴ㅤ㐸㤲㡦㘳㕢捤㠷〰㈰㈵搴㡦摡㑡㤴㘳㙣昶㜳搲慣搹㘲愵㠷㉦攳㜴搲攲㐳摣㈲㐷㝡㈳㠷敤〴晣〷㐱扦㍢敦戸㜵㘱搱敢捥㘹扦っ摦㠲㔳搵愵挸㉤㑢㔱戳㈷㉢㍥㈰戲愲慢㙢换㜹㍡挳扦㈶㜴搲㈲㈵㌲戹㍤戳㌲攳㉣摥㈰㉡扡㈱㈹㔴㌲㕣㐳㜵〹㐴捡㘳摢㍤ㄱ搳㠱㠸㜹ㄸㅢ㘷ㅥ㈷ㄸ㈳㌸〱㤰晦〱㈴捤㑥㌷㥥攱戰㥥㜵扡戴ㄷㄷ㜳㐵愲㐱㕣㠴㙦户ㄵ㔶㈷昹㥡㑦㄰㍣〶搰㘲晥搰〱㤹㐱㠸㠲昲ㄴ㈱㑡ㄸ挳扥散攸慢愴㠱㝤㌶〲㑢㤳㙢㐱㔸㜳ㄹ㔹敡户愷㙡ㄷ㙢攱㤴ㄳ慣㈲ㄲ㌵㘴挷㤹愷㔷戴〷敡昲㘱晢戴㤴搵㔶㔷㜵挵戴攷㙢㙢㄰㙤攷愷㜶挳挱ㅣ摢〱㕢㔲捥收㠶㐲敡散㝣㡣㈱ㄴ㜶㕡晣慤昴挶敥挸晢捤㐳摦㐰㘳㐷ㄷ㥣戰慡㝢敤㠸改㤸㉦摡搸㐵㐴づ㉡㍤昶挲㡡慦昵㔴扦㍤敤㍢㤵慡攳㘹㈲〳㌶㈶㠳㜵㌳㝡ㄹ㔱㠲戹ㅡ㘳㠰㌵慦摦㕥昰㉤㉦㔸戵ㄸ㔰摣摣摦昴㈴㘱㤱扣㍤攱㜸〱㕥㈳㔸㘴㝥挰㥥㕦愹㕤㐵挴㜶捤昵愶慤搵㘰㔷㘰㠵㐴ㅦ㈵㐱㡤㌲㤴㘱愸愲㔱散ㄴ㍦㍣㤰攷㜲攴扤㙥〲挱㔵㉥㑦㥦㜹㠶昶愶㕤ㅦ挷㘸㘸愷㜳㑥㝤㠸ㅥ搵ぢ扢㌲愵㌰㌹搵㝣㥣㝤㍥〵昰挴昴愵昳㡤挸摣㙤挵慣昳昴昲㘷挸㜸㈱㡢㝡㈰㠴㍥扡㝤ㄱ愹戰㡣㤴〳づ〴挶昹搴㑡㝥㈵㕢摡㤰晡昶㌵戲㘷ㄱ㐹敡戳㘷慣㈵㕤㐵㍣摡戵挲㝤搱〳捤㔸搷慡〶㜱摤㘴捤㜵㉤㤲ㄶ挹㜲扥㙣㤱㠲挷搷挲摡〵挷㌳㙤〰愱扦戸挸摡㐰㤱戵㈱㐵㝤昶㔳っつ㑡㥥㘳搵㤶㉤摦〹㔷㕣愷㕣攴〳挳㜷扢㠲㈶挱攴㤴扣㐹㑡㘴挶㜰㡢㌵㝦〹㈶㕢㌰ち㜴㡦㐲㡥㜲敢㠸㝥㔰慥愱ち昸㔱ㅤ㍡㤶㈰㘰挴㔳㙡晥〲㐶换换敤〸㠸ㅣ㐹㌷㤳㍢ㄸ㌷㕦㐶㐹㈴㠴㠸昵っㄲ㠱㔷㌰㈵攴改攲㉥搸㤷㍣㈷〴昶㠸戱戳㑥㌸ㄵ〰攵〰挸捡昱昶㠸㘰㌵搵㘹愴慥ㄵ敥摤㕡搵愴㈶敥搹㕡㥦搶ㅢㅦ摤愶㍡搲㈸㈹㐵㜲慢㐶愲㔹戶㤹攳㙥㔲㌵㑡ㄴ㜷愲㙤㔴㤶摢戴戱敦㤴㈲户愱㤸㠴㘶㜲收㉦ち愱㈰搰ㅢ敢㈸晡散戳挹㈳ㄵ戱愱つ㔰愲㥥㡡捡晡攳㤰攰㜹㕣㍢愹攸㔲晣〴晥摥ㄷ㘷㘷搷挲愶ㅡ㙢㘳㈸慥ㄹ慦㔶㘷㍤㔸〹㘵换慦散ㄲ㤶挶摡㈲つ㈳摣搹愹昶㡦戶㌷挵㠸㌱ㅢ㌲㉣㤲攱〷〶ㅢ㠲戹㔲ㄱ㔵㕡㘷晤摣敡㝡㜱㤱㑦ㄷ戴攵〹〶收挳捡㤴㕥ㄷ㌳慣㘱挹て㐹㠷晡㘹㔱攴愸㘹㡦㉦〵㔰改㈱攵㜸㥣ㄳ〶㌷敤愷攸㤶挲㈵〶㠸摤㌸㌷㔷づㄱ摡慤て挰㤳挱敥挱づ㜶㈴ち㥤搰㍡愳〴㉤㘴㄰㙥昳㈲挸㍢ㅤ㘲ㄴ㠲搴㤶昴㥦愷搵搷扦挶昴敤搳戹㈴ㄳ㌳ㄱ挳㕤ㄹ搶〳㤰㥢㡥㑣㤲㡢㠶㤲㠰㜹㈴搹㐴㘸昵㈵㘵㌴㌱晡㘹昲昹㈱㙥昱㌰㤶㌵㐰戶愹攲㥥㕢攸㐰㥢㔶㌷昷搹攷扤㜲㜵慤愲㐵ㄵ㈷戲㕡㌴昲慥挰㤷㕣〱㡣戸㈹㘳㕦攲㑤㌹㡦愳ㄴ㤷㑣㈴㜵㙥㜷㥢愷搱㕤㠴ㅣ挶㠸㔴ㅦ〳㤰ㄹ㙥㌹〹㠸㙤戹愷㐰晢㜰㝦攳〲㠳㕣㥥㠳㐸摢㔲㐴㔹㌶㠳晢㜸昵㈸戲㜰㕢慡搹㑣㙤愶㐶㥢㍤㔵㜴捥㠹㡡㜶〵㡥戰捥㐸攰ㄵち㌰㐶㍡攴づづ㤲扢ㄹ㐷㜷㙦扥㉣㡦戹㥢㐰㠵㘰㐰㌱挶换㔳㤰㉡㡣〳づ㑤㥦㥢ㅥ搶慥ㄳ昰㌶攴戰㡤敢㈲㌵㕦㝡搰㄰敦㙡㔸攳㡡㔱㘱㕡攴收〴㠰㘲㜸㤸㠶㉥㤴㔶㘴昸㑣㈱㥦㘹昸㤸㘷搰㠲㐱挹㝢昱㌷㈳㝡㥡づ戴㌲㝥㌹〴㘷㍥㄰ち㑥攳㈱㝢愱〶〵ㄵㅥ㤰㑢㘳挹扤挵ㄱㄷ挷愳㥡㝦戰愵㜰捥ち㜱㌵挶㍢摣㔲㍣㕥愹搰ㄴ㠶敦㙥㔷㘰ㅣ搷㍡㈲㔳昵㐰换㠵㉤㔹ㄳ㙤扦愳㉤ㄵ昱㐵挲ㄳ㔳愳攷慣戰扣㌲ㅦ㙥㐶㤷扡㍡㈵㤷晣㥦挱㔷戱敤摢㘹㑦㜷㝢扣愴扡捥扤㉦㕤昱㙡㔷㍤㤹㔷㍥攰㡤㐰㕡戸㘶㑦て㈷㔹捡晤っ㍦㤲㡣㕣晥晢ㄸ㜱㈷搳收〰つ攷〹挷㤱ㄴ㐹㡡㘱攴㌳攸〴㜶㝤晤㐶〱改攴㐰ぢ㥤㠸㤰搸㈳ㄴ㙦昹㍤㈳ㄴ昵㍤愰㤵挴ㄲㅤ搷戱攷摦〴晢慢户㔰㐲㠴攳㌹ㄶ㌱昹晢㤰换㐰㥤〸昹昸晡〷㉦㡢晣晦挱㔲挲捤摢戲搳晦〲㌳慢㌷㕢㔱㜴て㔱昴摤㉤㈸㔲扣㈲㈲晣㍢ㄳ㘷昸㤰㘷攸昶㕤〵挹戹愶扤挳改晢㝥ㄹ昸晦昰㜰㝡ㄱㄸ㘶ㄲ晢つ㘱戸晢㤱愷昹〰㤱て捦慣㌸敤㡣㤴㤹挰挰扥㤸〹戳挸㈸㐶昸㈳㌳㈱昶㡦㍣㠹㠲㑣㌳〱戲㍦㤷㘷摣㉦挳㐸㑣㠵㘱㔳㉥て㥥捥づ扡昴㥤㥤挳愵㕣ㅤ㈰搶て愵ㄵ㑣挲㕢㜵㘸㙢昱㥣攵㕢敥㘱㈹㥦昶㌵㤴㤹扦㠰㕢摥搲㠵㍤㡥㙣㕢㈳㥤戶昱㘳㈴ㅥ昸㍤㕦换捥敥戶〳㔳㔱㡡㕣晢慡愸ち户攱㐵㔱㍣㔳攴㕥㍡昰晡昴㍦扤昸挵搳扣挹ㄶ搳㙡晥㈱攴㍢〹攷搳㥥㐰挰㌷㜵㠹攴㑥㝥戴㜳〱㥦㉦㌹慢㔵㍤㘱昹㘲〵〵愶㥢㘴㈳挲㑢ㄱ㘶㐴㝣扢挱挴挴㥤㠸挸挴ㅣ㙤㜱㠵捡㐷㑦攲㍥ㅣ㑤㑤㕣晣㝤㐹㐸㔱戵㔵㘴ㅤ㕡㥢昹搷愱㡡摥攵㐴㥡慤㐴㥥㐸㤹㤴晡㤳㔶㕤㜷㤲扡㉥㍡攴昰㑡㐰㈲愵㄰㥢㈰㠵愴愵ㄴ㉦ぢ㠸㤴㕡㐰㈶晦㌰㐰㐶搴慤㌵晣㑢㕦挱㥥㄰搰昵ぢ㠱ㅤ㝥攰㠲㕤愴〶攱户㉤户挱晣戴㐵ㄳ搵挴㌰慥搸㌴㤷㤰㤱挳ぢぢ挶㤲搲换挸㈴㈹㑦㤵戵㘳㔷ㄵ㕦搲敦㐶㐱戹㠸戱昳㉥晤㜰㈵昷㡣户㠶㕢㈱搰㌳〵㔱ㄸ摥㝥ㄶ攳㐰㉡昱扢愸㘹㈹㉡㈲ㅣ㠸戲昵㑥扤㜱ㄵ㜴㤶㜷ㄸ愷㔲〴〶昹ㄵㄱ敢㐷ㅡ㐳摦搹㕡㐳ㅤ攷昵㘰㠱晣㠵晤㜵㑦〶㘳攳慤攴ㄸ㐸搸ㅤ戵㉡㐶㔷挷㥦㐶ㄷ㉥㍡愷捣㐶㔶㥥ㄵ攳搷〹㘷㜵ㄹ㕢昴㍦㈳摢挲㔹㥦㘱㙦㠶戸㥢昴晦㉦愳攰㤶晡㕦㌱㉥㈷㠸㝣㈶捥㠸㜱捡搸捡㉤挳㌹摣ㄱ㜸扤ㄱ搸㤱㠳戱㈹㔹㠶挳愳摣㍣㍥㙣㡤慡㐵㠲挳㈷搶摤㝡㙤愲摥㤷戶㙤㙦㕢〱挸戸㔱晥て㈰㠲摡昶㙦㤶㕢ㅣ㡤愹昰㉣挰㠱ぢ㑥搹慦〵㌵㍢ㅣ㥥㐷㐰㜸㤸摦愵搹戰㜹挶搵㙢慤㐲敤㈸㜶愲㙦ㄱ㝤㉥捥㐲㘰㕦搴攱㝢ㄵ愷㘴搴㘱㘷㔱づ㝥愳㌴㤸ち㍤㔱㍢〴㜷搸㑦慥㔹㔵㝣搶㍡ぢ㍦㘸挸愲㕤愱散㈲㙦㜴敢敤つ㙥ㅤ敥㙦㝤ㅡ晥㈰㕤ㅤ㐵攰㑣㤶昰捣戳摣搷搶㍤㘸㙥ㅢ慦㉤㘰换捥晣㜱愵晣つ攰㜴㘷㙦㘹㈶ㄹ扥㤳㕦㉢㤷㑣㡢㄰㠶昱㘹晣摤戹昳㤶愳つ㠱捥攳㡦扤改〸ㅢ愹挲㝤戶㠳挸昸ㄲ扡㉡昱昴㈱㘳㤶昹㠴㕦㑥㐶㑤〱㤰ㄵ搵慢㔸ㄶㄹ〰昹㕣㐱〳戴愷敡慦㙦㐷搵敡っ㐷挱慦戹っ㐰㈲ㄳ㐲攳㠱㤴㕣㙣慥〰昴㜷㈹ㅥ㐰㐸慢㈵昵㔵㡣挲扤㡣昶攴㜹㤶攱㐰㈲〷つ攴捤戴㝣㔷㍣㘸挸㉣扦㡣づ昵㔹扡㈸㙤㍦换㔷戶㥤㈵㑤〴㤹㘵㝡晣挱㐴挵㤸慢㝣昵ぢ〴㍥㐱〰㌰㤸戴ㅣ愰昰攴㕡ち㔱㜰攲晢挴ㅦ搲摦挵㝦摦㌹晤㠳户㤹晥攳戴ㄲ㜱㠹慡收㔵㔰㕣捡㉡扥㤴㕥挵㍡㑡摢慦攲搷戶㕢挵㈰㈵愹散敡〶㌲搸㔵ぢ㝦㘴㔵㥢挸㜰㐳〵户㠲㜶㍣㌴捤㘲戰㡣ㄲ改晢ㄲ㌲晤㕤㠳㐴ㄷ晤㌶收㌵㠲捦ㄳ晣ち挱换〴搷〹㝥㤵攰ぢ〰愵㍣戱昸昳敤ㄵㄴ敤捦攴㑢㕢挴ㅥ㥡㍥愹㍤㠳㑦㘴㌷つ昴敦挲晦㄰㤰ㄷ㙤摡㙤㝣慡戳戱ㄲ㡢㤶捡㌰晦㜹㙣搱㙤㡣挳㝤㙢戸㉤㌹攲ㄱ晣ㄶㄱ攳㈰㑤捡慥㝥ㄱ㤹㘴㔷昳㈴㤱㡣て愷挴扥攴㈵㔳敥㘹㈱㜲㘶ㄷ㈲慢愲攸挶㕥散㕤㈱㕢戱㈴㕡㙢㙤㔵㘲愱挳摢ㄳ敡愵㠴㘴捦㥤㑢扥㑡㌳攲㜸ㅥ㔸㈶戲攸挹㘲摣㐸昵㘲搲昸㡤㌷ㅢ㉥㘷㔴㈰㠱慦愲挶㘴㐵㘹扣㤹㌴㍥㠱㉦摥愴㑤㡥〴挵昴㑥搲㤸㉣㉢㡤㌷㤲挶晦㝥攲㜰扤㜱挲愱搱挸㜹戲㑦挶㔹㐱㑥㑦愹慦摦改㤴挸摢戴㍦㝡敤愸㤸㠴㈸㘱昹慡㔸㈰㝤戸㘸攳攳晢昳ㄹ摣ㅢ挳昵ㅡ㈸愹攸扦愱㌸㡦晢㘴㔳㔶㘸攱昳昲㜵〴昲㝤㔳㥥搸戹㘰捦晡㈸攸戱捦〷㌸㤳㔶㜶ㄵ㠹挰㥣敡㡥昶昷ㄶ㐱㡤っ搳扢戱ㅦ㐹〰搲攰晤㥣捥㤴慦〴愷扡搵㝡㠲搹摣昵〶捤㤸㕦〲㜲愰㐰〰㤹㌱㝦ㅤ㌰ち㘶昱㈶㜸㙥㤰㤲㔱挴摥㙦戰攲㌷〹㝥ぢ愰愴㈸〶㐹〷㠵摦〶ㄸ㐸晥ㄳ㤰攱㜵昱㌷ㄹ捡㑢㕥昶昷㙦㕣慦㤳㤱昹㍢散昰㘵㠰㉥戸扦㤵㙣ㄲ㉥㝣㤸扦㡢㤲搴㑢ㄵ㐵㉡㐵愶㜲㌰ち攵ㄴ愵㐸㐹㔱挸㑡昱㑡㕣㝣㠷ㄴ㔳散㑡昱㜲㕣㝣㔰㡡㈹㠸愵搸㡥㡢て㐹昱昵愴㔸挷挵て㑡㌱㠵戵戴慥挴挵㜴扦㤵搴ㄷ㤲攲㜲㕣晣㔹ㄶて㔲戲挹慥晣ㅥ㌲收㌷〸㙥〰㤴昲摣捤ㅤ愳㤵㥢摥愱㘹昲晢攸慡㠸㉢㡥㘱扥ㄶ㘷昸愰㠸㈸㔹挹戳昱㤴愹㍢㡢㐶㐱ㄱ㜹㔲昱戹戸攲㤴㔴㈸㐵㠴㑡挵㌳㜱挵㘹ㄴ㤸摦〴㔰㐴ㄸ搷㘴晥㈱㥦㠸㈷㜹攱户㤰㈱昶昸慢戸〷搲晤改㤶ㄷ㜲㕦愴攲㜲换ぢ㙦㈴ㄵ㤷搲㉦晣㘳㤴㉡㔹ㄸ㌲捤捡㤷ぢ㤴晤㝥ㅤ㤹晥慥〱捥㡤㘶㠵戱愱捡捦㔵㥥㝢敥㈷〳摤挳㐷扡㍦昳㑢㝤㕦㝢攷㙦㝦晣捡て㍦㜷敡摦㝥晡敡慢㍦晣㤷㔷摥晥改㥦㉦㥤晡敢搷㕥晢慢㈷扥昱昶㡦昷摢㌷㡣㌷㝦㌲㜳攳摡搸㤵㙢㉦搸㤷ㅥ㥡扥昶搹攷㥦ㅣ㥢扢㘳愴慢慢愷攷㠱愱扦戹敢挱挱敢㉦㝣㑦晤攵㍦ㅣ昲㤴㉣ㄷ㉦㌰晦ㄴ㈰㐹㠳㕣戶㑣攳㍢挸㤸㙦〰昴ㅢ〳㥣昶晢㍡ㄷ慥㔹戶昱㘲扣㕢ㄳ㈸㈸慡摣㘰㌲㌷挵改㐸㡢ぢ捤㉤ㄴ愷㈸ㄵ㌳㜱挵㈰ち捣敦〲㈸〲挱散㥢㝣ㄲ挰扡户〰㤸敥挲敦㘰昲搰晢㍦愷ちㄱ昱</t>
  </si>
  <si>
    <t>㜸〱敤㕣㕤㙣ㅣ搷㜵摥㍢攴㉥㜷㤶愴㐸㡢戲㘴㈹㡥捤挴㜱散㤸ち㉤捡㔶ㅣ愷㔵㔵晥㐸㤴ㄲ㑡愴㑤㑡㑥攲ㄸ昴㜰昷づ㌹搶捥㉣㌵㌳愴㐸摢愹ㄵ㈳㉦㐵㡡㌶㜵搳ㄶ〹㡣㐶㌵㠲戴〱ㄲ户㝥㠸㤳ㄴ㝤㈹㄰愰㐵攱〰〵㥡㍥ㄴ改㠳ㅢ愴㍦㐰㡢㐲㐰㕦昲㄰㈰昹扥㌳㌳扢戳㑢敥㠸㕥搹〹ㅤ昰㔲㍣扣㜳晦收摥㝢㝥敦㌹㜷㤴㔳戹㕣敥攷㐸晣换搴捤捣㥤昳㥢㐱愸摤搱挹㕡戵慡换愱㔳昳㠲搱㜱摦户㌶㘷㥣㈰散㐲㠳挲愲㠳晡㈰扦ㄸ㌸捦敡攲攲扡昶〳㌴捡攷㜲挵愲㘹愰㥥㠳昰㜷㌰㜹㌰搹慢慦ㅢ㘰㘱㜲㘲㜶改ㄹ㡣㍡ㅦ搶㝣㝤㜴昸㔲搴昷攴搸搸攸搸攸挳㡦㡣㝤㘴昴搸搱攱挹戵㙡戸收敢㤳㥥㕥ぢ㝤慢㝡㜴㜸㙥㙤愹敡㤴㍦愱㌷ㄷ㙡㤷戵㜷㔲㉦ㅤ㝢㘸挹㝡昸愳㘳て㥦㌸㘱㍦晡攸㐷晢昰敡摣㠵挹㠹㌹㕦摢挱摢㌴㘶㥥㔳㝥㜸㑡㤷ㅤ慥㑤㙢摦昱㤶㐷㈷㈷昰㉦㌵㝦㍣㍤㌲㍡扦愲㜵挸㔷㙢㕦㝢㘵ㅤ㤸攸搸敢㡥〷挱㥡扢捡捤㌳摤㌳㔸㙡搹ち挲扣㍢愹慢㔵搳㑤㐶㉤扡戳搸扢慡戵搹攷捥㙢㉦㜰㐲㘷摤〹㌷ぢ敥〲〶慡昴扢ㄷ〳晤戸攵㉤敢ぢ㤶慢昳敥昴㥡㔳改㡥㔲慥敢扥㘴㠸昴挴㘴昹愳攳㠱㍢戹㘲昹㌲愳㠰ㅢ㤳搱昶㡣㕦㙥㙥㝢㑦晢㜱㌹㜵㜹〳挷扣户㝤㍢搴㕣戲晣㝡换㤱昶㉤攳挵㌷捦攰挱昶敤㔳㝢搴摣攷㐳敤晢挸㔶㌶户㔶扤㌱㝤换㡥㘲㌱㘶㠱愰㠷愰㐸㐰〴㥡㈵㠲㕥㠲㍥〰搵晤晦攰㤲㜴㐷㔶ㄹ㡢㤶戱戸㘴㉣㤶㡤挵㡡戱愸㡤㐵摢㔸㕣㌶ㄶ㔷㡣㐵挷㔸㝣挶㔸扣㡣㌶㐹㉡昶昴ㄸ㜱扡户昷扦扦ㄵ晣挷ㄷ㑦扦昸戵㉢摦晦㤳㙦㝣昳㐷㝤晢搰攸戱㜸㔲㔳扥㜵ㄵ愴搶愰攲攳愳挷昸㜳㜳慥〰㔳搸㈷散㐷散戱戱捡㠹㘳搶㐳㔶㥥换捡㐰㝥ㄳ愱っ愲㙤㥦晤㠴攳㔵㙡㔷〵㜷㜷㑥㔸㠱㙥㙣摣㐸㕣㌷㔱㕢昳㉡挱㝢戶慦㥣て慤㔰ㅦ㘹慤㙢っ戲愵摢㍣搸㑡〷昲扥扢㕡扢㕤戲慡㙢㝡㝣挳㠹慡摦摢㔲敤捥昹戵愵昶戵㘷㝣㝤愵㕥扢㘵㐶攳㄰㙡敢㌲昶㤶㔵㐶㔵搱扣㠶㈷㔷㙡㠱昶㘴㝡㈳敥㥣㔳扥慣晤㜹㑤㤱愸㉢戲搴摢㔹ㄵ㜳晤挸慣㠷㠵㠲㕢㉢敦㑦㤷摡愷㌷㐲㌰戳慥㘰扥慢摡て㌷ㄷ慣愵慡㍥搸搴㈴㝡㈷㉡づ㌷ㄵ㥦愹㤵搷㠲挹㥡ㄷ晡戵㙡㜳捤㜸㘵摤㠲愴愹㥣慦㔵㜴㜷㜷㑥㠴〲〴㙥㔷㤷㔲戹〷摡昳㠲㈰㈲㠵㘲㌲昲ㅤ捤㘴㌷晡㌸㔶㠷㔵㔴㌵㘹搲昸挰㑤〶攳㝣㐵挶㘴㜰㘰㙡㑤搴ㅦ㝣改晤㌷ㄹ戶㡥戹㜷戶戱㘱っ挵慢㍦扤慥扤昰慣攵㔵慡摡捦搴㝥㡡㌳㌲〷〰昲㌷㈰㄰摡敥ㅥ㔵㥤摡㔰㥢昹慢㑥㈵㕣㈹慣㘸㘷㜹㈵㐴ㄹ㌴㘴戱挸慤摤㤲捣摢㔰㘴敥㈷ㄸ〲㈸㤵㜲㠵〳㙣㔴㈸㈱攵昲㤴㑥ㄹ扣摣㈴挸搹慦㠹㤷晢散㌳㑥㌵搴㤱㔰ㅥ戰㠱㤱㐸慢〹晡晡㐹愲扥㔵㡥ㄴ挶〱㝢ㄲ㔴㙡㌹㕥戸搹攰摢㉤㕣ㄲㄱ搱㥥㉣搸㜵戲㠰愲愰㔹ㅥ㘴昰ㅡ㠸愶㐵ㅡ㘴㌷㑥ㄱㄱ搹㈰㐳戳㘳攴㘶㈲㘳晢っㄹ㠱昶㘹㈲㘴敢㘳敤㘵〴㠹㝤㉢㤱戲㔳㕢㝥摣㤳㘶摢搹昲㤱㌴扢ㅤㅢ㘷ㅥ㈴㌸㐴㜰〷挱㘱〰昵㥦㤰㜰㤴㜲挸㌷㈷昳㍤㜸㌶敦㈴㜸㉦〰攴㤳㐹㤹ㄳ㡢㉡摡㔰㍢戱㈳搹慥ㅦ㜶戲ㄸ挵㤱㈸愲㘵㕣户㌳晢㕤㐱㜴㙣㜵敥づ㕤摢㉤㍡昶㠳敤㘹㌳扤ㅣ㔲㘴㐶搳昴㕡㙦搲㌴扤ㄱ㙣摡愱摥扡ㅢ㕤捤㘱㠲昷〱㤴捣昷ㄳ㐲戹搰攰摤㤹㐵㑦㤳昲㕤㘱ㄶ㐵挶㔰㠷ち㍥㈶㘴ㅥ〱㌲㠴摣㤶攳换㥥つ㑤㜳㜰挴㝥搷摢搰㐷摢昳㜷㡣昴ㄶ扤戹愷㜷攸㉦㝡㡢㔶昴㍤㘰㉦昵㙦㙤㜵捣扤愸㌶㍦㐸㜰ㅦ㐰㡢㡥攱改晢慤㝡ち挴㉣㜶㔳㤸摢㑦慦㡢㔸戹ぢ㥢慢㕡㌴㔰㥦扤㘰昹换㍡㠴〷攳摣ㄴ㙣攱㥡敦敢㉡づ戵ㄵ㈹攰昹攵㔰㜳㘱㜰挶慦戹㉣摦戳㤱㠳㜷㠵㘲攸敥㌶扡㜲㉤㌶㜲㠶慤㤹昲㌹愵㈸㠷㍡昸愱昶㐲㈲搵愹㤹扣搸㉦晢㝣戹㈷㐹㍡㤰㈴ㅦ挲戶㥡て〰㐰㑡愸㝦㘹㉢㔱㡥戲搹㠷愵㔹戳挵㑡て㕦挶改愴挵㠷戸㐵㡥昴㐶づ摢〹昸て㠲㝥㜷摥㜱敢挲愲搷㥤搳㝥ㄹ扥〵愷慡㑢㤱㕢㤶愲㘶㑦㔶扣㑢㘴㐵㔷搷㤶昳㜴㠶㝦㑤攸愴㐵㑡㘴㜲㝢㘶㘵挶㔹扣㐱㔴㜴㐳㔲愸㘴戸㠶敡ㄲ㠸㤴挷戶㝢㈲愶〳ㄱ昳㈰㌶捥㍣㐶㌰㐶㜰ㅣ㈰晦〳㐸㥡㥤㙥㍣挳㘱㍤敢㜴㘹㉦㉥收㡡㐴㠳戸〸摦㘸㉢慣㑥昰㌵ㅦ㈱㜸〴愰挵晣愱〳㌲㠳㄰〵攵㈹㐲㤴㌰㠶㝤挹搱㔷㐹〳晢㙣〴㤶㈶搷㠲戰收㌲戲搴㙦㑦搵㉥搴挲㈹㈷㔸㐵㈴㙡挸㡥㌳㑦慣㘸て搴攵挳昶㘹㈹慢慤慥敡㡡㘹捦搷搶㈰摡捥㑤敤㠶㠳㌹戶〳戶愴㥣捤つ㠵搴搹昹ㄸ㐳㈸散戴昸㕢改㡤摤㤱昷㥢㠷扥㠱挶㡥㉥㌸㘱㔵昷摡ㄱ搳㌱㕦戴戱㡢㠸ㅣ㔴㝡散㠵ㄵ㕦敢愹㝥㝢摡㜷㉡㔵挷搳㐴〶㙣㑣〶敢㘶昴㌲愲〴㜳㌵挶〰㙢㕥扦扤攰㕢㕥戰㙡㌱愰戸戹扦改㐹挲㈲㜹㝢挲昱〲扣㐶戰挸晣㠰㍤扦㔲扢㡡㠸敤㥡敢㑤㕢慢挱慥挰ち㠹㍥㑡㠲ㅡ㘵㈸挳㔰㐵愳搸㈹㝥㜸㈰捦攵挸㝢摤〴㠲慢㕣㥥㍥昳っ敤㑤扢㍥㡥搱搰㑥攷㥣晡㄰㍤慡ㄷ㜶㘵㑡㘱㜲慡昹㈸晢㝣っ攰攳搳ㄷ捦㌵㈲㜳户ㄴ戳捥搳换㥦㈱攳㠵㉣敡㠱㄰晡攸昶㐵愴挲㌲㔲づ㌸㄰ㄸ攷㔳㉢昹㤵㙣㘹㐳敡摢搷挸㥥㐱㈴愹捦㥥戱㤶㜴ㄵ昱㘸搷ち昷㐵て㌴㘳㕤慢ㅡ挴㜵㤳㌵搷戵㐸㕡㈴换昹戲㐵ちㅥ㕦ぢ㙢攷ㅤ捦戴〱㠴晥攲㈲㙢〳㐵搶㠶ㄴ昵搹㡦㌳㌴㈸㜹㡥㔵㕢戶㝣㈷㕣㜱㥤㜲㤱てっ摦敤ち㥡〴㤳㔳昲㈶㈹㤱ㄹ挳㉤搶晣㐵㤸㙣挱㈸搰㍤ち㌹捡慤㈳晡㐱戹㠶㉡攰㐷㜵攸㔸㠲㠰ㄱ㑦愹昹㥢ㄸ㉤㉦户㈳㈰㜲㈴摤㐸敥㘰摣㜸〱㈵㤱㄰㈲搶㌳㐸〴㕥挱㤴㤰愷㡢扢㘰㕦昴㥣㄰搸㈳挶捥㌸攱㔴〰㤴〳㈰㉢挷摢㈳㠲搵㔴愷㤱扡㔶戸㝢㙢㔵㤳㥡戸㙢㙢㝤㕡㙦㝣㘰㥢敡㐸愳愴ㄴ挹捤ㅡ㠹㘶搹㘶㡥扢㐹搵㈸㔱摣㠹戶㔱㔹㙥搳挶扥㔳㡡摣㠲㘲ㄲ㥡挹㤹扦㈵㠴㠲㐰㙦慣愳攸戳捦㈶㡦㔴挴㠶㌶㐰㠹㝡㉡㉡敢㡦㐳㠲攷㜰敤愴愲㑢昱ㄳ昸㝢㕦㥣㥤㕤ぢ㥢㙡慣㡤愱戸㘶扣㕡㥤昵㘰㈵㤴㉤扦戲㑢㔸ㅡ㙢㡢㌴㡣㜰㘷愷摡㍦摡摥ㄴ㈳挶㙣挸戰㐸㠶ㅦㄸ㙣〸收㑡㐵㔴㘹㥤昵㜳慢敢挵㐵㍥㥤搷㤶㈷ㄸ㤸て㉢㔳㝡㕤捣戰㠶㈵㍦㈴ㅤ敡愷㐵㤱愳愶㍤扥ㄴ㐰愵㠷㤴攳㜱㑥ㄸ摣戴ㅦ愷㕢ち㤷ㄸ㈰㜶攳摣㕣㌹㐴㘸户㍥〰㑦〶扢〷㍢搸㤱㈸㜴㐲敢㡣ㄲ戴㤰㐱戸捤㡢㈰敦㜴㠸㔱〸㔲㕢搲晦㥤㔲㕦昹㌲搳㌷㑥攵㤲㑣捣㐴っ㜷㘵㔸て㐰㙥㍡㌲㐹㉥ㅡ㑡〲收㤱㘴ㄳ愱搵㤷㤴搱挴攸愷挹攷㠷戸挵挳㔸搶〰搹愶㡡㝢㙥愱〳㙤㕡摤摣㘷㥦昳捡搵戵㡡ㄶ㔵㥣挸㙡搱挸扢〲㕦㜲〵㌰攲愶㡣㝤㠹㌷攵ㅣ㡥㔲㕣㌲㤱搴戹摤㙤㥥㐲㜷ㄱ㜲ㄸ㈳㔲㝤っ㐰㘶戸攵㈴㈰戶攵㥥〲敤挳晤㡤ぢっ㜲㜹づ㈲㙤㑢ㄱ㘵搹っ敥攳搵愳挸挲㙤愹㘶㌳戵㤹ㅡ㙤昶㔴搱㔹㈷㉡摡ㄵ㌸挲㍡㈳㠱㔷㈸挰ㄸ改㤰㍢㌸㐸敥㐶ㅣ摤扤昱㠲㍣收㙥〰ㄵ㠲〱挵ㄸ㉦㑦㐱慡㌰づ㌸㌴㝤㜶㝡㔸扢㑥挰摢㤰挳㌶慥㡢搴㝣改㐱㐳扣慢㘱㡤㉢㐶㠵㘹㤱㥢ㄳ〰㡡攱㘱ㅡ扡㔰㕡㤱攱㌳㠵㝣愶攱㘳㥥㐶ぢ〶㈵敦挶摦㡣攸㘹㍡搰捡昸攵㄰㥣昹㐰㈸㌸㡤㠷散㠵ㅡㄴ㔴㜸㐰㉥㡤㈵昷ㄶ㐷㕣ㅣ㡦㙡晥挱㤶挲㌹㉢挴搵ㄸ敦㜰㑢昱㜸愵㐲㔳ㄸ扥扢㕤㠱㜱㕣敢㠸㑣搵〳㉤ㄷ戶㘴㑤戴晤敥㘹愹㠸㉦ㄲㅥ㥦ㅡ㍤㙢㠵攵㤵昹㜰㌳扡搴搵㈹戹攴晦〶扥㡡㙤摦㑥㝢扡摢攳㈵搵㜵敥㝤改戲㔷扢敡挹扣昲〱㙦〴搲挲㌵㝢㝡㌸挹㔲敥攷昸㤱㘴攴昲摦挳㠸㍢㤹㌶〷㘸㌸㑦㌸㡥愴㐸㔲っ㈳㥦㐱㈷戰敢敢㌷ち㐸㈷〷㕡攸㐴㠴挴ㅥ愱㜸换㙦ㅢ愱愸敦〲慤㈴㤶攸戸㡥㍤晦㍡搸㕦㝤〷㈵㐴㌸㥥㘳ㄱ㤳㝦ㅦ㜲ㄹ愸ㄳ㈱ㅦ㕦晦攰㘵㤱㕦ㅦ㉣㈵摣扣㉤㍢晤ㄲ㤸㔹扤摥㡡愲扢㠸愲㙦㙦㐱㤱攲ㄵㄱ攱摦㤹㌸挳㠷㍣㐳户㙦㈹㐸捥㌵敤ㅤ㑥摦昱换挰扦挲挳改〵㘰㤸㐹散㌷㠴攱敥㐵㥥收〳㐴㍥㍣戳攲戴㌳㔲㘶〲〳晢㘲㈶捣㈲愳ㄸ攱㡦捣㠴搸㍦昲ㄸち㌲捤〴挸晥㕣㥥㜱扦っ㈳㌱ㄵ㠶㑤戹㍣㜸㍡㍢攸搲㜷㜶ㄶ㤷㜲㜵㠰㔸㍦㤴㔶㌰〹㙦搵愱慤挵㜳㤶㙦戹㠷愵㝣摡搷㔰㘶晥〲㙥㜹㑢ㄷ昶㌸戲㙤㡤㜴摡挶㡦㤱㜸攰昷㝣㉤㍢扢摢づ㑣㐵㈹㜲敤慢愲㉡摣㠲ㄷ㐵昱㑣㤱㝢敥挰慢搳晦晥散攷㑦昱㈶㕢㑣慢昹〷㤰敦㈴㥣㑦㝢〲〱摦搴㈵㤲摢昹搱捥㜹㝣扥攴慣㔶昵㠴攵㡢ㄵㄴ㤸㙥㤲㡤〸㉦㐵㤸ㄱ昱敤〶ㄳㄳ㜷㈲㈲ㄳ㜳戴挵ㄵ㉡ㅦ㍤㠹晢㜰㌴㌵㜱昱昷㈵㈱㐵搵㔶㤱㜵㘸㙤收㕦㠵㉡㝡㡢ㄳ㘹戶ㄲ㜹㈲㘵㔲敡㕢慤扡敥〴㜵㕤㜴挸攱㤵㠰㐴㑡㈱㌶㐱ち㐹㑢㈹㕥ㄶ㄰㈹戵㠰㑣晥㐱㠰㡣愸㕢㙢昸㤷扥㠲㍤㈱愰敢ㄷ〲㍢晣挰〵扢㐸つ挲㙦㕢㙥㠱昹㘹㡢㈶慡㠹㘱㕣戱㘹㉥㈲㈳㠷ㄷㄶ㡣㈵愵㤷㤰㐹㔲㥥㉡㙢挷慥㉡扥愴摦㡤㠲㜲ㄱ㘳攷㕤晡攱㑡敥㘹㙦つ户㐲愰㘷ち愲㌰扣晤㉣挶㠱㔴攲㜷㔱搳㔲㔴㐴㌸㄰㘵敢㥤㝡攳㉡攸㉣敦㌰㑥愵〸っ昲㉢㈲搶㡦㌴㠶扥扤戵㠶㍡捥敢挱〲昹ぢ晢敢慥っ挶挶㕢挹㌱㤰戰㍢㙡㔵㡣慥㡥㍦㠱㉥㕣㜴㑥㤹㡤慣㍣㉢挶慦ㄳ捥敡㌲戶攸㝦㐶戶㠵戳㍥挹摥っ㜱㌷改晦㑦愳攰愶晡㕦㌱㉥㈷㠸㝣㌲捥㠸㜱捡搸捡㑤挳㌹摣ㄱ㜸扤ㄱ搸㤱㠳戱㈹㔹㠶挳愳摣㍣㍥㙣㡤慡㐵㠲挳㈷搶摤㝡㙤愲摥㤷戶㙤㙦㕢〱挸戸㔱晥㙢㄰㐱㙤晢㌷换㉤㡥挶㔴㜸ち攰挰㜹愷散搷㠲㥡ㅤづ捦㈳㈰㍣捣敦搲㙣搸㍣攳敡㤵㔶愱㜶て㜶愲㙦ㄱ㝤㉥捣㐲㘰㕦搰攱摢ㄵ愷㘴搴㘱㘷㔱づ㝥愳㌴㤸ち㍤㔱㍢〴户搹㡦慤㔹㔵㝣搶㍡ぢ㍦㘸挸愲㕤愱散㈲㙦㜴敢敤つ㙥ㅤ敥㙦㝤〲晥㈰㕤ㅤ㐵攰㑣㤶昰攴㔳摣搷搶㍤㘸㙥ㅢ慦㉤㘰换捥晣㜱愵晣㜵攰㜴㘷㙦㘹㈶ㄹ扥㤳㕦㉢㤷㑣㡢㄰㠶昱㈹晣摤戹昳㤶愳つ㠱捥攳㡦扤改〸ㅢ愹挲㝤戶㠳挸昸ㄲ扡㉡昱昴㈱㘳㤶昹㠴㕦㑥㐶㑤〱㤰ㄵ搵换㔸ㄶㄹ〰昹㕣㐱〳戴愷敡慦㙣㐷搵敡㌴㐷挱慦戹っ㐰㈲ㄳ㐲攳㠱㤴㕣㙣慥〰昴㜷㈹ㅥ㐰㐸慢㈵昵愷ㄸ㠵㝢ㄹ敤挹㌳㉣挳㠱㐴づㅡ挸㥢㘹昹慥㜸搰㤰㔹㝥〹ㅤ敡戳㜴㔱摡㝥㤶㉦㙤㍢㑢㥡〸㌲换昴昸㠳㠹㡡㌱㔷昹敡㉢〴㍥㐱〰㌰㤸戴ㅣ愰昰攴㕡ち㔱㜰攲㝢挴ㅦ搲㍦挵㝦摦㍣昵㠳㌷㤸晥昷㤴ㄲ㜱㠹慡收㔵㔰㕣捡㉡扥㤰㕥挵㍡㑡摢慦攲㜷户㕢挵㈰㈵愹散敡〶㌲搸㔵ぢ㝦㘴㔵㥢挸㜰㐳〵户㠲㜶㍣㌴捤㘲戰㡣ㄲ改晢ㅣ㌲晤㕤㠳㐴ㄷ晤㌶收昳〴㥦㈵昸ㅤ㠲ㄷ〸慥ㄱ㝣㡥攰㐵㠰㔲㥥㔸晣㡤昶ち㡡昶㘷昲愵㉤㘲て㑤㥦搴㥥挶㈷戲㥢〶晡㜷攱㝦〸挸㡢㌶敤㌶㍥搶搹㔸㠹㐵㑢㘵㤸晦㉣戶攸ㄶ挶攱扥㌵摣㤶ㅣ昱〸㝥㡢㠸㜱㤰㈶㘵㔷㍦㡦㑣戲慢㜹㤲㐸挶㠷㔳㘲㕦昲㤲㈹昷戴㄰㌹戳ぢ㤱㔵㔱㜴㘳㉦昶慥㤰慤㔸ㄲ慤戵戶㉡戱搰攱敤〹昵㕣㐲戲㘷捦㈶㕦愵ㄹ㜱㍣て㉣ㄳ㔹昴㘴㌱㙥愴㝡㌶㘹晣摡敢つ㤷㌳㉡㤰挰㔷㔱㘳戲愲㌴摥㑣ㅡㅦ挷ㄷ㙦搲㈶㐷㠲㘲㝡㌳㘹㑣㤶㤵挶ㅢ㐹攳晦㌹㝥戸摥㌸攱搰㘸攴㍣搹㈷攳慣㈰愷愷搴搷敦㜴㑡攴㙤摡ㅦ扤㜶㔴㑣㐲㤴戰㝣㔵㉣㤰㍥㕣戴昱昱晤昹っ敥㡤攱㝡つ㤴㔴昴摦㔰㥣挳㝤戲㈹㉢戴昰㜹昹㍡〲昹扥㈹㑦散㕣戰㘷㝤ㄴ昴搸攷〲㥣㐹㉢扢㡡㐴㘰㑥㜵㐷晢㝢㤳愰㐶㠶改摤搸㡦㈴〰㘹昰㝥㑥㘷捡㔷㠲㔳摤㙡㍤挱㙣敥㕡㠳㘶捣㉦〰㌹㔰㈰㠰捣㤸扦〷ㄸ〵戳㜸ㄳ㍣㌷㐸挹㈸㘲敦昷㔹昱〷〴㕦〴㈸㈹㡡㐱搲㐱攱て〱〶㤲晦〴㘴㜸㕤晣㑤㠶昲㤲㤷晤昳㙢搷敡㘴㘴晥ㄱ㍢㝣〹愰ぢ敥㙦㈵㥢㠴ぢㅦ收ㅦ愳㈴昵㔲㐵㤱㑡㤱愹ㅣ㡣㐲㌹㐵㈹㔲㔲ㄴ戲㔲扣ㄲㄷ摦㈶挵ㄴ扢㔲扣ㅣㄷㅦ㤴㘲ち㘲㈹戶攳攲㐳㔲㝣㉤㈹搶㜱昱晤㔲㑣㘱㉤慤㉢㜱㌱摤㙦㈵昵㘲㔲㕣㡥㡢㍦挵攲㐱㑡㌶搹㤵㍦㐳挶晣㉡挱㜵㠰㔲㥥扢戹㘳戴㜲搳㍢㌴㑤晥ㅣ㕤ㄵ㜱挵㌱捣㔷攲っㅦㄴㄱ㈵㉢㜹㉡㥥㌲㜵㘷搱㈸㈸㈲㑦㉡㍥ㄳ㔷㥣㤴ち愵㠸㔰愹㜸㌲慥㌸㠵〲昳敢〰㡡〸攳㥡捣扦攰ㄳ昱㈴㉦晣㑢㘴㠸㍤晥㉡敥㠱㜴㝦愲攵㠵摣ㄷ愹戸搴昲挲敢㐹挵挵昴ぢ扦㠹㔲㈵ぢ㐳愶㔹昹㜲㠱戲摦慦㈲搳摦㌵挰戹搱慣㌰㌶㔴昹改捡搳㑦晦㜴愰㝢昸㐸昷㈷㝦扢敦换㙦晥攳㡦㕦晡攱㘷㑥晥搷捦㕥㝥昹㠷㍦㜹改㡤㥦晤敤搲挹扦㝦攵㤵敦㝦晣慢㙦晣㜸扦㝤摤㜸晤愷㌳搷㥦ㅦ扢晣晣ㄵ晢攲〳搳捦㝦敡㤹挷挶收㙥ㅢ改敡敡改戹㙦攸ㅦ敥戸㝦昰摡㤵敦慡扦晢搷㐳㥥㤲攵攲〵收㕦〱㈴㘹㤰换㤶㘹晣㌵㌲收㙢〰晤挶〰愷晤㡥捥㠵㙢㤶㙤扣㄰敦搶〴ち㡡㉡㌷㤸捣㑤㜱㍡搲攲㝣㜳ぢ挵㈹㑡挵㑣㕣㌱㠸〲昳摢〰㡡㐰㌰晢㍡㥦〴戰敥㍢〰㑣㜷攰㜷㌰㜹攸晤〵愵挰ㄳ〴</t>
  </si>
  <si>
    <t>㜸〱敤㝣㜹㤸㕣挵㜵㙦㔷㑦昷㥤戹慤ㄹ㑤ぢ㠹㐵㐲㠸挱㐸㙣㤲㠶敥改㙤〶㕢㘸㌶慤㡣ㄶ㌴ㄲ㥢ㄱ挳敤敥摢㌳㡤㝡㤱扡㝢㈴つ㘰㐳ㄲ昲攲㘷㍥捣晥㙣㈰㡥つ㉦昹㌰㘰㌶扦㌸㌶づ㌱㘰㈰㈶㌶㜶㙣㠳つ挶㝣㌱捦㈱㉦㘶戱㡤㜱㘲㍢㕦㜰㤴摦敦摣㝢㝢㙥㉦㌳ㄲ㡡晣㍤晤㤱㍢搳愷慢㑥㥤摡㝥㜵慡敡搴㜲摢愳㍣ㅥ捦〱㍣晣收攳愳㘳昱攸㔴戹㘲收扢㠷㡡戹㥣㤹慡㘴㡢㠵㜲昷㐰愹㘴㑣㡤㘴换㤵ㄶ〸㘸㘳㔹㠴㤷晤㘳攵散㤵㘶摢搸㕥戳㔴㠶㤰摦攳㘹㙢搳扤〸㙦戳㍦㐱挷愳㌳㤶敥㈳㠱㤴㐷搷㐸㕡㐹㈸慡敢㈴〱㤰昶㌹㈰摢㠷〶户㈴慦㐰挶愳㤵㘲挹㕣搱㜵㠱㤵晣慡㜰戸㍢摣ㅤ㑤㠴攳摤愱ㄵ㕤㐳㤳戹捡㘴挹㕣㔵㌰㈷㉢㈵㈳户愲㙢敢㘴㌲㤷㑤㥤㘷㑥㙤㉦敥㌲ぢ慢捣㘴㈸㤲㌴愲扤攱㘸㉣㤶改敢敢㙤㙦㐷捡㥢㠷〶户㤶捣㑣昹㐸愵搹挱㌴户っつ㜶㙦㌶㉢㐷㉡捤戹㐸ㄳ㐹づㄷ昳㐶戶㜰㠴ㄲ昵ㄳ晥挸戰㤹捡戲㥤㑣戳㤴㉤㡣㜷愳搸㌵㐰挳㤷攸㕥ぢ挴㔳㐶戹㌲㘴收㜲摢捣っ㥢愸㍤㑦捣捣㤲㔹㐸㤹攵戹昹㌵晢㔳㘶捥づ㉥户攵㉦㌰㑡㥢㡤扣改愳愳㌳㙦戵摢㠶戴㔹愸㘴㉢㔳ㅤ昹ㅤ㘵㜳㥢㔱ㄸ㌷㈹攲捦慦㥢捣愶㝤㍥攵昳㜹㕡㑥㙦㔶ㄸ㘹㥢敥戵愵搴搰㠴㔱慡㠸㡦慤ㄶ㙥㈶敢搲㄰㈹㜸㑤戱愸㐵㕤㜵戱搸㑣愳搹晣㜹㘶愹㘰收㤸〹ㅢ㙦㜹㥤㤰㘰㘲㐱㕦〵挷愹つㅢ㐶捤戱扢〶慢挲㕣昴㑥㤲㈰㠸㌶て㘴晥搰㤶㥥㉥㌳㥦㉤ㄳ攷慥㡣㤱㠲〶敢挷㔰㘴㍥㠸昲扤㡤慥㔶㥦㠴㜷捣昰㡥㈵扤㘳㈹敦㔸摡㍢㘶㝡挷㌲摥戱㜱敦搸㠴㜷㉣敢ㅤ扢挲㍢戶ぢ㌱㥤愷慤戵搵㙢㍦摤㍤户㕦戴攷换扢搷㝣敥㡦愶㝥ㄹ㝦攴搱ㄶ㍦㝢㔷慣㔹㝤敡愱ㅡ㈸㤷㈷昳扢搹慤敤㘶㤴㍥㤸ㅦ㉥㔷戶ㅡ愵㝣昹挸戶㌷㕡晢㘰つ㍥㔰捥晦晥ㅢㅣ㤹ㅣ㤱〶搷㡥〵捣㡢㌷ㄷ㑢㜹っ㍡㥢㑣愳戰㉡㥣〸㠵㔶㡣㔶搲挳收摥㔵戱摥敥㍥晤㌸㐸攸挷㠳㘸㈷㠰ㅣ户愱㔰㉥收っ挲摤昵戵㉦㜵攵㡢改挹㥣搹ㄵ搶ㄷ㔲㙡ㄱ㠸㔲晦〴慤愰㘶㝣㝢挹扢昷㉣㝢攴㘷㐳㡦㤵慦摡昹捡愶㤷捦㔴ㅣ㉢搹慣摡㘲㤰㥥㤱攲戸㥤敦㍡戳㈸㔹㠷扡挳昱扥昸ち㜸敤晣挳摤愱搸㡡㤱㘲㑡戲㕢ㄵ搲㑦㐲㍣㝤〹㔳㌸ㄹ攴㈴㍢㜳㌳㤳挹愶戲攸捦㔳㌵㈵敡愲昰㈹㈰㑡晤㠳㕤愲㑦㙤晢㡢㍤㝦ㄳ摤㍦㜲摢户攷㍤晣慤㔷扢敦㔱ㅣ戸㘵㉣㍦㤵挲㑢㐱戴㘵㈰扥㌵㕢〷户敢愷㤱㜷㍡㠸㔲㉦摢〹㍣昱敢㑤ㅦ晢摣昳挱㠱ㅢ㝥㜳捣换敦晤换㑢晦㑢㜱㐴㤱㉡㥤〹㐷愸㔹㤵ㄲ戱㥡ち昵㐴摣ㄵ㍡㡢㔹㉣〷搱㔶㠰㥣戴摢㉣㘵搸ㄴㄸ㥡扡㑡慣㜴㑤㠵㔶㔲戸ㅢ㐴愹敦摡攵ㄹ㍣改捦㌷晥攰昶㔳㌶摤昵搵扦戸昹搶㠱戳攷㉡敡扥㤴㈷〴挷捡挶昲搴ㄶ㈶㕣㠳㙥㤸改昷㠰㘸ㄱ㤰〵戹㙣挶慣㘴昳㘶㑤ㄹ愲㤴㠹㠱㈸昵つ扢っ慦晥搳慤捦ㅤ〸㑦㥥昷攷攵ㄳ搶摣㌶昲改㡡攲昴㈷㘵㐸挰㜱㙥㘳ㄹㄲ搱敥㜸戴㌷㥥攸㡤昷㈵㘲㠹㜰㕦㙦戸〶愱㜰搸㡤㔰㉦㌳散〳搱捥〱改攴㠰攴㔶扢て㌲昸㐳㈰㑡㍤㙤㤷攷戱㐷昷㙦㙣捦㥤戸晥戱捤㤹愷晥㍤㝤晢㑤㡡㌳戱㤴攷㕣㌸㥡㤴㈷ㅣ㠹㐶扡㐳愱扥㐸㉣摡搷ㅢ敢〹昷昶捥㔲㥥搵捣戰ㅦ㐴ㅢ〰㌹㙤㜷㈹㥢㌷㑡㔳㕤㘶挱㉣㡤㑦㜵愵㘰㕢搸㠳㔱㑤㌱〷ㄹ㙢〸㐴愹挷敤㘲㡥晦攸戱㑤ㄷ扤㌹戴昶挱挱㠹㉦慣㜹攲改㠱昶㌵〸㍥摦ㅥ㡦㠷㑢挶㍥㑣㙡搳昳㘵㑦㜷㠸㝦〷㌷ㄴ㘰㈷㘴㘲㤹㐴㈶ㅣ㑥挷㐲㐶挴昰㜳㐴㍦搴改㘹〱㘴摢㌳ㄷ㘶ぢ改攲㍥㙢扥捡慣捤收㉡㘶㐹㍣㥤ㄹ㝣㔹㜳慥昸㍢㌲㙢昶挳㔸㐹㔹㔳摢㠲捣㤰㔹慡㘰㤲慦㑣㑤て㝦㡢〷㡤戲㌹敤㕤㙥愷㍤㔸㥣㉣愴换㈷㌶てㅣ慤ㄸㄵ㜳㔱㝤搸㜴㈲つ搱㐶㘱〰㤸㘵㈹搲㤲晡㘸ㄷㄸ戹㐹㜳㘰㝦搶ち㍥愹㉥ㄸ愶㐰㌱㌹㜳攸摡㤲戹愷ㅡ摡㔰愲〱㤸㤲㝢㈵敤㠶㕡㕡㐱㔶戹扡㠶㈶㡡㘵戳㈰挵㕢㥥摦㥡㑤敤㌲㑢愳㈶つ㔱㌳㉤㔵㍤㤶㐱戶㍤戲㝣㑢〱ㄵ㠵㠵㤱晥㠰㥢㑢愰捤㐲摡㑣愳扣ㄸ㈳㉡㔳摢㡤㘴捥㍣慥㐶挴捡ㄳ〱ぢ㙢搸㙢㡢愹挹昲㔰戱㔰㈹ㄵ㜳戵㈱〳改扤ㅣ㘸搲㥢㡡㘹搳㈷㡦挷愲捡搳搲愲㤴攷㡣㘶㤳㉦搳㉥搳摣㜰㉢〹戴㘶㜶㘱㤷ㄲ搱〲㙡㙡愶㔴㔳㠶挳愵㘴㤴㍦㜳搶㤲戸㤵㤰搲愱㔹愵㥢㈸㈹㈳㥤㔰摢昱扡户愱㝤搰づ㌹㤳扤搲扢㜴收㈴愷昵昲㈰㈵㜵戵ち搷ㅤ㤴㥥〵㌴㐹戶慡㝢扦㕦㘱慦㜷扥㕤晢㌵㝢㘱改慥㌷ち改㥣㔹㥡㜵搵愴㔸㈲㝤㉤挹㍡㤲昵㈴ㅢ㐸㌶㠲昸扦㠸㌱㙥㐶㐴㌹ㄴ慢晤㙡捡扦㉦㥢慥㑣㘸ㄳ㘶㜶㝣愲〲ㅥ㔶㕢㙤㙤㠴㝢昸扤〳〷㉥挳挲敤ㄹ㉣户㕥攷〲㑥ㅦ㈱搹㐴戲ㄹ㈴㄰昰㘸㕢昰敤搱〲晡㔶㝥㥤㑦㘲㈹㘴㐰昹㘹扤扥㝦ㅢ㥢㑢㍢㕤㑣㝡慣戹捡晥㍣㔶づ攵㤶㤶㘶㈰慣㌷捡ㄳㄵ昶扦㔹〳挵㥡摥挶㐴㐷㐱摡户㠳㙣㕥㙦收搰㝢㡦搴㜲捤㑦㐳晣愰换〲ちㅤ㤷ㅦ㥤㉡愴㈶㑡挵〲搶户挳㐶挵ㄸ㐸㘱敤㔳㔶㠶㤶ㅦ㈹づ㑤㔶戴晣晡㉣扥摡昳摢捣摤愶㔱ㄹ挲攸㕣改挸㡦㘰摤㈴挳攷㠶昴㝥㝦摥㕡昲っ㥢攵㤴捥戵搱〶㡣㐶晢㌵戸㌰扣戶攷㌹扥㤸晢㉢㑣扡㌵て慢ㅢ㕡愴㐳㘸戹挴戲㕣㡣搹㈱㍣㈷㜶挰昶㈱㠵愰㌸㕤愹捣ㄱ㠶㤵㤲捣摤㤸㌸㘱愹昹㙣㕡摦㜱㜶㔴戲戹㜲户つ㙦昷㜰ㄱ㙢㘷㔳㔶昸㠴㕤搳愰㔷摡慣㡤㔵摦扦戹戸摡㤲㑡㕡挹愲㈸敢㑡挵挹摤戴户㡦㔴㍡㑣换愳敦〰昹捣㉦敦晦攰戲㑦㍦㝣挰晥扥〶㍤㐷ㅥ㥤敢㉦㥤㙡㑥㉦扥攴搱㉦挲㔷㘰戶㌰㍦㔷㘶㑤〷搸ㄹ搶㠱㝥挸户攷㔱摢敤㈵㔳ㄶ戶㙤攲㤹摡㙤㜶攴㉦㉣㤶㜶㈵㡢挵㕤㙣晣戹攲㉢㑦㤸㘶㐵㔶㡢昶攲㤸㙥愵㔴㑢㑢捤㍡搰戵慣攴㍡㔳扢ㄴ愴㘳㈰㤷敢㜲㔲㉣㙢㍢挱㙡挱㐴愲㕤〶挷㌱㤸㠴戰㡥ㄸぢ㡦㡤っ㡥㙥改摥㥦㉢敦㔷㜷愳摥㕣㐶㑣㍣搷戹㐰戵摥扤攱㤶户挷㈷挶㔶㉥挹慢捦摡〱つ㑢㐶慥㔴㘶㌱㜵㙡ㄶ㘶ㅣ㈵㙡㑣㥤㠶㐹摣ㅡ㔰晥摢㔴㌹敡㑣㤵㕡㌳攵慣㠳捣捤㜵㠶捡㡣搳搲㝦㑦昴捤戶㐷慤㠹摥㐰㘷㔱㝦㠶㙥挷㠹ㅤ敥摡㐷㑦挱慦愷㐹㑣㄰㑣捦㌲㙥㘱㜶ㅥ户扣㡡扢〷散㜰晡〴㐹ㄶ挴捦晤㠲搹㈷㉦㜴㔷慥㕤㝣摣挹改挸て㥢ㄹ〳㝢愴㌲攱㈸攳晦攷㝣攴挳慥戲㙢㌲㥡扤ㄲ㉣㍢㉡愱搵㥢戰戵摢㜷搸㔴㑣慦㌳ぢ摢㌱攸㤶㡦攴㌴㜳㈴愷㉢晤ち搴挳㜹晣户㐳ㄱづ扤㑥㌴攲㕡昷搲㔶ㄸㅢ昳戴戱㠶攴攸摣㑦㙡㥣攲ち攰〶㘶ぢ㔳摣㘶攲㌴愷㜳㕡搱捡㈰㉤㔰ㄶ㥤ㄳ㠹扡摥㥥ㅣㅡ㘶㡤㡦摢〱つ扢㔲摣㔴㤲㍤慥㝤㡣晦㌱㠸㌵搷昲㈹〴敢㔷㤲㕣〵攲搲昲㡦㔸㕥挵㡤㈹搱昲㡦㔲攸ㅡ㄰搵〵㈲㍢㘳搷挲攱㍣敡ㅡ攴㐱〰〵㠴㤳挱㙥〴攱㍡㜰〳晡㉣㘱敡ㄴ㐸㔴㐱搰〹㠲〵挰㈴ㄲ㙥㍡㙤㔶散㠰㠶㑤㌰敥㝤戱愷改㌷㤰㝣㠲攴㐶㤲㥢㐸㙥〶㔱〵㐴㈵㈸㤷挰㌲摦㠶㔲㍦つ㙢昹ㅦ愵昴户㔲收㌶㤲摢㐱㕣愰㝣ㄲ㕥敤㔳㈰慤㔰㙣ㄳ㐷ㅡ〱愵㤶挲㉢〰摤〱㠷㝥㈷㠸攲ㅥㅢ㑤㔴㡦㝥ㄷ挸㡣挶搰㌲㑡㌴ㄸ㐳㝦〶㙥㐰㥦㈵㑣㜱昷㙥ㅡ㈴㥡ㅣㄶ㐸ㅦ㥥〹愴㑢散㠰㠶㡤㍥敥搴㠹㤶摣ぢ㠷扡挸〶〴敥摡㐷扦て㝥晤㝥㤲〷㐰㕣㠰㍣㘸㜹ㄵ㜷晢〴㠴㠷㈸昴㌰㠸㕡〹㈲㕡昲〸ㅣ捥愳戶㈰㡦慡㤶慣〰扢ㄱ㠰扦〴㌷愰捦ㄲ愶扡㈱㌱つ挰戴㤶慣㤹〹㠰㘱㍢愰㘱㘷㤱扢㠳〲挰摦挰愱〶㘷〴攰〹〴敢㑦㤲㍣〵攲〲攰㘹换慢㝡昰㉤〰㍣㐳愱㘷㐱㔴ㄴ㐴〰昸㕢㌸㥣㐷昵戹〱㠸㠰摤〸挰㌷挰つ攸戳㠴㈹敥㔵㌶〳攰散㤹〰攸戶〳ㅡ戶㌵戹ㄳ㈹〰扣〰㠷㕡㌱㈳〰摦㐷戰晥〳㤲㤷㐰㕣〰晣搰昲慡㍥㝣ぢ〰慦㔰攸㐷㈰㡡摢㤸〲挰慢㜰㌸㡦㍡搵つ挰㌹㘰㌷〲昰ㅡ戸〱㝤㤶㌰挵捤搱㘶〰㉣㥣〹㠰ㄳ散㠰㠶㝤搴搵㐸㐹〰㜸〳づ㜵摣㡣〰扣㠵㘰晤㙤㤲㥦㠱戸〰昸㠵攵㔵晤昸ㄶ〰摥㠱㐳晦㈵㠸攲〶愹〰昰㉥ㅣ捥愳㍡摣〰っ㠰摤〸挰慦挱つ攸戳㠴愹㈱㐸㌴〳愰㘵㈶〰扣㜶㐰晤づ慤㥦晢ㅤ昵㑢㑦㌹㘲慢敥㕤戹㡣捤戹㄰搶㌲㍢ち搹㑡㜹㑥㘶㘰戲㔲㕣㥢慤挰ㅡ㘸捦㠰挰㈹㔱ㄶ挹㌶㡦㉢搲昲捣〵㔹㜳ㅦ敤㠰㤳ㅢ㠳㜰晡㌸㌴㔹慥ㄴ㘵㔵扤愴㌱㝣戸戸戹㔸ㄹ捥㤶㜷攷㡣愹愵㑤㠲慤㤰ぢ㈷捣〲昶ㅤ㑢搸㝥㍣㤸㔰㜱昷㙥㌳摤愴㡣愳挵挹㔲捡摣㌰㝣㌴散㕣㉡㙢㝢挰㠳ㄵ㈸慣㌲戵㙣收搵㠰ぢ昷㜶戴㡤ㄷ慢㔶㜵㜸ㅢ㕦摡〱挴㙦ㅦ敦挲㘱挴㑡㜳捦搹扢㉥㥣昰攸㘲搱愰〰搰㜷㥤收㈱搴摥捦慤戱搹昵挵戵㌱捡つ愳㐰〶㙤㙣昱㍡散㥤㜷ㅣ户㘵搳㘶挰昶㙤捡ㄶ收摡捥㉤㤳㤵㥡㄰㘳晦㝣㍢〴敢散㉤〵攸㐱捡㈸愵㡦㠶㈶㐲挵昰㔸敤愳㌴晣ㅤㅥ敡㔶㌲ㅥ捦㍢捥敤㡥㜷慥㐱捦昷摡㔸㜳〷戲改戶㐷戵㙦挲攱摡㔷敥㠴㝣〷攱慥戲摢攸攳㌹愴戴㠲㜵〲㌹㔷㈴㑣㘸㍢㙥〰攴捣昹戵㕥㔹㡣攸㤹㠱㈴㑥㐴㈷㉢收摣慡㑢㝡扤㥥搹㘶昲愰㜴慦搹㕥㜵㙤㑤㔵㜰㡡㔲㑤㡦晢晦㐷㑦ぢ〱ㄱ㥦摤㑡㑡摡㐹㥢㐵㜹㙢㉢挱づ㜵㤸慤㡡昶换挸昳昳搵敡捥㍢昸摣户摡攳㌸〲㝣㍣㝥敥㉣搷慦㌶㙡〷㕥昷㈱〰㝢搲㝣攷㙣捡ㅡ敥㘴㈴㙢㜷㜸摣㝦敦挸挸㈰㠸㐳㌶摥ㅡ攸㘴搷挹攱㘶㑥㈵㥢㌲㜲戹愹戹㤹つ㠵㔴㙥㌲㙤㡥ㄸ㐹㌳攷っ攰㍣㥡㍤㍡摡㑢敥㌵㔹㙤㌵ぢ㉥㌶㈸ㅢ㜰戹挹㌹㜲㌸散㌱捦愳户愰愵㘴晥㐵ㅡ〱摤㙦昷扢㡤〰晢㝤㥦戸〴㄰改㤸改昳㐲戹㔳㠳愱慤㠱挵㌱㡤摢搰搵㐳ㅢ改㜱㉥戱㤱㈲㙥〷散㌲搳㉥搶晡慣挵㍡㙡晡㤵㌴㤳愶㘹㠷㍢摢㥣戵愸敢戹愲ㅡ敥ㅦ扢敡ㄳ㤳㡦晣㜸㘷扦搳㕢㌸挷戰㜳㡣〰捣晡つ㙣㔷攷㄰㐳㐰〶㐱㥡㕣㥤ㅣ挱㉣㉢㘲㝢戶㤲㌳攷㘴㈴㕣摣㙤散ㄲ㐴戳㌵戳㝤〲㥢挱挳ㅤ㤹㜵愵㙣㍡㤷㉤㤸戴㐸㜰挰换㝢㑣㈳收㌸㡥㈲户ㄶ换㔹摥〱改挸㙣㉦ㄹ㠵昲㙥敥昹愷愶㡥愹昱㐹㘳昹㌳㠳搹〲㍡㤰㤵㈷摤㥤㤹搱㠹攲㍥㕣挶㥢捣ㄷ搶ㄹ扢换㐷㐵㐳㐱㥢敤挷敡㔵㕥攵昵慡㌶㙦摢㘱捥㔵ち捤㡤㐱㘸摤晡㜵昵搷愷㈴ㄷ㉥㠱㕡㐸散㈶摣〴搷㉣晤㤸慤㘷ㅦ㄰戳ㅦ戳慣㌵户㥡㥡ㅥ㔳㔵㙦㌸㜲㙣搶㕢ㄱ愹扤つ㘴攳扡ㅤㅢ愶慦ㄵ晣㤷敥㈰晡㌷㈳攵㔹愶〸㔱㤷敡ㄹ收戱㄰㥥㙢愹㄰㜹搴㈸㕤㌴㠱扥㝡戵っ㘴㐴㠶ㅡ㡡㔹㤵攲㜴慥挵㌱㔳㍢〶〴っ挹㌸㥥挳㔸㍣搷昲搰收挳晤愵戲ㅤ㌶㔴捣攷つ慡ㅣ搵㜵ㄴ攳戹搹㈶〶㌸㐶ㄸ㍤〳㈲㝡㘹戳㡣晤㘰ㄹ晢㠵㠵㘹㥡昷ㄲ挴捤戴㡡攳㐶㈹㕢㤹挸㘷㔳㙤昴昰敥挰㔱愱慢㔸㉥昹〰愶昳㠸挲挲㥡慤摦㠸戴㑥慦搰摣摤㔸㘰㄰㍡㌶㍦㌴摡㉢㜳扢㍡捣㐳㕦㔸戸㍡捤㕦㍤㠰搴晣㍣㌵挵㜴㘰ㄵ挵㘵㤸㠱㈳㠳㤳摡㑡〱㡡捦〱愵㠳ㅦ摦㌶㤰㔹て攴㕡㈱㄰ㄸ㈹ㅡ改戵戸㕥㔲㉣戵摡㜷㘶摢搰戴ㅣ㙡㑡㐱ㅥ挲づ攱攲〲㉥㐴散㠵㝤㕣㙡㈳㘳ㄴ挷㥢㍥ㅥ摦㙡㔶ㅢ搲攸昴昸晤㜳摡㥡攵戵挱㐹㙢愹㝤㔸攵扥ㅥ扣愱㈱晤户捦敦攵晡ㄷ搵㙡〱搵摢㔱て扤㠳㜵ㅡ㠵㤷昵愹ㄳ㤸㑢㠱㑥㄰晦づ〴搶昷㤲ㄹて㉣㤹戸㍦捦㠳搴戶㍣慢〳㌳㐴挳昱㉡づ㘴〱㠹㌶愷㡤〷㥡㝡㄰挹㝥敢昹攷㔷挱㡤慤㈸㄰㈷晦㔳攰づ〴〸㥥㍥㡦昹ㅦ挳晣つ㜸摦挷㈱〹慤㈷扤扡っㄵ〳㜸㝡搵搹㤱㜱㉦㌲攷㘷散搵愶㙢㑤㔹挷ㄳ挳ぢ晤晣㈸㕡㌱愲㝥㠰捤改㌵㠷㍢㉢㡢摡㔳挷〳ㅥ㤵㐲㠲㥣㠵㍤摡㝣〰㍥摦扡搵搸〵㙣㉡愵㙣㜲㤲搳㈴〳㍤ㅣ昰㝤㈴㜶摦㐸挳挵㤱㕦㕦㠰㔸㡡㐷㈷ㅣ㔰㤱戰㔸㔹晡㜱㙣扣㠳㜶戰㜱挶挰㐷㍦㥥㠹搸ㅥ挵㜳ㄶ㐷㈹㤸㠴慤戵㈷㐰㐰㕦㐸㐱㥥挱㌴ㄱ㔸㐴㠱ㄳ㐱晣㔷㐰愰㝥㐴愹㍤戴挰㝡㕡㠷㤰㑦敥㑢昳㜸扦つ㈷攵㜲㉦挰㉦摤㙦㡥敢㍣㕦戳㡥昲摢㄰〷慥㝣㔹ㅢ挵搸㙣愶〳㤶㘶㔱摤㌹㠸㜸扤㍥っ㔰㕡晤ㄱ㙥㐳戶㑣㘲搴㤴㠳ㄵ搵㠱㈲㘸㡢ㄱ㜹〹昷㔸㤰晥搸っㄷ㔴户㐰㄰ㅢ㍢ㅣ扢攴挱㍡㝤〹愲㜹〲㡡慤攳㘰㜱㌶㌹㔶て㍡ㄹ愱㝡ㄷ㠸攲挱㠰㠱㡦扢捤愷攰戵摡晣ㄴ㠸ㅣ㠷昹愱㈰㤷㘸て摥散㔷㈲愶㌴晢〷㤸㌶捦ㄲ㙡㥡㝤㈹戸〷㙦㜶㥥㌹㐰搰愳㉦㘳㈲戶㐷昱攰挱愹㠹慢搹㑦㠳㠰㝥㍡〵慦㘹㉥㜰〶〵捥愴挰戵㄰㘰搳㙢㘷挱户捣㠱㜴昶㡢戶㑤㤰㕤㠱搸㐰昶㍡㔰愷㍣㉢挹戱㤰㕤挹散扡㤹摤つ㘰㜲㔷㑤㍢ㅢ㍥摦㤴㘹㤴㍣㝡㠸㜱敤㥤㤴㌰摣散㘱㥦〰㙢ㅤ㍥捥攳㥡㙡戰〷搰㘳㑢摤㠸㘰敥〳㄰㄰挷㑡㥥㘹㑤愹㙥㠲ㅣ搷㤵ㅥ㍤〲昱改㠵㑤捣㑥㡣〷ㅦ㕣摣㉣㝣敡攱愹敦扣晥挲㙡㜳挹扤愷晤攲て摦㔸敤㈴捣㠲戱㘸户㐲㠶㡡愰戴㌸㘲捡捤㘱昸慣摥摥搲㐳㤷㈵挷㐳ㄲ㘹昶〴挴搴敤昰㔹捤敥搱㔹㜷扤て㘴搶㘶搷捦㠱〴㌳攴挹ち㥣ㅥ晤㠳愰㜴挸攷づ㌸ㅣ愸攱㠴愴捣㔳ㅦ㐲愰扥㡡㠲㜷㌶ㄷ㌸㤷〲慢㈹挰〳ㄸ捥㔵㝡㍦㝣搵改㠵㘷㉣㑥扡㈷挳㙤㌷攱〰愳つ㌲摡扤㘰ㅡ昸戸㍢挷㝤昰㕡㥤㘳〸㈲敦愷㜳摣㡦㤸㠲搲㌰搳㝥〰扥㥡捥戱ㄶ摣㔹㔱㤲㈶㜹㤰愵挱㐷㕦挷㐴㙣㡦㝡〸づ愷㈶慥捥戱ㅥ〲晡〶ち㍥摣㕣㘰㈳〵捥愳挰㈳㄰㤰捥㌱〲㕦戵㜳攰㑡搷㉣㤷戶㥢㜴㡥捤㠸㡤捥挱挳ㅢ愷㍣㉢挹戱㍡挷ㄶ㘶户㤵搹昱愰挵挰挷㡤散ㄳ昰㕡挸㥥て㤱昷㠳散㤳㠸㈹挸昲〰㑦㍤〵㕦つ戲摢挱㍤㌸戲㑦㈳ㅡ〴㜱㜵㠹㠹搸ㅥ挵㠳ㅣ愷㈶戴㑣㙤摤扢〰〲晡㠵ㄴ攴㈱㑦ㄳ㠱㡢㈸㜰㌱〵㜸敥㈳挸㕥〲摦㘲㘷搸㘹㝡〳扤〹愰㤷㈲ㄲ〰晤㠶㉢ㄷ㥥㈸搹㠰敥㘴㉥扣㑦愸㕥〰搳挰挷つ攸昷攱戵〰ㅤ㠳挸晢〱㤴㐷㍣〲攸攵㑣㥢㘷㍤㌵㠰㈶挱㍤㌸愰㍦㘴㘹昰搱㔳㑣挴昶愸㔷攰㜰昰㜲愹㙡ㅡ〲扡㐹㐱ㅥㅡ㌵ㄱ挸㔰㘰㥣〲㍣㐷ㄲ㐰㈷攰㍢摥〱戴晥昶㝣ㄳ㉣慦㠰㍣戰㝣捤㤵㐱㌷㌹㤶㜲敥㘲〶㌹㘶昰〶㤸〶㍥㙥㉣摦㠲搷挲㌲て㤱昷㠳攵摢㠸㈹㔸ㄶ㤸昶捦攰慢挱㜲㌷戸〷挷昲ㄷ㉣つ㍥晡ㅥ㈶㘲㝢搴㍢㜰㌴㠱慡〴〱扤㑣㐱㥥㍦㌵ㄱ攰㌲㕢㥦愴挰扢㄰㄰㉣昷挲搷敤㘰㜹㠸㌷晦㥢㐰扣ㅦ挹〰㘲㥥㕣㌹昹扡㈰㥥㘲扥㔷㠲昸㔹㠷㐳㍢捦愰挵ㅦ㜴ㅤ㌲挹㐵㤲㜹㤹昳㈷㡤ㅣ摥㕢摢㠲捤捤ち㔹㐷挳敡搵㘷㙤㌱ㅦ搴挶㤳㉡㝣㜸㘷〷㙡㔶㡦㐱慤㍤㘸搷㑤敥捤ㅣ摥ㄶ㜴挰晦挷晦㜱攰挰愱攵挲愶慢扤挹挲㘹㌶愰㕦㡤〰㑥捥㌴㘳㈹愳㝦㠴搴㝥戰攴㙥挲昵户㠰㍢换慥㑦摤敥㉤搳㥢㍦扤㐶攵㙥挴昲ㅣ㤶ㄸ㠷戰昹昳㔱㘶捦つ㕢愶㔱㕢戲㔶㠷㝢慤敤㌸〹㈲㝥慥敤敢㡤晦㠶敤〴ㄹ改㌳摣㔸ㄸ慤㑣攵戰㤹㐳㈷ㄷ〳㤶㡢慢㔷ㅣ㕢㠱㠷㐲ㄷ㑢搸戱昶搵摦扤慢挶㕤㠳㑣攷㉣愸扢㠲㉦搱ㄸ挲㝤ぢ晦㌵㘸愲ㄹ攳㐳挰搵㉡㡣挳㐷晢㐳昰ㄷ㙣捡愶㑡挵㜲㌱㔳改ㅡ挵㐶㘵ㄷ㕦捡挸㘰换㝡挰晦ㄱ愴搸㌴㑦㔶捣㔷攰㉢㥥㝢㜹㘵㈹戰慢㔰摣㔷㤰搲昸换㝣㌷㠵戹改慤慤捣㈶㠰㡦㍣愷〲摢㈰昷㌸ㄸ㔹扦づ㡥㡥㤶㈰㌷〹昸〴戹㔱㈰づ敥ち㠸㠳㍢〳㝣㍡戹㤶㘷㉡㥡㜸㡦㈰〹㜲〷㠰捡愹晤㌱ㅣ㜳㠷〶挷㕣摢㠸摡晦〰慦ㅤ㍣㔹愹㙤挳㍢ㅤ摡㥦㠰㌳て㥣摡㜷㕥㠳摣㐲㄰㑢戲ㄳ㐹挹㥢愱晡挷挱㔲戲㘶㈵敢㝡晡攰愰㤰攲㥡㤵捡愳㉡〰㤷㑤〶愶㐷扢〱㥣ㄹ摢㐱㤵㈰挶戶愸挵㤲换㔹挱昲㐶㌸㠰㈵㤷慥㥣ち戵㥢攰㔸㌶㌴㌸戴㙤㉣㙥㐶晢挲攱㘸㌲搲㡢㌷戸㌲愹㐴㕦㌴ㄴづ㈷㝡搳愹㑣㉡㤲㑥愴搳摡捤㔵搱㔸㉣ㄵ㠹愶㤲愱㜴㌸㤳㠴㘸㌸ㄹ㑡昶挴搳愹㥥戸搱搷㤳㌱㝡㘳㐱㉥㡡㤹扣㝥ぢㅣ晡慤㈰㐱慥㠵㠵㜵ㅢ㔹户㤳挵㤵戱戰㈸㈰愲㝥慥㈱て㍡㤸搹ぢ㔶搶㐷㈵㔵㑡愵㤵改㙢㙤㙤㌸慣慥ㅤ搸戰㤶㤵㐱㤰㐳愰愶㤱晡㈷〰搳散攳㤴ㄳ〹愵㜲昵〸㐶㤶㐶扣㠳攵扥ㄳ㈴㄰攴昲㤶〵搲敥㠲攳ㄸ㌴㍣慥搰㌹户戳愵ㄷ㔳㐵㜴敡㡥㑥搵〸㜶㠱㐸㠳㕣㠶㐸昲㍥愸昵㘶攸㍤攰慢て㤰㤰晦扦㙤㠷㘸挳㔲㜸㐴ㅢ㉥㐵戹ㅤ㙤搰愹つ散㠰敡㤲愶つ扦っ挱㤲捦扤㜰愰攱㑦挳㤷㌴晣攷攰戰ㅡ㍥摣ㄷ㡢㠷㈲㝤㍤戱㈸摡㍣ㅡ㑦㈵つ㈳㤱㐸愴ㄲ扤愶搹㤷㠹昷昴㘸昷㔵㐵愳挹扥㜸㙦戸搷㐸挵捣㐴戴㈷㘱㈶㈳㠹摥㐴㉡ㅡ〹ㄹ戱㕥㈳㙤昴〶㑦户㤳搷敦㠷㐳㝦〰㈴㜸㠶挳晡㍣㔹て㤲挵戵戱㌴㍣〵㐴㔴慤㠰㡢㡤慦戶愲ㅡ㙣ㄸ㈹昴愳っ晦〲㐸㈰戸ㄲ㔴㜸〴㔸慦㐳㤳慢摦㘹㌴㤷㄰㍡㡥扣晡㔷挰㔷㈱㄰挲ㄹ㔰㙢㤰㉥㈷㈷挲ㄹ搰ㅦ㈷て㤳㑣㤸㐲㤴慥㤹㘴㝡㥡㜲戹戸攵㐴愳㝦㤵挱㕣摣攲扦㉥愶慣㐸挹㝤搲づ㕥〹㡦敡㠳㐷㕡㙦㌵ち㔰㙤㍤㡥愹搲㝡慢挰㙤攸戶敡ㅣ㍢〵晤ㄹ㌸㘸㤶㠸㘹挲㤵慡搴昶㔹㌸搰愶㕣㤵昲〹㜲㘵㉡㡥㜳ㅤ〷㤷愲㝣㍡晢攱昸晤っ㡣㕣扢㑡㙦㄰攵㤶㠶ㄱつㅦ㜴昸愷㈲㝦㜹ㄹ㔸晦㈶㔸㙡㤸㠴慣攷㙤㠷㈸昷㕡㜸〴㥥㠸ㅢ㥥慡㜲㠷㥢挱ㄳ㕣㠷㐸〲挴㜷攰〰㄰敢昱㈵捡晤㕤㌸㉣攵㑥攲ㄷㅥ㐲ㄸ慢晡搲昱㘴戴㈷㠲ㄷ㘵捤㐸㌸㤶㌶㤳㤹㔰戴㉦ㄹ㑡㘹摦慢㡡昶挴搲ㄸ敤攲ㄱ㌳ㅤ㡤㐷㤳昱㜸㕦㕦㌲㥡敥ぢ㠵㤳㝤㈱扣㔶ㅢ㡤〵戹慣ㄵ戵㝤〱づ晤㐵㤰攰㐶㠷昵㝤戲㝥㐰搶㜹づ㡢〲㍡㐵ㄵ㤷愸愲摣愷愳ㅡ㔵攵㝥㠵攱㍦〲〹〴戹㑡㥤㔱戹户㍡㠱㌲㔴㉣㈷㜴㘷㤱晣㈳昸㙡ㅢ〹㝤慦摢づ㐱㜳㍢㍣㠲收㠹㑤搱㕣搸ㄴ捤ㅤ㠸㈴㠵昸㈹ㅣ㐰㤳ぢ㑥㐱昳つ㌸㉣㌴㔳扤愱㔰㍣ㅥ㌲㔳㍤㐶㌸ㅡ㡤㈴㝢〱㘷㈸㙥㠶㤳戱㐴㌲㤹㌱っ敤捤慡㘸㍡ㅡ㡥㈵㘲㘶㈸ㅡ㡢昴㐵㡤㜸搴㌰搳㘹挰ㄸ挹㈰㝥摣攸㑤〷戹㤴ㄵ㌴摦㠲㐳㝦ㅢ㈴挸ㄵ慣戰㝥㐶搶捦挹扡搸㘱㔵愵ㄴ搷愷㠲㘶愷ㅢ捤㜷ㄹ攵㔷㈰㠱㈰㤷愸㌳愲㜹㤹ㄳ㈸㘸昶㄰㍡摥挵搴晦ㅤ㝣㜵㌹〹㝤敦搹づ㐱㌳〹㡦愰搹搲ㄴ㑤搵ㄴ捤ㄴ㈲㐹㈱㔸㈳愰㤹㠶㕦搰㔴愰ㄶ㥡㤱㠴ㄹ㡡挵㌸愲愶っ攰㤳㐹昶㐴㐲㍤改㐴㑦㍣㘵ㄸ改㔸㌸愶㜹慢愲昱㐸㍣〲㈴㝢つ捣戰搱摥㔴愶搷散改敤〳攲㘱㈳㙡昶㠴愳愱愰㘹㈷慦户㈰㡥敥〳〹㘶ㅣㄶ搷㝡扡㐶搶戸挳慡㑡愹㉢挰ㄲ㌴㝦昳㍢㤷㙥〶ㄸ㘵づ㐸㈰戸ぢ〲㌳愲㤹㜳〲〵捤㍥㐲挷㡢㥤晡㝣㐴㔵〵〴攲ㅦ㍢昲昴挱㈱㘸敥㠶㑢搰㝣ぢㄹ㔶〷挲㙡㑦㝦〳摣㠶㠱㌰戸〷㤱愴㄰㈷㈰㈹愰㔹㠲ㅦ㉥㡦戶㄰搴㐶ㄳ扡㤶㐸㠴㝢晢挲愹〴㔴㌳㥥㡣愴搳攱㔸㕦㍡㤲㐹ㄸ攱㤸搱慢㉤慡㡡昶㠴㐳㍤㐶挲㐸昷㈵㌲㤹㈸㑣㤷扥㘴㌲ㅥ㠹㈵㐳昸㔹㤸㥥㑣㍣㤶〸㤶敤攴昵ㄳㄱ㐷㕦っㄲ慣㌸慣㤳挸㕡㐲搶愴挳慡㑡攱㐵㑣ㅢ捤ㅦ扢搱晣〰愳㥣ちㄲ〸㑥㐱㘰㐶㌴慦㜴〲〵捤㝥㐲户㥡㘴㌹愲慡慢ㄱ㠸㝦㡦扥〲㍥㈲挹㑦搰㤹戳搴㐷㥤㘰㠷㈳挱搷㍡㈹㜶㈳㔲㐷㡢晦㍡昸㍦㌸昳愵㍥㤷㑤扢ㅣぢ愶㥡㤷愴搷攰愵攷㈹愴攲㘹挱㤹愰㜵㈶攱昳㥥㜳㜸㘹搱ㄲ㙢㐷㔲晣昸扦ぢ愸晥ぢ改㄰㤳改㌵㈴㔳攴挶慡ㅥ㈲㘶ㅦ㐷攰昴㘵搵㥤攴ㄳ㕡昵㍣戲㙣㝡慢晦㥢㜶㐰晤换㜰挱敢ㅤ㈰攳〲愴愲ㅤ㑤㌰搵摦㈱〶㙢㈰㤹昶㈲搰㝦ぢ搸㑤敦昰搴晦搴㡡晢㔷㘹戸㘰㌹㌶扦愱㡣挵〳摥㘹摤㕥ㅣ愸晥㌲捥㍣㘷㔱戱摣㜹㥦㜶搹㌴挷戹㉣攷㐴摢㔲慡挶挳敢愱㔸㙥㈱㘰㌹摦扥㍤㜶摡攷㍡㐸㍡㜱㥡㡢㜳ㅥ摣搷㌲搳㑥㡡㘵慣扥㝤摥ㄶ㔵㝦搶㉡㜷㘱散㤷ㅦ㘹㠸㌳㌵扣っ扦㈱㍤ㄷ㌵㌸戱挹攱敦㘰戶㈲㤷㈷㜸ㄲ慡昴㥢〰㡥㜶づ㘱㕡戵㜴捤搲ㅥ晦戳㠰敥㤰戳㐰㕣㔷㔳㌳㐳㉡㜹㐰晦㄰摢晡㔶㠴ㄲ㝡愵摦捣㍣捥戵昲ㄸ㕡摡愳㥥㐲ㅥ捣〷ㅣ〸昷㔳昸㌶㠸㌸㉣㜵扢敤㘱㘲㥤戴改晤㜰搴慤㈰摦㘱㐷攴搳㉦搴搳㘶㝦〷晢㍢敦㜴㘲散㔴愷摣㌲攰㝦敤㥡晡昷㉥㈴挶㑤㜷昶㐷昸㤴㌷昵慢㝢㄰㘳㕡㉤换〸户搴昲㜱ㄴ戲愹㕡晥戵ㅤ㔰晦戶㑤㤰ぢ〴ㄹ㑥搶愲㔶ㅤ㉤敡㕥昸㐵㉤ㅦ㐳㡣慡㕡慥㘷㤵敦㐷㤰㠵て㑤㝦㙤㈳㜸搲〶㔱昵㐵挸ㄲっぢ捣ㄱち㍦㔰ㄵ愶昱慦㙤戶㠴㠷㤶㐶搵愳戶㌰㌸〰㜳㉢㠵㍦て㤱㉡㤸て摡ㅥ〱昳㔱㜸づ〱捣挵㌶㤸㕤晤㥤㕦愸㡦㔱て收摤攳晦攷捤昲ㄷ㥦㕤㡤㈳ㄵ㍣敦慣㔶㕦㐱㡣㘶㘰㝥ㅥ〵㙤ち收〳㜶㐰挳㥢㍢㡦㈳㈵晣㝢昴ぢ㔰㉢㤶㥦ㅦ昵㔵㠷敢っ慣慣㜹昰㐹㜰〵昸㡢攰挵㠴昴っ晣㙤㡣㝢㌱晣晡㈵㈴ㅦ㈶戹㤴㘴㈷挹㘵㈴㘳㈰〱㐵扢㕤㕡改戳㈸㑡戵㤵っ㠴愹㙦㈲㘸扡㌶搳㈳搶㕤㌳搵收㑥㍢愰晥ㄵ㥢㈰捤㙢㈹攱㌸搲㠵㙡搰㐶㤶㑣㍦攵捥㌴换㑣㘹愴㕡慡㐱挳㔹摢〵㥥愸㐶㐴摤〶搹㘹搵挸㔳㤸㘶慤㈵晣㍤ちㄷ㉤攱愱愵ㄱ㜵㤳㉤っづ㔴㘳て㠵㘹ㄶ㔷㔵㠳收戱㤳㔸㈷慤摦昷愷ㅡ㌴㤵㙢㘲搴慢〶戲挵昳搳搵て慤晢扦㔷㉥㜸攸㔷慢ㄵ㉤攴㘹㌰愷晢搹昵㌶㘶㡤㙦戵搹〱昵慦敢〴㕦㐷㑡〲收㍥搴ち㘰搲㐴ㄶ㌰㍦㠶ㄸ搵ㄶ攴昴愸摥㐲㤰㠵て敤㘶敤㉡昰〰收搰搲戸扡慥〶㥦㡦㔰㤸㘶慦㈵晣㈶㠵慦戱㠴搷㐰昸㕡㕢搸敡㤴㝦㐰㘱㕡挵㔵㌰㘹ㅤ㔷挱㝣ㄷ㥥ㅡ㘸㉣㈸敡〷㉤㔷㍦愳愵㕣ㄳ愳㌹㤸ぢ散晢㤱敦慥㔶㌴㤰㥢㠱㜹㤵㡤㔹〳㤸㔷摡〱昵慦晥〴㘹㕣ぢ㤸㝦㠲㕡〱㑣㕡㜲〲收㝥挴愸㠲昹㍦㔹㘵摡愹ㄶ㍥㌴㥢戵敢㐱〴捣㕥㔵戱昱〱〷捡㜶〳扥㌰㕤㌹挲㌴㥣戵ㅢ㐱㐴㡤㝢搵㙥㕢搸〲昳㘶ち搳㈸慥㠲㐹攳戸ち㈶㙤摦ㅡ㘸づち㈶つ攵㥡ㄸ昵㘰㍥昱搶扤扦晡愳晢戶昵㍦晤慦㘷㕣㝡攳搷㝥戹㕡搱㍥㙥〶收㉥ㅢ戳〶㌰慦戰〳敡㕦㈳ち搲戶ㄶ㌰㍦〹〷挰愴㠱㉣㘰㑥㈰㐶ㄵ捣㍢挰㔵㌴㔳㉤㌰ㄷ挲愵摤〵㈲㘰㈶㔴摡挶〷ㅣ㠰昹㘹㝣㈹ㅡ扤㤶㌰敤㘶敤㌳㈰〲㘶㐲㕤㙥ぢ㕢㘰摥㑤㘱摡挴㔵㌰㘹ㅢ㔷挱愴改㕢〳捤㐱挱愴㥤㕣ㄳ愳ㅥ捣㜵㠵㑢㙥搳摦扢㙤ㅡ㑣㥡挷捤挰晣戰㡤㔹〳㤸㤷搸〱昵慦㈴〵㘹㕡ぢ㤸昷挲愱㝦㡥攴㍥㤰㠰㥦收昳挱㙥㝤戹㝥㌸㠹扢扢晥っ昷晤收㘴㉣㌶㉤㕥㜹敤㈴㈷㕢摦敤戸㈶㔹挲㑦ㄷ㡤攰㌶㌰㉥㐷攲愷〷敤㡤㘲摣ㄲ收晤ㅤ攷㈲㥥㉥㍥㐶搶㌲㕢㑡戸㤹搷㥡搹㔰挶㥤攳㜴ㅢ㝥ㄸ愴㠲㥦㤲㉡ㅣつ愷㔰㌸㡣㘰摦挳㘳摤〳㙢㝡づ戰〶挱㑤㉤㍤戹㑤摤㍤㡤㠷㜳戹摥换摢㤵㠷㜷〶愵摤㡦攲㜴挲散㤵㥦慢散摡㑢㑢戸散㔵㍢搰敥戲戶㝣攱搱㙢て㐸㜹㌱昴攸㥦㠷慣捥㤹㤶㐳っ㈸㝡挰㐳㘴昱慣㔱㠸挷捦挵㐴㝤愵㜸㈲㐳慢换㔳昷换㍢㜳收戰愶愳㜷㝣愵晦㜷㤱㥤〳㡡敢〵㙡㡦昶〸㠸㜳㤹㉤敤扡捣收㔳㕢㥣㘲㜹慥昵㑣ㄷ敢ぢ㤰㤷ㄷ㤱挵㈶㤱㘲晤㈵㔹搳挵㔲㕣㙥戰㘸捥攳愳㈱㍣㥢つ捥㉥摢㥡ㅦ㌳昸㜳慤㙤昹戱㥣㔹ㄸ慦㑣㔴㝦愲ㄵ㥢㡢昸㙤ㄷ晤慦㤰〸ㄳ攵㐷昵㠳㌲㔵晤㑢㈰攴昰愳㔸㙦愹搴㤷攱㜰㥤㑣搷搶㙢㕤搳㝡㝤〵㔱敡敡昵㌸㔹慥㝡搱㕥㜵搷㑢搱㈶㤵㔲㝣ㄵづ晣㕢愵搸敡㜰㥦㜰㜱㠳㌴摥愴て㍦〹㠷晥ㄴ挹搷㐰〲㡡㤶ㅡぢ慤㔳㌹扣敡㐳㑥改㙡㤴攱㔹ち搴㉡挳搷挹㜲㤵㡥ㄶ㥥㡣戰〹愴挰ㄱ㔶〶㐲㐵㥢㑦搸㜱㥢㍤て攵っ㈸㕡㠱挲㡥搹㙣扥昳ㄹ㔰㤷㍡散愸捤㍥㕥搸戴ㄴ㐵㍡㘲戳捦㄰㌶㙤㐷㘱昷搸散㌳㠵㑤㙢㔲搸㘱㥢㝤戱戰つ戰〹㕦㔵〷㘹〱㑡㜳㝤〷㡥ㄹ㥢敢㙣㈴㘲敤扣戸搵昰㝢㠸㔲搷㕣㉦㤲攵〲㠴㌶㘴㑤㜳搱㑥㤴收晡〱ㅣ昸户㥡㡢〶愱㜰㕦㜲㜳昷挱㈳㘵㝢ㄹ㡥ㄹ换㜶㝡搳戲扤㠲㈸㜵㘵㝢㤵㉣㔷搹㘸㤲搵㤴㡤㘶㤷㤴攲ㅦ攰挰扦㔵戶㍦㜰戸㍦㜶㜳㘹㥦㐸搹㕥㠳㘳挶戲㥤摣戴㙣㍦㐱㤴扡戲扤㑥㤶慢㙣戴㜰㙡捡㐶㉢㐶捡昶晦攰挰扦㔵㌶㥡㉢挲晤㘷㌷昷㤳昰㐸搹㝥ち挷㡣㘵㍢扥㘹搹摥㐴㤴扡戲扤㑤㤶慢㙣㌴ㄸ㙡捡㐶愳㐰㑡昱㜳㌸昰㙦㤵敤㙥㠷晢ぢ㌷昷㕥㜸㐴㉦㠳挸㥥㍤㠴㙦㑤户㜹㌵挵ㄹ㔵〲㍡敤㠰㔵ㄲ愰ㄴ㘷㔹〹㤸㙢〷㜰戹慤晦ち㕣㍦㠷攷㐳㥥㌷㘰㔹ㅥ敥戱晥扦㈰ㅦ昵㄰〹戳晥㔷㌸㜴㍡昰㔱ㅣ㡡㘵㤶昸㌵㠳㌹ち㡢捣㙦㙣〷㍤㥤ㅣ㌵改㘸攳㘸搰昹㈵户㑦㜱挸㤳昸扦㈵晢㜱㍢㑣晦㌷摢㈱昱㌹戲㑤挷攷㠸㔶昵愹㈷攱ㄳ㜴戴㍡㍣㌹扡㐹㠰扦づ㑦㡥㜸ㄲ攰㜳攳昹㍢愶捡ㄱ㑥ち昳ㅦ昴㝤㥤〴㈵搶て挰㔱慤㌰㍢扤挸㜰〹慣搸摦㐵㐶搱〷㘱㝥㍡搹户改戰㉡晣㤲摢愷搸㌱㈵扥㤷㌱㕥㜵攲攳晤㠱改昸散㝦搳昱搹敦慡㍥挵捥㈳昱㝤㡣挱㝥挳㌰㥤扦㔴㑤〷㍦㥤散㈳搵ㄸ㥤散ㅢ㔵㥦愲㠲㑢㝣㡤㌱摥㜶攲户扡攳㔳㡦慢㌱㍡愹扦搳㍥㉡摥㠵挸挴扢㕦愵㉥㑦㕦㝥昹㙦㍢㝤㕤㡢㝣ㄷ昵户摦昱摡㌷㝥㜲换㡢㤷慥晡攷昷晥昴㑦㕦㝣晤㤶攷摦㝢㍣戹敡敢昷摣昳捣挶捦㍣晦㤳㘳㌲㥦昵晥搵㙦㐷㍥㝢㜵㜸搷搵㝢㌲㍢捥㕡㜷昵挵㔷㥣ㅦ摥㍡㙦㜹㑢㑢㙢敢改昳㥦㍢攱㡣攰戵㝢扥慣㥥晡攱昱〵㈵捡挶㉡〹㝡㜰搰攲つ㔲改㠲攴昲ㄷ搱㜵㕥㌹搵攷㤰戴㤳㜴㤰捣㈵改㈴〹㤲捣〳改㘸㔵愲㤶㡣攷㙣㔱挰敤〹㔲㍤㘵㈲㥣㑦愹ㄶ㈵捡搷㈰㐵㈵ㄴ愹㘳㐵慡㤳㍡昲㝢慤扡愸ㅤ㡢㜱ㅣ㌲攴㈳㔵愷晡㐹搵㡦〷㔷㍦㠱㘴㈱挹㈲㤲ㄳ㐹ㄶ㤳㥣㐴戲㠴攴㘴㄰㔴㕤ㄴㄴ㠹搴㔶㥤㡡㉡㤵㍡㠵㔲㉤㑡搴戰㐱㡡敡㈸㔲愷㕡㔲愲㙣つ㔲㔴㍡㤱㕡㘶㐹㠹㑡㌵㐸㔱戵㐴敡㜴㤱ち戲㕤改敦昰㈹㌶愶昴挵㤷昱㝢㉦ㅣつ〷挱㙦挳㤵㙣㌶戰〴扣㘴〷〸〰㘷㠱慢搸散ㄲ昴㝤㍢〸㝥㔸つ㔴〴㘱扦㘸戳㉤ㅢ㠳慡㈱散ㄷ㙣戶㘵㘳㔰㔹㠴晤㍤㥢㙤搹ㄸ㔴ㅦ㘱㝦搷㘶㕢㌶〶ㄵ㑡搸摦戱搹㤶㡤㐱ㄵㄳ昶摦摢㙣换挶愰㑥〹晢摢㌶摢愹ㄴ搵㐸〲扥㔵ㅢ㄰㘴㜳摢㠸戰㡤㐵收昹㕡ㄹ挵㜶㤷㠰㙦摡〱㠲㐸ㅣ㕣㐵㙤㤰愰扦戳㠳攰〷㈲搴て㘱㍦㘷戳㉤㐴愸㌱挲晥扡捤戶㄰愱づ〹晢㙦㙤戶㠵〸戵㑡搸捦摡㙣ぢㄱ敡㤹戰㥦戱搹ㄶ㈲搴㍣㘱㍦㙤戳㉤㐴愸㙡挲晥㥡捤㜶㄰愱㜶㐹挰㔳㜵〱㔴㈸〹㜸戲㉥㠰㍡㈴〱㑦搴〵㔰㌷㘴㕣ㅢ㠴㐳ㄱㄷ昱つ搱㈷㉣㘰㔲敤〹㡢攰㔱ㄲ攴收昲攸㜸捥㝦〲戴㑥㑢㈴</t>
  </si>
  <si>
    <t>㜸〱捤㔸㕢㡣ㅢ搵ㄹ㥥㌳昶捣㝡扣摥挴㐹ㄶ㐲〲〹愶㐴〵扡挱㔹攷㑥搲㌴搸摥㉢散㡤搸搹㐴戴挸㥡戵㡦搷挳捥㘵㌳㌳摥㕤㠷㍥搱㍥戴〲㈴㘸㐸搵㤲㤷㠲ㅡ㠹㍥㐰㉦てㄵつ㙡㔳㤵㑡愵ㄱ昴慤ㄷ愹㝤愹搴㠷戶攲㠵慡ㄷ㔵㉡㑡晦敦捣㜸㘳㝢扤㤰愴愹㤴㠱晤㜳收晣攷晣昳㥦晦昲晤晦戱挴㈴㐹扡㑡て晥挵ㄳ挵攰㥥㐲挳昳戹㤵捥㍢愶挹换扥攱搸㕥㍡敢扡㝡㘳挲昰晣〸㉤㔰㑢〶昱㍤愵攴ㄹ㘷㜹慣戴挴㕤㡦ㄶ㈹㤲ㄴ㡢㘹㌲昱㥢㝦挹收㐰挳㉥㉤㑡㈴㐱慢愴㘲㍥㌷㍤昷㌴㠹㉥昸㡥换㜷愷㘶〳〱挷㌲㤹㜴㈶扤晦㔰收㘰㝡㜰㜷㉡㕦㌷晤扡换㡦搹扣敥扢扡戹㍢㌵㔳㥦㌳㡤昲攳扣㔱㜴ㄶ戸㝤㡣捦つ敥㥢搳昷ㅦ捥散㍦㜰愰晡挸㈳㠷ㄳ㉡㐹㥥挹攷挶戸戹㐸昲㙥㤵搴ㅥ㤲㍡㤵捦捤戸扣㝡慢㘴㉡戰㐶㘶㠸㤷つ㤸㡤㜳搷戰攷搳昹ㅣ晤摦㘲ㄵ㝡㍢㤴㥥㉥ㄴ戸敤ㄹ扥戱㘴昸つ㔸㑥戳愶换㜳戳扡㔹攷慡㈵㔴㡡㔹戳扡㍢愵㕢扣捦㍡改昱ㄳ扡㍤捦昱愶㔸愳㜵愳ㄲ㈵㜷㐶ㅥ敡昶愱搰㐸改改㝣㉥㕦搳㕤㍦㄰㐹ㅦ搸搳㙤戵昸㔲扡㐵ㄵ戱㐷捣挲㍣慣㌷っㄸ㝣㔳㘸ㄹ㠳慡ㅡㄱ㌵㑥㘴㑢换捥㤴搸㥡摡换愲晦愰戰㙢摤搸㑢㉢攵㤲㉥㤷收攴㔲㔹㉥㔵攴ㄲ㤷㑢㔵戹㌴㉦㤷㙡㜲挹㤰㑢㑦换愵〵㕡搳㝣㘲㍤㍤㜲昸㙣㍤昶收搸ㅢ㝦㍢㍢昵㤶㥤昷㝡㝦ㄸ戹挴㄰㘹㈲攴ㄲ㌴搰晡㠸愸ㅢ㠸㜴㔱㈴挳搸㠷愴〸㤴戹昸慣昳挵㈷㔹㘱散挲捦捥扤晤敦敦㘴㍥㥤㐸搲㤶㈹戲㔰㝡㡡晢户㈸㥣ㄴ㔸收晡㍤〲昵ㄵ㉢㜰攸㄰昷捡ㅡ扣㍤㙥㔷昸㡡㑡㈳㡡㠲㠴㤵㜷㙣㥦慦昸㐳扡慦昷㔸㌳扡换㙤㕦愳㐵〳㘲㔷㌰挲捥㍥㌱搷摣ㅤて摦㐸㐲㔲っ㕢愴昴㡡㠹㐰ㄲ㈳㌸㠸㐴〳ㅡ㔳扢攱挲㤸敥搵㝣㝤捥攴扢㍡〲〷㜶愳㔸㍤改ㅢ愶㤷㈶㤱愳慥㔳㕦㠴㐵㙦㤵ㅣ愴扢㠶昰㔲㌷ㄳㄱ㈸㠶㝦改〳㡦㙡㕢攸㥦戸㘰㙡㘰㤲㜳慦㠲㜳㡤㤷搸㑡㉦愴攲㤰㘳改㠶㝤㡢㥣㥢戸㡢㠴㍥ㄱ收挲㤰慢㉦㔳㕥㕦ㄳ扤㌷㍤㠸晦㍥ㄹ搸〸搷慡〷慡㠷慡㤹㑣攵挰愰扥㑦㔷㤰㐸㌷㥡㤷晤戴㈷㘱㥤㌲散㡡戳㉣ㄲ㜵戳㐵㔹㈸㤲慦搸㔸攴㘲㉡㔱㉤敡敥㍣愷攴㜷挷㠷晡慢㜹挷㜵戹愹晢扣㈲㈶〰昶㕢摢㈷扤ㄱ搷戱㌰㝦㑦㑥昷昸㌵㄰ㄸ愸〶ㅦ捡㌹㜵扢攲摤摤㥤㔹昰㐹昴昶㑥摥㌵㈱㙢戶ㄵ〸ㄸ戹㈷㌴摤搹戹㑤〴㝦㜶挵〸搸㍢㍡搸〴㡤捥摣晡摣ㄱ㤷㥦㔹攵慥搱㈸㑢ㄵ㙦㠹㠳扦收㤴〱㉢搰㡢㠰捣昱戸㉤搴ㅢ戰㘶㡣昲〲㜷ぢㅣ昵㤲㔷挴㔱敦〰㡢㔳㍥㤶戹㌷㌰つ搳ㄳ㌶㔷㍥搵㍡㕢ㅤ㕥昱㌹㘵㜳㠵昴愵㥡攵㌷㡡挸愴㍢摢㤶〴摦㈴挶戶戶改ㄱ愷㕣昷㤰戵慥㘳戶㜳戲㤵㈵㥤扥㔹㤹㜴㉡㍣ㅡ㤵㈳㔲㔴㡡攲㤱愸ㄶ㐴㈸㤵〷㍢ㄲ㔵ㄴㅥ挸昶㕡ㄱ扥㈵㜲〰昱晢慥㙢㔳㝢㜸㘱㕦㌷挸㔸㙤㈵搸㕤敤戹㤲㍥㐱搶㈳㉢㤹ㅣ㠹㈴㜷㈲㑡㡢愲搷愲〶ㅦ改㡡愷挱㠹㕡㙣㠶戸挵敡〷搷㍦㡡㄰扢ㅡㄹ晦摦挵戲扣㈵㍣晤昰ㄲ㘱昶㤸㙥㔷㑣敥㝥扣扤愰㤱戶つ㘴㍢挸摤㐴攲㤲昲㈷㐲户㜵㉤㠹㑡挸㔶㔸㐳㔹㌶㉡㝥㑤慤㜱㘳扥收搳ㅣ戵㙡戱ㄸ捣扣昱愳慢㔷敦愷㍥敤ち㐱晤㥦搱晤㘹㍢㐰㜶ㄲ㠹挷攳㤲挰㑦㌵慥愵挴扢挴㔰㤱㐴㜵㐷㍤㕤ぢ慥昷㘳㤹昶㌱㍣㠶㘲っ㐰搳ㅥ〰㜹㄰攴㈱㤰捦㄰㤱搸慦改㉣㌸捦昳愴搵㍢愴つ戴晡㡢搰㙡㌷ㄶ㍤㑣愴㔵慢㍤昴慥づ㘲㔲戸㉥〵㘸㡢戳㈸攰扦㥢㈵㔷㡢ㄵっㄹ㥦㜰昴捡㠸㕥愶ㄶ戴㈷㙣㐰㘳㜹挷㕡愴ㄲ敡㈶戱㌲㑦〹㐴㠹戹㘴㔴戸ㅢ挳㐴㠱扡摤㈸昵㥦㥥㉡攰挷愳摡ㄸ㤱ㄴ愵㌷搶敤㕢攳㑤㔹扢㐲㌷户㜶搳攳㙢攴㝦昰挴攱攳攸㤶攳㜱搱户㘴㘸愸敤㈵愲挰摤㌷㥣戲ㅢ㘹搳㥤㔶愱收㉣㡦㤱扦戹ㄷ昴㜷㕥摥㌵晣慤㙢愷愹搶敢搶㌶㌱㍦敡㜲㐲㘹户㐸㘰㈵捥㠸ㅤ摢扢㜲挴愶敤挲散㉤㔸㌱㔰㥤㌵昸㌲摣㜰敦㕡ㄶ㌵愸昹扡攷㍢愲㌵搹戹㤶㍦攴㑣㌹晥㤰攱㉤㥡㝡㘳㔷ㄷ㜶挰㌹㔵攳㌶〱慣㑢㌸晢㐹㡢㥣挵㐵㕥改愲㘳挱愹扢㘵㍥㍥㜴㍢㐰㌴㜹㉡㜸㤸㐰㘷ㄶ㘳慡捣攸戹㌹㜴㘰〸ㄷ改㤹晥㌷㐷晦㜸昶换挷㔵挲㝣㐶昹㐲㜹慣〰㌱㙥〶挵㤱慢㝤㙤扤挳ㅤ戸㘹㑣搲敤捣㔸㌴㜹㑥㜷㈹戰ㅤ搷搳慣收㌰〸扣㤶㥥㍦挸㤶摢挱搸㔴ち㠳㈲㤸㕥扦〸戴㈸㉥㘲㄰挱っ扣㘰晤ㅤ搵㑡㥣ㅢ㄰㝡㤳扥㔲摥㈷愰扢㐱㐵〰㠵㍤㑢攸晣㑢㈵㈹〶戵昰㌰攵㍤ㄲ搵㔵㍦攰㝦搴挶㡤㔰散㡡㉦搸捥戲㉤㌴㔷㍣㌴㘴〲㕢㝢㝡㜰っ昴搲攲㌹搰っㅢ㐹㐱㠹ㄹ攸㘶慢愰㜱㕥扤戲㡥㔷愸㠶㠵㜷搴〴敥愸㐵㤷㡢㡢㘸㑣扣㤰〹晢慣㔳㡥扢㌰攷㌸ぢ戸捥㙣㄰㙦㕥㡤㜳ㅦ㤷挶㕥㉢戸昹㘲㑣戱ㅦ㠹戴㕤っ㐳扢㠳㠹戶㍤㈸㐹〷㘹ㄴㄹ㜱换攲㡤扤㑢攷挷ㅤ慥昶敥挶㝥搶昳敡昸搷㍥㤸慦㤵ㅥ摥㘹戱㕦㠴㡣昴摥昳愷捦扣戵㌸晣晡㤷ㅡㅦㅥ晣摥昷㈳ち慡摣㜵㜵ㄸ戸戳㙣慣慥㘲㔷搱昰㑤摥㕢つ㐲〳攳㔸㤵搰㠸扡扦㑡㑦戵㔸愳㔳て昵㔵㐷㕤愳㘲ㅡ㌶㐷攸㔰㕦㡤ぢ昶〴㥦愷㑥㙦挶挱㘵摥戱晢慡㐵㔷户㍤搴ㅡ扢摣搸摣昶㈶戲㐵愹收っ摢愳捦〸扣挴㜸㘳ㄵ㜰㑥㥥慢㕢昶愸扥攸摤づ改㐴㜱搲㝣〲昰㤲㤹㉣戳㤸ㅣ扢挹㡣㤰搴㈳㈴㉦搵㤲㠱㐷㔲昹改扤㈹㙥ㄹㅥ㝥㉡㐹㔵㐵戹愶摥㔰ㄶ㐰㈷愳㐲愲㈱㈰㝣㐳挳㜲晤㡤㈰ㄴ㑦㠸㕦㔰挲づ㍤搲慤㠶慦㜶慡㐸㌴敤㈸ㄱ㤶〲愱㍦敤戳攱〰㉦っ㙤て㥡㡥㡥㉡㝥㡣愶戴捦㘱挱〳㐴〰捤㕤昱㔹㍢㑥ㅣ㍡〳㐳㌷〴㥣㘶㍦愵愸〵㍡搰㔸㘲散㌲㡤㤰攰㕤ㄲ㤴愱㜷㐲㤲㡡㌴搰㤰ㄴ㐱㐲扣㑤敢扢㈶挴愵㤰㜱昹㥦㤳㕦㜹晤扤㘴昶㠵㝦㙤晥摤㝦晥晥摢慦㌳㌴㘰攲㘴愳㌴㐰ㄳ㠲㍦㠶戶ぢ愹㈲愹㘳㐴㌶戵戹㘶㜸㈶㔷愴㐹搶改ぢ㠶㌶つ晥搰挶挱㐶㤳㈶〴㍦ㄶづ昰㤲㐴㠷㠳㠶㐷㝤㥣挸愶㝣慥ㄴ㈰㐰ㄳ㐸搴〹㥡摥㐰搳㉤ㅤ㝣ㄲ敥挶ㅥ㙤ㄲ〴㤵㠹〹愷攰㙤㥡㐸昳㐹挲㌹㐰㍥㙤㠶㐸㕦㈴〹㐷㠸㡤昸㤸〶搱㐹戸㐵㑣ㄵ㌰㠵慥㤴挱つ㐲搱㤳攱㐰㈸ち㜳〸㔹戳㌴搰㑥㠱㥣㈶ㄲ㘷攲㜰㜸㙤晢㌴づ㈹㤶㍦㐹㠳扥〸㠳慡㜰㤰晡㜹扣㘷㑤㌳搵挴㐱㑦晤〲愶摡㝦㠲㝢㡡愶㌶搳搵慤㙥昲㔲愶㌴㤱㉢㑣愷㔷㑣㙦㠵扤ㄶ扡敤捡搶㉢捦㡣ㅦ晤㜹昶戹㜳晢㥦晤攵挲挱㍤散搵㤰搱昹ㅢ㔸戲愹㤵〲ㅢㅣ敤㠶攱㙢慥㐸〳㥤昷搱㘱扡㕦㌶㘰愵〸戵扤㡡㐰愶愸㝣攴收㘴㌵敢㈸㜲㐹昹ㄶ㘹晤㍦挸㠱㘳摡换攰扤㌴愳改㐴ㄸ晣㈹㌲〲〶搷㘰㘲つ㐶㘵ㄷ搶戳攰㉢㈱愳昳昷扦㈴挲㐰戸㜲㥥〶攴㑡〴㠰㤰㡣摦㤴㔴㠳㐸㈴敢㔹㐱扥㥤て㠵慣㈹㐰㉦㠷㡣㙦㥣戸㜸收挷晢㔷㈶㕥晥搵愶敦扥晦㠷昴㙢っ㤱戴㉡㑤㠳戴㐰搲㑢敢㐹㝡㌱㘴攴㜶㝣晢戱摦㥣扦㙦昲挲㑦㉥扥㜴㉥扢㘷〳㐳㌸㜶㤳昴挲㝡㤲㥥てㄹ昳扦晦搱攴改扦收㐷摥挸搵㝥㌰㝣昹㥤㉣㐳捣㈲㕣搸㜳戴〲㍥ㄲ㘶㕤愲ㄹ〵戶敤散㌰㜰㈱ㅡ㐱㜸㜴摣㉥㝢㝢搱㑦ㄴ扥㜹改搱㡦昶㍤㤵㘵㌰㥦㤰晡搵㔰㉡ㄴ㡥㔱㤷ぢ挱㤰摢㕣搹晢㕦ㄹ挰㠳㥣</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</si>
</sst>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
    <numFmt numFmtId="166" formatCode="0.000E+00"/>
    <numFmt numFmtId="167" formatCode="0.00_ "/>
    <numFmt numFmtId="168" formatCode="0.000"/>
    <numFmt numFmtId="169" formatCode="0.000%"/>
    <numFmt numFmtId="170" formatCode="0.0000"/>
  </numFmts>
  <fonts count="18">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9C0006"/>
      <name val="Calibri"/>
      <family val="2"/>
      <scheme val="minor"/>
    </font>
    <font>
      <sz val="9"/>
      <name val="Calibri"/>
      <family val="3"/>
      <charset val="134"/>
      <scheme val="minor"/>
    </font>
    <font>
      <b/>
      <sz val="11"/>
      <color theme="1"/>
      <name val="Calibri"/>
      <family val="3"/>
      <charset val="134"/>
      <scheme val="minor"/>
    </font>
    <font>
      <sz val="11"/>
      <color rgb="FFFF0000"/>
      <name val="Calibri"/>
      <family val="3"/>
      <charset val="134"/>
      <scheme val="minor"/>
    </font>
    <font>
      <sz val="11"/>
      <name val="Calibri"/>
      <family val="3"/>
      <charset val="134"/>
      <scheme val="minor"/>
    </font>
    <font>
      <sz val="11"/>
      <color theme="1"/>
      <name val="Calibri"/>
      <family val="3"/>
      <charset val="134"/>
      <scheme val="minor"/>
    </font>
    <font>
      <sz val="11"/>
      <color rgb="FFFF0000"/>
      <name val="Times New Roman"/>
      <family val="1"/>
    </font>
    <font>
      <sz val="11"/>
      <color theme="0"/>
      <name val="Calibri"/>
      <family val="2"/>
      <scheme val="minor"/>
    </font>
  </fonts>
  <fills count="11">
    <fill>
      <patternFill patternType="none"/>
    </fill>
    <fill>
      <patternFill patternType="gray125"/>
    </fill>
    <fill>
      <patternFill patternType="solid">
        <fgColor rgb="FF00FF00"/>
        <bgColor indexed="64"/>
      </patternFill>
    </fill>
    <fill>
      <patternFill patternType="solid">
        <fgColor rgb="FF00FFFF"/>
        <bgColor indexed="64"/>
      </patternFill>
    </fill>
    <fill>
      <patternFill patternType="solid">
        <fgColor rgb="FFFFC7CE"/>
        <bgColor indexed="64"/>
      </patternFill>
    </fill>
    <fill>
      <patternFill patternType="solid">
        <fgColor theme="4"/>
      </patternFill>
    </fill>
    <fill>
      <patternFill patternType="solid">
        <fgColor theme="5"/>
      </patternFill>
    </fill>
    <fill>
      <patternFill patternType="solid">
        <fgColor theme="7"/>
      </patternFill>
    </fill>
    <fill>
      <patternFill patternType="solid">
        <fgColor theme="8"/>
      </patternFill>
    </fill>
    <fill>
      <patternFill patternType="solid">
        <fgColor theme="9"/>
      </patternFill>
    </fill>
    <fill>
      <patternFill patternType="solid">
        <fgColor theme="9" tint="0.59999389629810485"/>
        <bgColor indexed="65"/>
      </patternFill>
    </fill>
  </fills>
  <borders count="17">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9">
    <xf numFmtId="0" fontId="0" fillId="0" borderId="0"/>
    <xf numFmtId="0" fontId="10"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2" fillId="10" borderId="0" applyNumberFormat="0" applyBorder="0" applyAlignment="0" applyProtection="0"/>
    <xf numFmtId="0" fontId="1" fillId="0" borderId="0"/>
  </cellStyleXfs>
  <cellXfs count="151">
    <xf numFmtId="0" fontId="0" fillId="0" borderId="0" xfId="0"/>
    <xf numFmtId="0" fontId="6" fillId="0" borderId="0" xfId="0" applyFont="1"/>
    <xf numFmtId="0" fontId="0" fillId="0" borderId="0" xfId="0" applyAlignment="1">
      <alignment horizontal="center"/>
    </xf>
    <xf numFmtId="166" fontId="0" fillId="0" borderId="0" xfId="0" applyNumberFormat="1" applyAlignment="1">
      <alignment horizontal="center"/>
    </xf>
    <xf numFmtId="0" fontId="7" fillId="0" borderId="0" xfId="0" applyFont="1" applyAlignment="1">
      <alignment horizontal="center"/>
    </xf>
    <xf numFmtId="0" fontId="8" fillId="0" borderId="0" xfId="0" applyFont="1" applyAlignment="1">
      <alignment horizontal="center"/>
    </xf>
    <xf numFmtId="0" fontId="6" fillId="0" borderId="0" xfId="0" applyFont="1" applyAlignment="1">
      <alignment horizontal="center"/>
    </xf>
    <xf numFmtId="166" fontId="6" fillId="0" borderId="0" xfId="0" applyNumberFormat="1" applyFont="1" applyAlignment="1">
      <alignment horizontal="center"/>
    </xf>
    <xf numFmtId="9" fontId="6" fillId="0" borderId="0" xfId="0" applyNumberFormat="1" applyFont="1" applyAlignment="1">
      <alignment horizontal="center"/>
    </xf>
    <xf numFmtId="0" fontId="9" fillId="0" borderId="0" xfId="0" applyFont="1" applyAlignment="1">
      <alignment horizontal="center"/>
    </xf>
    <xf numFmtId="166" fontId="9" fillId="0" borderId="0" xfId="0" applyNumberFormat="1" applyFont="1" applyAlignment="1">
      <alignment horizontal="center"/>
    </xf>
    <xf numFmtId="9" fontId="9" fillId="0" borderId="0" xfId="0" applyNumberFormat="1" applyFont="1" applyAlignment="1">
      <alignment horizontal="center"/>
    </xf>
    <xf numFmtId="9" fontId="0" fillId="0" borderId="0" xfId="0" applyNumberFormat="1" applyAlignment="1">
      <alignment horizontal="center"/>
    </xf>
    <xf numFmtId="166" fontId="9" fillId="0" borderId="0" xfId="0" applyNumberFormat="1" applyFont="1" applyAlignment="1">
      <alignment horizontal="center" vertical="center"/>
    </xf>
    <xf numFmtId="1" fontId="0" fillId="2" borderId="0" xfId="0" applyNumberFormat="1" applyFill="1"/>
    <xf numFmtId="9" fontId="0" fillId="2" borderId="0" xfId="0" applyNumberFormat="1" applyFill="1"/>
    <xf numFmtId="10" fontId="0" fillId="2" borderId="0" xfId="0" applyNumberFormat="1" applyFill="1"/>
    <xf numFmtId="2" fontId="0" fillId="0" borderId="0" xfId="0" applyNumberFormat="1"/>
    <xf numFmtId="0" fontId="0" fillId="3" borderId="0" xfId="0" applyFill="1"/>
    <xf numFmtId="10" fontId="0" fillId="0" borderId="0" xfId="0" applyNumberFormat="1"/>
    <xf numFmtId="0" fontId="7" fillId="0" borderId="0" xfId="0" applyFont="1"/>
    <xf numFmtId="164" fontId="0" fillId="0" borderId="0" xfId="0" applyNumberFormat="1"/>
    <xf numFmtId="166" fontId="0" fillId="0" borderId="0" xfId="0" applyNumberFormat="1" applyAlignment="1">
      <alignment horizontal="center" vertical="center"/>
    </xf>
    <xf numFmtId="166" fontId="6" fillId="0" borderId="0" xfId="0" applyNumberFormat="1" applyFont="1" applyAlignment="1">
      <alignment horizontal="center" vertical="center"/>
    </xf>
    <xf numFmtId="166" fontId="0" fillId="0" borderId="0" xfId="0" applyNumberFormat="1"/>
    <xf numFmtId="165" fontId="0" fillId="0" borderId="0" xfId="0" applyNumberFormat="1"/>
    <xf numFmtId="0" fontId="0" fillId="0" borderId="0" xfId="0" applyAlignment="1">
      <alignment horizontal="center" vertical="center" wrapText="1"/>
    </xf>
    <xf numFmtId="0" fontId="0" fillId="0" borderId="0" xfId="0" applyAlignment="1">
      <alignment horizontal="center" vertical="center"/>
    </xf>
    <xf numFmtId="0" fontId="7" fillId="0" borderId="0" xfId="0" applyFont="1" applyAlignment="1">
      <alignment horizontal="center" vertical="center" wrapText="1"/>
    </xf>
    <xf numFmtId="166" fontId="7" fillId="0" borderId="0" xfId="0" applyNumberFormat="1" applyFont="1" applyAlignment="1">
      <alignment horizontal="center" vertical="center" wrapText="1"/>
    </xf>
    <xf numFmtId="0" fontId="7" fillId="0" borderId="0" xfId="0" applyFont="1" applyAlignment="1">
      <alignment horizontal="center" vertical="center"/>
    </xf>
    <xf numFmtId="0" fontId="6" fillId="0" borderId="0" xfId="0" applyFont="1" applyAlignment="1">
      <alignment horizontal="center" vertical="center"/>
    </xf>
    <xf numFmtId="165" fontId="0" fillId="0" borderId="0" xfId="0" applyNumberFormat="1" applyAlignment="1">
      <alignment horizontal="center" vertical="center"/>
    </xf>
    <xf numFmtId="0" fontId="0" fillId="0" borderId="0" xfId="0" quotePrefix="1"/>
    <xf numFmtId="0" fontId="12" fillId="0" borderId="0" xfId="0" applyFont="1" applyAlignment="1">
      <alignment horizontal="center"/>
    </xf>
    <xf numFmtId="9" fontId="12" fillId="0" borderId="0" xfId="0" applyNumberFormat="1" applyFont="1" applyAlignment="1">
      <alignment horizontal="center"/>
    </xf>
    <xf numFmtId="0" fontId="13" fillId="0" borderId="0" xfId="0" applyFont="1" applyAlignment="1">
      <alignment horizontal="center"/>
    </xf>
    <xf numFmtId="0" fontId="14" fillId="0" borderId="0" xfId="0" applyFont="1" applyAlignment="1">
      <alignment horizontal="center"/>
    </xf>
    <xf numFmtId="0" fontId="15" fillId="0" borderId="0" xfId="0" applyFont="1" applyAlignment="1">
      <alignment horizontal="center"/>
    </xf>
    <xf numFmtId="167" fontId="0" fillId="0" borderId="0" xfId="0" applyNumberFormat="1" applyAlignment="1">
      <alignment horizontal="center"/>
    </xf>
    <xf numFmtId="165" fontId="0" fillId="2" borderId="0" xfId="0" applyNumberFormat="1" applyFill="1"/>
    <xf numFmtId="9" fontId="0" fillId="0" borderId="0" xfId="0" applyNumberFormat="1"/>
    <xf numFmtId="168" fontId="0" fillId="0" borderId="0" xfId="0" applyNumberFormat="1" applyAlignment="1">
      <alignment horizontal="center"/>
    </xf>
    <xf numFmtId="169" fontId="0" fillId="0" borderId="0" xfId="0" applyNumberFormat="1"/>
    <xf numFmtId="0" fontId="5" fillId="0" borderId="0" xfId="0" applyFont="1"/>
    <xf numFmtId="0" fontId="4" fillId="0" borderId="0" xfId="0" applyFont="1"/>
    <xf numFmtId="165" fontId="0" fillId="0" borderId="0" xfId="0" applyNumberFormat="1" applyAlignment="1">
      <alignment horizontal="center"/>
    </xf>
    <xf numFmtId="10" fontId="0" fillId="0" borderId="0" xfId="0" applyNumberFormat="1" applyAlignment="1">
      <alignment horizontal="center" vertical="center"/>
    </xf>
    <xf numFmtId="0" fontId="3" fillId="0" borderId="0" xfId="0" applyFont="1"/>
    <xf numFmtId="168" fontId="0" fillId="0" borderId="0" xfId="0" applyNumberFormat="1" applyAlignment="1">
      <alignment horizontal="center" vertical="center"/>
    </xf>
    <xf numFmtId="0" fontId="0" fillId="0" borderId="0" xfId="0" applyAlignment="1">
      <alignment horizontal="center"/>
    </xf>
    <xf numFmtId="0" fontId="0" fillId="0" borderId="0" xfId="0" applyAlignment="1">
      <alignment horizontal="center" vertical="center"/>
    </xf>
    <xf numFmtId="0" fontId="17" fillId="8" borderId="0" xfId="5" applyAlignment="1">
      <alignment horizontal="center" vertical="center"/>
    </xf>
    <xf numFmtId="166" fontId="17" fillId="8" borderId="0" xfId="5" applyNumberFormat="1" applyAlignment="1">
      <alignment horizontal="center" vertical="center"/>
    </xf>
    <xf numFmtId="2" fontId="17" fillId="8" borderId="0" xfId="5" applyNumberFormat="1" applyAlignment="1">
      <alignment horizontal="center" vertical="center"/>
    </xf>
    <xf numFmtId="166" fontId="17" fillId="5" borderId="0" xfId="2" applyNumberFormat="1"/>
    <xf numFmtId="166" fontId="17" fillId="5" borderId="0" xfId="2" applyNumberFormat="1" applyAlignment="1">
      <alignment horizontal="center" vertical="center"/>
    </xf>
    <xf numFmtId="0" fontId="17" fillId="5" borderId="0" xfId="2" applyAlignment="1">
      <alignment horizontal="center"/>
    </xf>
    <xf numFmtId="0" fontId="17" fillId="6" borderId="0" xfId="3" applyAlignment="1">
      <alignment horizontal="center"/>
    </xf>
    <xf numFmtId="0" fontId="17" fillId="6" borderId="0" xfId="3"/>
    <xf numFmtId="0" fontId="17" fillId="8" borderId="0" xfId="5"/>
    <xf numFmtId="0" fontId="17" fillId="5" borderId="0" xfId="2"/>
    <xf numFmtId="0" fontId="10" fillId="0" borderId="0" xfId="1" applyFill="1"/>
    <xf numFmtId="170" fontId="17" fillId="9" borderId="2" xfId="6" applyNumberFormat="1" applyBorder="1"/>
    <xf numFmtId="168" fontId="17" fillId="9" borderId="2" xfId="6" applyNumberFormat="1" applyBorder="1"/>
    <xf numFmtId="2" fontId="17" fillId="9" borderId="2" xfId="6" applyNumberFormat="1" applyBorder="1"/>
    <xf numFmtId="9" fontId="17" fillId="9" borderId="2" xfId="6" applyNumberFormat="1" applyBorder="1"/>
    <xf numFmtId="164" fontId="17" fillId="9" borderId="2" xfId="6" applyNumberFormat="1" applyBorder="1"/>
    <xf numFmtId="0" fontId="17" fillId="9" borderId="2" xfId="6" applyBorder="1"/>
    <xf numFmtId="0" fontId="17" fillId="7" borderId="2" xfId="4" applyBorder="1"/>
    <xf numFmtId="9" fontId="17" fillId="7" borderId="2" xfId="4" applyNumberFormat="1" applyBorder="1"/>
    <xf numFmtId="168" fontId="17" fillId="6" borderId="2" xfId="3" applyNumberFormat="1" applyBorder="1"/>
    <xf numFmtId="2" fontId="17" fillId="6" borderId="2" xfId="3" applyNumberFormat="1" applyBorder="1"/>
    <xf numFmtId="0" fontId="17" fillId="6" borderId="2" xfId="3" applyBorder="1"/>
    <xf numFmtId="164" fontId="17" fillId="6" borderId="2" xfId="3" applyNumberFormat="1" applyBorder="1"/>
    <xf numFmtId="0" fontId="17" fillId="5" borderId="2" xfId="2" applyBorder="1"/>
    <xf numFmtId="0" fontId="17" fillId="8" borderId="2" xfId="5" applyBorder="1"/>
    <xf numFmtId="0" fontId="17" fillId="6" borderId="0" xfId="3" applyAlignment="1">
      <alignment horizontal="center" vertical="center"/>
    </xf>
    <xf numFmtId="166" fontId="17" fillId="6" borderId="0" xfId="3" applyNumberFormat="1" applyAlignment="1">
      <alignment horizontal="center" vertical="center"/>
    </xf>
    <xf numFmtId="0" fontId="17" fillId="5" borderId="1" xfId="2" applyBorder="1"/>
    <xf numFmtId="0" fontId="17" fillId="5" borderId="0" xfId="2" applyAlignment="1">
      <alignment horizontal="center" vertical="center"/>
    </xf>
    <xf numFmtId="0" fontId="17" fillId="9" borderId="0" xfId="6"/>
    <xf numFmtId="0" fontId="0" fillId="0" borderId="0" xfId="0" applyAlignment="1">
      <alignment horizontal="center" vertical="center"/>
    </xf>
    <xf numFmtId="0" fontId="17" fillId="9" borderId="0" xfId="6" applyAlignment="1">
      <alignment horizontal="center" vertical="center"/>
    </xf>
    <xf numFmtId="166" fontId="17" fillId="5" borderId="0" xfId="2" applyNumberFormat="1" applyAlignment="1">
      <alignment horizontal="left"/>
    </xf>
    <xf numFmtId="166" fontId="17" fillId="5" borderId="0" xfId="2" applyNumberFormat="1" applyAlignment="1">
      <alignment horizontal="left" vertical="center"/>
    </xf>
    <xf numFmtId="0" fontId="17" fillId="5" borderId="0" xfId="2" applyAlignment="1">
      <alignment horizontal="left"/>
    </xf>
    <xf numFmtId="0" fontId="2" fillId="0" borderId="0" xfId="0" applyFont="1" applyAlignment="1">
      <alignment horizontal="center" vertical="center"/>
    </xf>
    <xf numFmtId="166" fontId="0" fillId="0" borderId="3" xfId="0" applyNumberFormat="1" applyBorder="1" applyAlignment="1">
      <alignment horizontal="center" vertical="center"/>
    </xf>
    <xf numFmtId="166" fontId="0" fillId="0" borderId="4" xfId="0" applyNumberFormat="1" applyBorder="1" applyAlignment="1">
      <alignment horizontal="center" vertical="center"/>
    </xf>
    <xf numFmtId="166" fontId="0" fillId="0" borderId="5" xfId="0" applyNumberFormat="1" applyBorder="1" applyAlignment="1">
      <alignment horizontal="center"/>
    </xf>
    <xf numFmtId="166" fontId="17" fillId="6" borderId="6" xfId="3" applyNumberFormat="1" applyBorder="1" applyAlignment="1">
      <alignment horizontal="center" vertical="center"/>
    </xf>
    <xf numFmtId="166" fontId="17" fillId="6" borderId="7" xfId="3" applyNumberFormat="1" applyBorder="1" applyAlignment="1">
      <alignment horizontal="center" vertical="center"/>
    </xf>
    <xf numFmtId="3" fontId="17" fillId="6" borderId="7" xfId="3" applyNumberFormat="1" applyBorder="1" applyAlignment="1">
      <alignment horizontal="center" vertical="center"/>
    </xf>
    <xf numFmtId="168" fontId="17" fillId="6" borderId="7" xfId="3" applyNumberFormat="1" applyBorder="1" applyAlignment="1">
      <alignment horizontal="center" vertical="center"/>
    </xf>
    <xf numFmtId="3" fontId="0" fillId="0" borderId="4" xfId="0" applyNumberFormat="1" applyBorder="1" applyAlignment="1">
      <alignment horizontal="center" vertical="center"/>
    </xf>
    <xf numFmtId="168" fontId="0" fillId="0" borderId="4" xfId="0" applyNumberFormat="1" applyBorder="1" applyAlignment="1">
      <alignment horizontal="center" vertical="center"/>
    </xf>
    <xf numFmtId="166" fontId="6" fillId="0" borderId="6" xfId="0" applyNumberFormat="1" applyFont="1" applyBorder="1" applyAlignment="1">
      <alignment horizontal="center" vertical="center"/>
    </xf>
    <xf numFmtId="166" fontId="0" fillId="0" borderId="7" xfId="0" applyNumberFormat="1" applyBorder="1" applyAlignment="1">
      <alignment horizontal="center" vertical="center"/>
    </xf>
    <xf numFmtId="3" fontId="0" fillId="0" borderId="7" xfId="0" applyNumberFormat="1" applyBorder="1" applyAlignment="1">
      <alignment horizontal="center" vertical="center"/>
    </xf>
    <xf numFmtId="168" fontId="0" fillId="0" borderId="7" xfId="0" applyNumberFormat="1" applyBorder="1" applyAlignment="1">
      <alignment horizontal="center" vertical="center"/>
    </xf>
    <xf numFmtId="166" fontId="17" fillId="8" borderId="9" xfId="5" applyNumberFormat="1" applyBorder="1" applyAlignment="1">
      <alignment horizontal="center" vertical="center"/>
    </xf>
    <xf numFmtId="166" fontId="17" fillId="8" borderId="0" xfId="5" applyNumberFormat="1" applyBorder="1" applyAlignment="1">
      <alignment horizontal="center"/>
    </xf>
    <xf numFmtId="3" fontId="17" fillId="8" borderId="0" xfId="5" applyNumberFormat="1" applyBorder="1" applyAlignment="1">
      <alignment horizontal="center" vertical="center"/>
    </xf>
    <xf numFmtId="168" fontId="17" fillId="8" borderId="0" xfId="5" applyNumberFormat="1" applyBorder="1" applyAlignment="1">
      <alignment horizontal="center" vertical="center"/>
    </xf>
    <xf numFmtId="166" fontId="0" fillId="0" borderId="7" xfId="0" applyNumberFormat="1" applyBorder="1" applyAlignment="1">
      <alignment horizontal="center"/>
    </xf>
    <xf numFmtId="166" fontId="0" fillId="0" borderId="4" xfId="0" applyNumberFormat="1" applyBorder="1" applyAlignment="1">
      <alignment horizontal="center"/>
    </xf>
    <xf numFmtId="166" fontId="17" fillId="8" borderId="6" xfId="5" applyNumberFormat="1" applyBorder="1" applyAlignment="1">
      <alignment horizontal="center" vertical="center"/>
    </xf>
    <xf numFmtId="166" fontId="17" fillId="8" borderId="7" xfId="5" applyNumberFormat="1" applyBorder="1" applyAlignment="1">
      <alignment horizontal="center"/>
    </xf>
    <xf numFmtId="3" fontId="17" fillId="8" borderId="7" xfId="5" applyNumberFormat="1" applyBorder="1" applyAlignment="1">
      <alignment horizontal="center" vertical="center"/>
    </xf>
    <xf numFmtId="168" fontId="17" fillId="8" borderId="7" xfId="5" applyNumberFormat="1" applyBorder="1" applyAlignment="1">
      <alignment horizontal="center" vertical="center"/>
    </xf>
    <xf numFmtId="166" fontId="7" fillId="0" borderId="3" xfId="0" applyNumberFormat="1" applyFont="1" applyBorder="1" applyAlignment="1">
      <alignment horizontal="center" vertical="center"/>
    </xf>
    <xf numFmtId="166" fontId="8" fillId="0" borderId="3" xfId="0" applyNumberFormat="1" applyFont="1" applyBorder="1" applyAlignment="1">
      <alignment horizontal="center" vertical="center"/>
    </xf>
    <xf numFmtId="166" fontId="17" fillId="9" borderId="0" xfId="6" applyNumberFormat="1" applyAlignment="1">
      <alignment horizontal="center" vertical="center"/>
    </xf>
    <xf numFmtId="166" fontId="2" fillId="10" borderId="0" xfId="7" applyNumberFormat="1" applyAlignment="1">
      <alignment horizontal="center" vertical="center"/>
    </xf>
    <xf numFmtId="0" fontId="2" fillId="10" borderId="0" xfId="7" applyAlignment="1">
      <alignment horizontal="center" vertical="center"/>
    </xf>
    <xf numFmtId="0" fontId="17" fillId="7" borderId="0" xfId="4"/>
    <xf numFmtId="0" fontId="17" fillId="8" borderId="0" xfId="5" applyAlignment="1">
      <alignment horizontal="center" vertical="center"/>
    </xf>
    <xf numFmtId="166" fontId="17" fillId="8" borderId="0" xfId="5" applyNumberFormat="1" applyAlignment="1">
      <alignment horizontal="center" vertical="center"/>
    </xf>
    <xf numFmtId="0" fontId="0" fillId="0" borderId="0" xfId="0" applyAlignment="1">
      <alignment horizontal="center" vertical="center"/>
    </xf>
    <xf numFmtId="3" fontId="0" fillId="0" borderId="0" xfId="0" applyNumberFormat="1" applyBorder="1" applyAlignment="1">
      <alignment horizontal="center" vertical="center"/>
    </xf>
    <xf numFmtId="0" fontId="17" fillId="8" borderId="0" xfId="5" applyAlignment="1">
      <alignment horizontal="center" vertical="center"/>
    </xf>
    <xf numFmtId="166" fontId="17" fillId="8" borderId="0" xfId="5" applyNumberFormat="1" applyAlignment="1">
      <alignment horizontal="center" vertical="center"/>
    </xf>
    <xf numFmtId="0" fontId="7" fillId="0" borderId="0" xfId="8" applyFont="1"/>
    <xf numFmtId="0" fontId="1" fillId="0" borderId="0" xfId="8"/>
    <xf numFmtId="0" fontId="17" fillId="5" borderId="13" xfId="2" applyBorder="1"/>
    <xf numFmtId="0" fontId="17" fillId="5" borderId="14" xfId="2" applyBorder="1"/>
    <xf numFmtId="0" fontId="1" fillId="0" borderId="13" xfId="8" applyBorder="1"/>
    <xf numFmtId="0" fontId="1" fillId="0" borderId="14" xfId="8" applyBorder="1"/>
    <xf numFmtId="0" fontId="17" fillId="6" borderId="13" xfId="3" applyBorder="1"/>
    <xf numFmtId="0" fontId="17" fillId="6" borderId="14" xfId="3" applyBorder="1"/>
    <xf numFmtId="0" fontId="17" fillId="8" borderId="15" xfId="5" applyBorder="1"/>
    <xf numFmtId="0" fontId="17" fillId="8" borderId="16" xfId="5" applyBorder="1"/>
    <xf numFmtId="164" fontId="1" fillId="0" borderId="0" xfId="8" applyNumberFormat="1"/>
    <xf numFmtId="0" fontId="7" fillId="0" borderId="0" xfId="0" applyFont="1" applyAlignment="1">
      <alignment horizontal="center" vertical="center" wrapText="1"/>
    </xf>
    <xf numFmtId="0" fontId="17" fillId="8" borderId="0" xfId="5" applyAlignment="1">
      <alignment horizontal="center" vertical="center"/>
    </xf>
    <xf numFmtId="166" fontId="17" fillId="8" borderId="0" xfId="5" applyNumberFormat="1" applyAlignment="1">
      <alignment horizontal="center" vertical="center"/>
    </xf>
    <xf numFmtId="0" fontId="0" fillId="0" borderId="0" xfId="0" applyAlignment="1">
      <alignment horizontal="center" vertical="center"/>
    </xf>
    <xf numFmtId="0" fontId="17" fillId="9" borderId="0" xfId="6" applyAlignment="1">
      <alignment horizontal="center" vertical="center"/>
    </xf>
    <xf numFmtId="166" fontId="7" fillId="0" borderId="0" xfId="0" applyNumberFormat="1" applyFont="1" applyAlignment="1">
      <alignment horizontal="center" vertical="center"/>
    </xf>
    <xf numFmtId="0" fontId="8" fillId="0" borderId="0" xfId="0" applyFont="1" applyAlignment="1">
      <alignment horizontal="center"/>
    </xf>
    <xf numFmtId="166" fontId="8" fillId="0" borderId="0" xfId="0" applyNumberFormat="1" applyFont="1" applyAlignment="1">
      <alignment horizontal="center" vertical="center"/>
    </xf>
    <xf numFmtId="9" fontId="0" fillId="0" borderId="0" xfId="0" applyNumberFormat="1" applyAlignment="1">
      <alignment horizontal="center"/>
    </xf>
    <xf numFmtId="0" fontId="0" fillId="0" borderId="0" xfId="0" applyAlignment="1">
      <alignment horizontal="center"/>
    </xf>
    <xf numFmtId="0" fontId="12" fillId="0" borderId="0" xfId="0" applyFont="1" applyAlignment="1">
      <alignment horizontal="center"/>
    </xf>
    <xf numFmtId="0" fontId="1" fillId="0" borderId="11" xfId="8" applyBorder="1" applyAlignment="1">
      <alignment horizontal="center"/>
    </xf>
    <xf numFmtId="0" fontId="1" fillId="0" borderId="12" xfId="8" applyBorder="1" applyAlignment="1">
      <alignment horizontal="center"/>
    </xf>
    <xf numFmtId="166" fontId="17" fillId="6" borderId="8" xfId="3" applyNumberFormat="1" applyBorder="1" applyAlignment="1">
      <alignment horizontal="center"/>
    </xf>
    <xf numFmtId="166" fontId="0" fillId="0" borderId="8" xfId="0" applyNumberFormat="1" applyBorder="1" applyAlignment="1">
      <alignment horizontal="center"/>
    </xf>
    <xf numFmtId="166" fontId="17" fillId="8" borderId="10" xfId="5" applyNumberFormat="1" applyBorder="1" applyAlignment="1">
      <alignment horizontal="center"/>
    </xf>
    <xf numFmtId="166" fontId="17" fillId="8" borderId="8" xfId="5" applyNumberFormat="1" applyBorder="1" applyAlignment="1">
      <alignment horizontal="center"/>
    </xf>
  </cellXfs>
  <cellStyles count="9">
    <cellStyle name="40% - Accent6" xfId="7" builtinId="51"/>
    <cellStyle name="Accent1" xfId="2" builtinId="29"/>
    <cellStyle name="Accent2" xfId="3" builtinId="33"/>
    <cellStyle name="Accent4" xfId="4" builtinId="41"/>
    <cellStyle name="Accent5" xfId="5" builtinId="45"/>
    <cellStyle name="Accent6" xfId="6" builtinId="49"/>
    <cellStyle name="Bad" xfId="1" builtinId="27"/>
    <cellStyle name="Normal" xfId="0" builtinId="0"/>
    <cellStyle name="Normal 2" xfId="8" xr:uid="{9AA6BE84-1F3E-47CA-AEE4-8EFA9E9874A6}"/>
  </cellStyles>
  <dxfs count="0"/>
  <tableStyles count="0" defaultTableStyle="TableStyleMedium2" defaultPivotStyle="PivotStyleLight16"/>
  <colors>
    <mruColors>
      <color rgb="FF3886CC"/>
      <color rgb="FFFB8072"/>
      <color rgb="FF80B1D3"/>
      <color rgb="FFBEBADA"/>
      <color rgb="FF8DD3C7"/>
      <color rgb="FFFDB462"/>
      <color rgb="FFD9D9D9"/>
      <color rgb="FF66C2A5"/>
      <color rgb="FFB3DE69"/>
      <color rgb="FFFCCD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lang="zh-CN" sz="1800" b="1" i="0" u="none" strike="noStrike" kern="120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00954527615049"/>
          <c:y val="0.15004482348553599"/>
          <c:w val="0.47839933323870598"/>
          <c:h val="0.71054498884690398"/>
        </c:manualLayout>
      </c:layout>
      <c:pieChart>
        <c:varyColors val="1"/>
        <c:ser>
          <c:idx val="0"/>
          <c:order val="0"/>
          <c:tx>
            <c:strRef>
              <c:f>'material inventory'!$K$2</c:f>
              <c:strCache>
                <c:ptCount val="1"/>
                <c:pt idx="0">
                  <c:v>Primary energy consumption</c:v>
                </c:pt>
              </c:strCache>
            </c:strRef>
          </c:tx>
          <c:dPt>
            <c:idx val="0"/>
            <c:bubble3D val="0"/>
            <c:spPr>
              <a:solidFill>
                <a:srgbClr val="FB807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C3C-4F98-9DCF-5185B6B8EA2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C3C-4F98-9DCF-5185B6B8EA2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C3C-4F98-9DCF-5185B6B8EA2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C3C-4F98-9DCF-5185B6B8EA20}"/>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9C3C-4F98-9DCF-5185B6B8EA20}"/>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9C3C-4F98-9DCF-5185B6B8EA20}"/>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9C3C-4F98-9DCF-5185B6B8EA20}"/>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9C3C-4F98-9DCF-5185B6B8EA20}"/>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9C3C-4F98-9DCF-5185B6B8EA20}"/>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9C3C-4F98-9DCF-5185B6B8EA20}"/>
              </c:ext>
            </c:extLst>
          </c:dPt>
          <c:dPt>
            <c:idx val="10"/>
            <c:bubble3D val="0"/>
            <c:spPr>
              <a:solidFill>
                <a:schemeClr val="bg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9C3C-4F98-9DCF-5185B6B8EA20}"/>
              </c:ext>
            </c:extLst>
          </c:dPt>
          <c:dPt>
            <c:idx val="11"/>
            <c:bubble3D val="0"/>
            <c:spPr>
              <a:solidFill>
                <a:srgbClr val="BC80BD"/>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9C3C-4F98-9DCF-5185B6B8EA20}"/>
              </c:ext>
            </c:extLst>
          </c:dPt>
          <c:dPt>
            <c:idx val="12"/>
            <c:bubble3D val="0"/>
            <c:spPr>
              <a:solidFill>
                <a:srgbClr val="66C2A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9C3C-4F98-9DCF-5185B6B8EA20}"/>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9C3C-4F98-9DCF-5185B6B8EA20}"/>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DE33-47F9-A49A-6FED848BAE41}"/>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F4D2-4158-A648-DD7F2B6520BB}"/>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F4D2-4158-A648-DD7F2B6520BB}"/>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F4D2-4158-A648-DD7F2B6520BB}"/>
              </c:ext>
            </c:extLst>
          </c:dPt>
          <c:dLbls>
            <c:dLbl>
              <c:idx val="0"/>
              <c:layout>
                <c:manualLayout>
                  <c:x val="-6.9038712671629393E-2"/>
                  <c:y val="0.16112670902732301"/>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C3C-4F98-9DCF-5185B6B8EA20}"/>
                </c:ext>
              </c:extLst>
            </c:dLbl>
            <c:dLbl>
              <c:idx val="1"/>
              <c:delete val="1"/>
              <c:extLst>
                <c:ext xmlns:c15="http://schemas.microsoft.com/office/drawing/2012/chart" uri="{CE6537A1-D6FC-4f65-9D91-7224C49458BB}"/>
                <c:ext xmlns:c16="http://schemas.microsoft.com/office/drawing/2014/chart" uri="{C3380CC4-5D6E-409C-BE32-E72D297353CC}">
                  <c16:uniqueId val="{00000003-9C3C-4F98-9DCF-5185B6B8EA20}"/>
                </c:ext>
              </c:extLst>
            </c:dLbl>
            <c:dLbl>
              <c:idx val="2"/>
              <c:delete val="1"/>
              <c:extLst>
                <c:ext xmlns:c15="http://schemas.microsoft.com/office/drawing/2012/chart" uri="{CE6537A1-D6FC-4f65-9D91-7224C49458BB}"/>
                <c:ext xmlns:c16="http://schemas.microsoft.com/office/drawing/2014/chart" uri="{C3380CC4-5D6E-409C-BE32-E72D297353CC}">
                  <c16:uniqueId val="{00000005-9C3C-4F98-9DCF-5185B6B8EA20}"/>
                </c:ext>
              </c:extLst>
            </c:dLbl>
            <c:dLbl>
              <c:idx val="3"/>
              <c:delete val="1"/>
              <c:extLst>
                <c:ext xmlns:c15="http://schemas.microsoft.com/office/drawing/2012/chart" uri="{CE6537A1-D6FC-4f65-9D91-7224C49458BB}"/>
                <c:ext xmlns:c16="http://schemas.microsoft.com/office/drawing/2014/chart" uri="{C3380CC4-5D6E-409C-BE32-E72D297353CC}">
                  <c16:uniqueId val="{00000007-9C3C-4F98-9DCF-5185B6B8EA20}"/>
                </c:ext>
              </c:extLst>
            </c:dLbl>
            <c:dLbl>
              <c:idx val="4"/>
              <c:delete val="1"/>
              <c:extLst>
                <c:ext xmlns:c15="http://schemas.microsoft.com/office/drawing/2012/chart" uri="{CE6537A1-D6FC-4f65-9D91-7224C49458BB}"/>
                <c:ext xmlns:c16="http://schemas.microsoft.com/office/drawing/2014/chart" uri="{C3380CC4-5D6E-409C-BE32-E72D297353CC}">
                  <c16:uniqueId val="{00000009-9C3C-4F98-9DCF-5185B6B8EA20}"/>
                </c:ext>
              </c:extLst>
            </c:dLbl>
            <c:dLbl>
              <c:idx val="5"/>
              <c:delete val="1"/>
              <c:extLst>
                <c:ext xmlns:c15="http://schemas.microsoft.com/office/drawing/2012/chart" uri="{CE6537A1-D6FC-4f65-9D91-7224C49458BB}"/>
                <c:ext xmlns:c16="http://schemas.microsoft.com/office/drawing/2014/chart" uri="{C3380CC4-5D6E-409C-BE32-E72D297353CC}">
                  <c16:uniqueId val="{0000000B-9C3C-4F98-9DCF-5185B6B8EA20}"/>
                </c:ext>
              </c:extLst>
            </c:dLbl>
            <c:dLbl>
              <c:idx val="6"/>
              <c:delete val="1"/>
              <c:extLst>
                <c:ext xmlns:c15="http://schemas.microsoft.com/office/drawing/2012/chart" uri="{CE6537A1-D6FC-4f65-9D91-7224C49458BB}"/>
                <c:ext xmlns:c16="http://schemas.microsoft.com/office/drawing/2014/chart" uri="{C3380CC4-5D6E-409C-BE32-E72D297353CC}">
                  <c16:uniqueId val="{0000000D-9C3C-4F98-9DCF-5185B6B8EA20}"/>
                </c:ext>
              </c:extLst>
            </c:dLbl>
            <c:dLbl>
              <c:idx val="7"/>
              <c:delete val="1"/>
              <c:extLst>
                <c:ext xmlns:c15="http://schemas.microsoft.com/office/drawing/2012/chart" uri="{CE6537A1-D6FC-4f65-9D91-7224C49458BB}"/>
                <c:ext xmlns:c16="http://schemas.microsoft.com/office/drawing/2014/chart" uri="{C3380CC4-5D6E-409C-BE32-E72D297353CC}">
                  <c16:uniqueId val="{0000000F-9C3C-4F98-9DCF-5185B6B8EA20}"/>
                </c:ext>
              </c:extLst>
            </c:dLbl>
            <c:dLbl>
              <c:idx val="8"/>
              <c:delete val="1"/>
              <c:extLst>
                <c:ext xmlns:c15="http://schemas.microsoft.com/office/drawing/2012/chart" uri="{CE6537A1-D6FC-4f65-9D91-7224C49458BB}"/>
                <c:ext xmlns:c16="http://schemas.microsoft.com/office/drawing/2014/chart" uri="{C3380CC4-5D6E-409C-BE32-E72D297353CC}">
                  <c16:uniqueId val="{00000011-9C3C-4F98-9DCF-5185B6B8EA20}"/>
                </c:ext>
              </c:extLst>
            </c:dLbl>
            <c:dLbl>
              <c:idx val="9"/>
              <c:delete val="1"/>
              <c:extLst>
                <c:ext xmlns:c15="http://schemas.microsoft.com/office/drawing/2012/chart" uri="{CE6537A1-D6FC-4f65-9D91-7224C49458BB}"/>
                <c:ext xmlns:c16="http://schemas.microsoft.com/office/drawing/2014/chart" uri="{C3380CC4-5D6E-409C-BE32-E72D297353CC}">
                  <c16:uniqueId val="{00000013-9C3C-4F98-9DCF-5185B6B8EA20}"/>
                </c:ext>
              </c:extLst>
            </c:dLbl>
            <c:dLbl>
              <c:idx val="10"/>
              <c:delete val="1"/>
              <c:extLst>
                <c:ext xmlns:c15="http://schemas.microsoft.com/office/drawing/2012/chart" uri="{CE6537A1-D6FC-4f65-9D91-7224C49458BB}"/>
                <c:ext xmlns:c16="http://schemas.microsoft.com/office/drawing/2014/chart" uri="{C3380CC4-5D6E-409C-BE32-E72D297353CC}">
                  <c16:uniqueId val="{00000015-9C3C-4F98-9DCF-5185B6B8EA20}"/>
                </c:ext>
              </c:extLst>
            </c:dLbl>
            <c:dLbl>
              <c:idx val="11"/>
              <c:layout>
                <c:manualLayout>
                  <c:x val="1.42338678882529E-3"/>
                  <c:y val="-1.7183508897849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7-9C3C-4F98-9DCF-5185B6B8EA20}"/>
                </c:ext>
              </c:extLst>
            </c:dLbl>
            <c:dLbl>
              <c:idx val="13"/>
              <c:delete val="1"/>
              <c:extLst>
                <c:ext xmlns:c15="http://schemas.microsoft.com/office/drawing/2012/chart" uri="{CE6537A1-D6FC-4f65-9D91-7224C49458BB}"/>
                <c:ext xmlns:c16="http://schemas.microsoft.com/office/drawing/2014/chart" uri="{C3380CC4-5D6E-409C-BE32-E72D297353CC}">
                  <c16:uniqueId val="{0000001B-9C3C-4F98-9DCF-5185B6B8EA20}"/>
                </c:ext>
              </c:extLst>
            </c:dLbl>
            <c:spPr>
              <a:noFill/>
              <a:ln>
                <a:noFill/>
              </a:ln>
              <a:effectLst/>
            </c:spPr>
            <c:txPr>
              <a:bodyPr rot="0" spcFirstLastPara="1" vertOverflow="ellipsis" vert="horz" wrap="square" lIns="38100" tIns="19050" rIns="38100" bIns="19050" anchor="ctr" anchorCtr="1">
                <a:spAutoFit/>
              </a:bodyPr>
              <a:lstStyle/>
              <a:p>
                <a:pPr>
                  <a:defRPr lang="zh-CN" sz="12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('material inventory'!$I$3:$I$19,'material inventory'!$I$51)</c:f>
              <c:strCache>
                <c:ptCount val="18"/>
                <c:pt idx="0">
                  <c:v>FTO glass</c:v>
                </c:pt>
                <c:pt idx="1">
                  <c:v>Zinc powder</c:v>
                </c:pt>
                <c:pt idx="2">
                  <c:v>Dilute HCl</c:v>
                </c:pt>
                <c:pt idx="3">
                  <c:v>Ethanol</c:v>
                </c:pt>
                <c:pt idx="4">
                  <c:v>Deionized water</c:v>
                </c:pt>
                <c:pt idx="5">
                  <c:v>Acetone</c:v>
                </c:pt>
                <c:pt idx="6">
                  <c:v>BL-TiO₂ ink</c:v>
                </c:pt>
                <c:pt idx="7">
                  <c:v>La-doped BSO NPs</c:v>
                </c:pt>
                <c:pt idx="8">
                  <c:v>PbI₂</c:v>
                </c:pt>
                <c:pt idx="9">
                  <c:v>Dimethylformamide</c:v>
                </c:pt>
                <c:pt idx="10">
                  <c:v>CH₃NH₃I</c:v>
                </c:pt>
                <c:pt idx="11">
                  <c:v>Isopropanol</c:v>
                </c:pt>
                <c:pt idx="12">
                  <c:v>Toluene</c:v>
                </c:pt>
                <c:pt idx="13">
                  <c:v>PTAA solution</c:v>
                </c:pt>
                <c:pt idx="14">
                  <c:v>Cu</c:v>
                </c:pt>
                <c:pt idx="15">
                  <c:v>Ar</c:v>
                </c:pt>
                <c:pt idx="16">
                  <c:v>O₂</c:v>
                </c:pt>
                <c:pt idx="17">
                  <c:v>Treatment</c:v>
                </c:pt>
              </c:strCache>
            </c:strRef>
          </c:cat>
          <c:val>
            <c:numRef>
              <c:f>('material inventory'!$K$3:$K$19,'material inventory'!$K$51)</c:f>
              <c:numCache>
                <c:formatCode>0.000E+00</c:formatCode>
                <c:ptCount val="18"/>
                <c:pt idx="0">
                  <c:v>85.029036949120112</c:v>
                </c:pt>
                <c:pt idx="1">
                  <c:v>4.1800508549599998E-3</c:v>
                </c:pt>
                <c:pt idx="2">
                  <c:v>4.6518874375235586E-3</c:v>
                </c:pt>
                <c:pt idx="3">
                  <c:v>2.1431605553400002</c:v>
                </c:pt>
                <c:pt idx="4">
                  <c:v>1.5662186060912001E-3</c:v>
                </c:pt>
                <c:pt idx="5">
                  <c:v>9.9018946488503996</c:v>
                </c:pt>
                <c:pt idx="6">
                  <c:v>0.71984448963916647</c:v>
                </c:pt>
                <c:pt idx="7">
                  <c:v>0.23984137863979263</c:v>
                </c:pt>
                <c:pt idx="8">
                  <c:v>6.2763408474757407E-2</c:v>
                </c:pt>
                <c:pt idx="9">
                  <c:v>0.1846893663970838</c:v>
                </c:pt>
                <c:pt idx="10">
                  <c:v>1.3688443144771683</c:v>
                </c:pt>
                <c:pt idx="11">
                  <c:v>1.8870770104736083</c:v>
                </c:pt>
                <c:pt idx="12">
                  <c:v>5.4955341728023827E-2</c:v>
                </c:pt>
                <c:pt idx="13">
                  <c:v>3.2878661442403283</c:v>
                </c:pt>
                <c:pt idx="14">
                  <c:v>0.103960138283008</c:v>
                </c:pt>
                <c:pt idx="15">
                  <c:v>4.3659558183030303</c:v>
                </c:pt>
                <c:pt idx="16">
                  <c:v>1.7448388645818179E-3</c:v>
                </c:pt>
                <c:pt idx="17">
                  <c:v>5.4601869797269286E-3</c:v>
                </c:pt>
              </c:numCache>
            </c:numRef>
          </c:val>
          <c:extLst>
            <c:ext xmlns:c16="http://schemas.microsoft.com/office/drawing/2014/chart" uri="{C3380CC4-5D6E-409C-BE32-E72D297353CC}">
              <c16:uniqueId val="{0000001C-9C3C-4F98-9DCF-5185B6B8EA20}"/>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9715273421286539"/>
          <c:y val="0"/>
          <c:w val="0.26699555937979147"/>
          <c:h val="1"/>
        </c:manualLayout>
      </c:layout>
      <c:overlay val="0"/>
      <c:spPr>
        <a:solidFill>
          <a:schemeClr val="bg1">
            <a:alpha val="39000"/>
          </a:schemeClr>
        </a:solidFill>
        <a:ln>
          <a:noFill/>
        </a:ln>
        <a:effectLst/>
      </c:spPr>
      <c:txPr>
        <a:bodyPr rot="0" spcFirstLastPara="1" vertOverflow="ellipsis" vert="horz" wrap="square" anchor="ctr" anchorCtr="1"/>
        <a:lstStyle/>
        <a:p>
          <a:pPr rtl="0">
            <a:defRPr lang="zh-CN"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lang="zh-CN"/>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0437445319335083E-4"/>
          <c:y val="5.0925925925925923E-2"/>
          <c:w val="0.53888888888888886"/>
          <c:h val="0.89814814814814814"/>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161-4541-83B4-A75597A1211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161-4541-83B4-A75597A1211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161-4541-83B4-A75597A1211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161-4541-83B4-A75597A1211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161-4541-83B4-A75597A1211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161-4541-83B4-A75597A1211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161-4541-83B4-A75597A1211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161-4541-83B4-A75597A1211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161-4541-83B4-A75597A1211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161-4541-83B4-A75597A1211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0161-4541-83B4-A75597A1211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0161-4541-83B4-A75597A1211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0161-4541-83B4-A75597A1211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0161-4541-83B4-A75597A12119}"/>
              </c:ext>
            </c:extLst>
          </c:dPt>
          <c:cat>
            <c:strRef>
              <c:f>recycling!$A$2:$A$15</c:f>
              <c:strCache>
                <c:ptCount val="14"/>
                <c:pt idx="0">
                  <c:v>FTO glass</c:v>
                </c:pt>
                <c:pt idx="1">
                  <c:v>Zinc powder</c:v>
                </c:pt>
                <c:pt idx="2">
                  <c:v>Dilute HCl</c:v>
                </c:pt>
                <c:pt idx="3">
                  <c:v>Ethanol</c:v>
                </c:pt>
                <c:pt idx="4">
                  <c:v>Deionized water</c:v>
                </c:pt>
                <c:pt idx="5">
                  <c:v>BL-TiO₂ ink</c:v>
                </c:pt>
                <c:pt idx="6">
                  <c:v>La-doped BSO NPs</c:v>
                </c:pt>
                <c:pt idx="7">
                  <c:v>PbI₂</c:v>
                </c:pt>
                <c:pt idx="8">
                  <c:v>Dimethylformamide</c:v>
                </c:pt>
                <c:pt idx="9">
                  <c:v>CH₃NH₃I</c:v>
                </c:pt>
                <c:pt idx="10">
                  <c:v>Isopropanol</c:v>
                </c:pt>
                <c:pt idx="11">
                  <c:v>Toluene</c:v>
                </c:pt>
                <c:pt idx="12">
                  <c:v>PTAA solution</c:v>
                </c:pt>
                <c:pt idx="13">
                  <c:v>Cu</c:v>
                </c:pt>
              </c:strCache>
            </c:strRef>
          </c:cat>
          <c:val>
            <c:numRef>
              <c:f>recycling!$B$2:$B$15</c:f>
              <c:numCache>
                <c:formatCode>General</c:formatCode>
                <c:ptCount val="14"/>
                <c:pt idx="0">
                  <c:v>0</c:v>
                </c:pt>
                <c:pt idx="1">
                  <c:v>0</c:v>
                </c:pt>
                <c:pt idx="2">
                  <c:v>0</c:v>
                </c:pt>
                <c:pt idx="3">
                  <c:v>0</c:v>
                </c:pt>
                <c:pt idx="4">
                  <c:v>0</c:v>
                </c:pt>
                <c:pt idx="5">
                  <c:v>0</c:v>
                </c:pt>
                <c:pt idx="6">
                  <c:v>0</c:v>
                </c:pt>
                <c:pt idx="7">
                  <c:v>6.2763408474757407E-2</c:v>
                </c:pt>
                <c:pt idx="8">
                  <c:v>0.1846893663970838</c:v>
                </c:pt>
                <c:pt idx="9">
                  <c:v>1.3688443144771683</c:v>
                </c:pt>
                <c:pt idx="10">
                  <c:v>1.8870770104736083</c:v>
                </c:pt>
                <c:pt idx="11">
                  <c:v>5.4955341728023827E-2</c:v>
                </c:pt>
                <c:pt idx="12">
                  <c:v>3.2878661442403283</c:v>
                </c:pt>
                <c:pt idx="13">
                  <c:v>1.8712824890941438E-2</c:v>
                </c:pt>
              </c:numCache>
            </c:numRef>
          </c:val>
          <c:extLst>
            <c:ext xmlns:c16="http://schemas.microsoft.com/office/drawing/2014/chart" uri="{C3380CC4-5D6E-409C-BE32-E72D297353CC}">
              <c16:uniqueId val="{00000000-9AA5-49D7-851C-B6FA76810D8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3434208223972008"/>
          <c:y val="7.0309492563429568E-2"/>
          <c:w val="0.24899125109361331"/>
          <c:h val="0.905677311169436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1913823272090988E-3"/>
          <c:y val="5.0925925925925923E-2"/>
          <c:w val="0.53888888888888886"/>
          <c:h val="0.89814814814814814"/>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E4C-4C16-BD48-8FA22BD0DB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E4C-4C16-BD48-8FA22BD0DB9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E4C-4C16-BD48-8FA22BD0DB9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E4C-4C16-BD48-8FA22BD0DB9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E4C-4C16-BD48-8FA22BD0DB9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E4C-4C16-BD48-8FA22BD0DB9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E4C-4C16-BD48-8FA22BD0DB9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E4C-4C16-BD48-8FA22BD0DB9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E4C-4C16-BD48-8FA22BD0DB9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E4C-4C16-BD48-8FA22BD0DB96}"/>
              </c:ext>
            </c:extLst>
          </c:dPt>
          <c:cat>
            <c:strRef>
              <c:f>recycling!$A$19:$A$28</c:f>
              <c:strCache>
                <c:ptCount val="10"/>
                <c:pt idx="0">
                  <c:v>Sonication</c:v>
                </c:pt>
                <c:pt idx="1">
                  <c:v>Spray pyrolysis</c:v>
                </c:pt>
                <c:pt idx="2">
                  <c:v>ETL spin coating</c:v>
                </c:pt>
                <c:pt idx="3">
                  <c:v>ETL calcining</c:v>
                </c:pt>
                <c:pt idx="4">
                  <c:v>PL 1st-step spin coating</c:v>
                </c:pt>
                <c:pt idx="5">
                  <c:v>PL 2nd-step spin coating</c:v>
                </c:pt>
                <c:pt idx="6">
                  <c:v>PL Drying</c:v>
                </c:pt>
                <c:pt idx="7">
                  <c:v>HTL spin coating</c:v>
                </c:pt>
                <c:pt idx="8">
                  <c:v>Sputtering</c:v>
                </c:pt>
                <c:pt idx="9">
                  <c:v>UV/O3 cleaning</c:v>
                </c:pt>
              </c:strCache>
            </c:strRef>
          </c:cat>
          <c:val>
            <c:numRef>
              <c:f>recycling!$B$19:$B$28</c:f>
              <c:numCache>
                <c:formatCode>General</c:formatCode>
                <c:ptCount val="10"/>
                <c:pt idx="0" formatCode="0.000E+00">
                  <c:v>49.96641093677313</c:v>
                </c:pt>
                <c:pt idx="1">
                  <c:v>0</c:v>
                </c:pt>
                <c:pt idx="2">
                  <c:v>0</c:v>
                </c:pt>
                <c:pt idx="3">
                  <c:v>0</c:v>
                </c:pt>
                <c:pt idx="4" formatCode="0.000E+00">
                  <c:v>1.4881863036072136</c:v>
                </c:pt>
                <c:pt idx="5" formatCode="0.000E+00">
                  <c:v>74.409315180360679</c:v>
                </c:pt>
                <c:pt idx="6" formatCode="0.000E+00">
                  <c:v>29.979846562063884</c:v>
                </c:pt>
                <c:pt idx="7" formatCode="0.000E+00">
                  <c:v>40.181030197394769</c:v>
                </c:pt>
                <c:pt idx="8" formatCode="0.000E+00">
                  <c:v>97.156910154836652</c:v>
                </c:pt>
                <c:pt idx="9" formatCode="0.000E+00">
                  <c:v>0.28730686288644547</c:v>
                </c:pt>
              </c:numCache>
            </c:numRef>
          </c:val>
          <c:extLst>
            <c:ext xmlns:c16="http://schemas.microsoft.com/office/drawing/2014/chart" uri="{C3380CC4-5D6E-409C-BE32-E72D297353CC}">
              <c16:uniqueId val="{00000000-10FB-4935-82BA-BC2CF862904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SA!$K$5:$K$12</c:f>
              <c:strCache>
                <c:ptCount val="8"/>
                <c:pt idx="0">
                  <c:v>Energy consumption of drying of PL, kWh (0.089)</c:v>
                </c:pt>
                <c:pt idx="1">
                  <c:v>Energy consumption of PTAA spin coating, kWh (0.168)</c:v>
                </c:pt>
                <c:pt idx="2">
                  <c:v>Energy consumption of spin coating of PL, kWh (0.206)</c:v>
                </c:pt>
                <c:pt idx="3">
                  <c:v>Energy consumption for sonication, kWh (0.483)</c:v>
                </c:pt>
                <c:pt idx="4">
                  <c:v>Energy consumption of thermal evaporation, kWh (3.309)</c:v>
                </c:pt>
                <c:pt idx="5">
                  <c:v>Recycling level of substrate (100%)</c:v>
                </c:pt>
                <c:pt idx="6">
                  <c:v>Utilization efficiency of gold (82%)</c:v>
                </c:pt>
                <c:pt idx="7">
                  <c:v>Recycling level of gold (100%)</c:v>
                </c:pt>
              </c:strCache>
            </c:strRef>
          </c:cat>
          <c:val>
            <c:numRef>
              <c:f>SA!$M$5:$M$12</c:f>
              <c:numCache>
                <c:formatCode>General</c:formatCode>
                <c:ptCount val="8"/>
                <c:pt idx="0">
                  <c:v>16.982670256804653</c:v>
                </c:pt>
                <c:pt idx="1">
                  <c:v>16.971376009489681</c:v>
                </c:pt>
                <c:pt idx="2">
                  <c:v>16.9660647561521</c:v>
                </c:pt>
                <c:pt idx="3">
                  <c:v>16.926685345106101</c:v>
                </c:pt>
                <c:pt idx="4">
                  <c:v>16.525514987542717</c:v>
                </c:pt>
                <c:pt idx="5">
                  <c:v>18.832034371930675</c:v>
                </c:pt>
                <c:pt idx="6">
                  <c:v>19.1726254495088</c:v>
                </c:pt>
                <c:pt idx="7">
                  <c:v>21.349974249508801</c:v>
                </c:pt>
              </c:numCache>
            </c:numRef>
          </c:val>
          <c:extLst>
            <c:ext xmlns:c16="http://schemas.microsoft.com/office/drawing/2014/chart" uri="{C3380CC4-5D6E-409C-BE32-E72D297353CC}">
              <c16:uniqueId val="{00000000-D734-4B1E-A0A9-C2197A84223C}"/>
            </c:ext>
          </c:extLst>
        </c:ser>
        <c:dLbls>
          <c:showLegendKey val="0"/>
          <c:showVal val="0"/>
          <c:showCatName val="0"/>
          <c:showSerName val="0"/>
          <c:showPercent val="0"/>
          <c:showBubbleSize val="0"/>
        </c:dLbls>
        <c:gapWidth val="182"/>
        <c:axId val="19146863"/>
        <c:axId val="338742815"/>
      </c:barChart>
      <c:barChart>
        <c:barDir val="bar"/>
        <c:grouping val="clustered"/>
        <c:varyColors val="0"/>
        <c:ser>
          <c:idx val="1"/>
          <c:order val="1"/>
          <c:spPr>
            <a:solidFill>
              <a:schemeClr val="accent2"/>
            </a:solidFill>
            <a:ln>
              <a:noFill/>
            </a:ln>
            <a:effectLst/>
          </c:spPr>
          <c:invertIfNegative val="0"/>
          <c:cat>
            <c:strRef>
              <c:f>SA!$K$5:$K$12</c:f>
              <c:strCache>
                <c:ptCount val="8"/>
                <c:pt idx="0">
                  <c:v>Energy consumption of drying of PL, kWh (0.089)</c:v>
                </c:pt>
                <c:pt idx="1">
                  <c:v>Energy consumption of PTAA spin coating, kWh (0.168)</c:v>
                </c:pt>
                <c:pt idx="2">
                  <c:v>Energy consumption of spin coating of PL, kWh (0.206)</c:v>
                </c:pt>
                <c:pt idx="3">
                  <c:v>Energy consumption for sonication, kWh (0.483)</c:v>
                </c:pt>
                <c:pt idx="4">
                  <c:v>Energy consumption of thermal evaporation, kWh (3.309)</c:v>
                </c:pt>
                <c:pt idx="5">
                  <c:v>Recycling level of substrate (100%)</c:v>
                </c:pt>
                <c:pt idx="6">
                  <c:v>Utilization efficiency of gold (82%)</c:v>
                </c:pt>
                <c:pt idx="7">
                  <c:v>Recycling level of gold (100%)</c:v>
                </c:pt>
              </c:strCache>
            </c:strRef>
          </c:cat>
          <c:val>
            <c:numRef>
              <c:f>SA!$Q$5:$Q$12</c:f>
              <c:numCache>
                <c:formatCode>General</c:formatCode>
                <c:ptCount val="8"/>
                <c:pt idx="0">
                  <c:v>17.007883042212949</c:v>
                </c:pt>
                <c:pt idx="1">
                  <c:v>17.019177289527921</c:v>
                </c:pt>
                <c:pt idx="2">
                  <c:v>17.024488542865505</c:v>
                </c:pt>
                <c:pt idx="3">
                  <c:v>17.063867953911501</c:v>
                </c:pt>
                <c:pt idx="4">
                  <c:v>17.465038311474888</c:v>
                </c:pt>
                <c:pt idx="5">
                  <c:v>0</c:v>
                </c:pt>
                <c:pt idx="6">
                  <c:v>14.817927849508798</c:v>
                </c:pt>
                <c:pt idx="7">
                  <c:v>0</c:v>
                </c:pt>
              </c:numCache>
            </c:numRef>
          </c:val>
          <c:extLst>
            <c:ext xmlns:c16="http://schemas.microsoft.com/office/drawing/2014/chart" uri="{C3380CC4-5D6E-409C-BE32-E72D297353CC}">
              <c16:uniqueId val="{00000001-D734-4B1E-A0A9-C2197A84223C}"/>
            </c:ext>
          </c:extLst>
        </c:ser>
        <c:dLbls>
          <c:showLegendKey val="0"/>
          <c:showVal val="0"/>
          <c:showCatName val="0"/>
          <c:showSerName val="0"/>
          <c:showPercent val="0"/>
          <c:showBubbleSize val="0"/>
        </c:dLbls>
        <c:gapWidth val="182"/>
        <c:axId val="474420095"/>
        <c:axId val="338760703"/>
      </c:barChart>
      <c:catAx>
        <c:axId val="19146863"/>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742815"/>
        <c:crossesAt val="16.995276649999997"/>
        <c:auto val="1"/>
        <c:lblAlgn val="ctr"/>
        <c:lblOffset val="100"/>
        <c:noMultiLvlLbl val="0"/>
      </c:catAx>
      <c:valAx>
        <c:axId val="338742815"/>
        <c:scaling>
          <c:orientation val="minMax"/>
          <c:max val="23"/>
          <c:min val="14"/>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6863"/>
        <c:crosses val="autoZero"/>
        <c:crossBetween val="between"/>
      </c:valAx>
      <c:valAx>
        <c:axId val="338760703"/>
        <c:scaling>
          <c:orientation val="minMax"/>
          <c:max val="23"/>
          <c:min val="14"/>
        </c:scaling>
        <c:delete val="0"/>
        <c:axPos val="t"/>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420095"/>
        <c:crosses val="max"/>
        <c:crossBetween val="between"/>
      </c:valAx>
      <c:catAx>
        <c:axId val="474420095"/>
        <c:scaling>
          <c:orientation val="minMax"/>
        </c:scaling>
        <c:delete val="1"/>
        <c:axPos val="l"/>
        <c:numFmt formatCode="General" sourceLinked="1"/>
        <c:majorTickMark val="out"/>
        <c:minorTickMark val="none"/>
        <c:tickLblPos val="nextTo"/>
        <c:crossAx val="338760703"/>
        <c:crossesAt val="16.995276649999997"/>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SA!$K$14:$K$21</c:f>
              <c:strCache>
                <c:ptCount val="8"/>
                <c:pt idx="0">
                  <c:v>Energy consumption of drying of PL, kWh (0.089)</c:v>
                </c:pt>
                <c:pt idx="1">
                  <c:v>Energy consumption of PTAA spin coating, kWh (0.168)</c:v>
                </c:pt>
                <c:pt idx="2">
                  <c:v>Energy consumption of spin coating of PL, kWh (0.206)</c:v>
                </c:pt>
                <c:pt idx="3">
                  <c:v>Energy consumption for sonication, kWh (0.483)</c:v>
                </c:pt>
                <c:pt idx="4">
                  <c:v>Energy consumption of thermal evaporation, kWh (3.309)</c:v>
                </c:pt>
                <c:pt idx="5">
                  <c:v>Recycling level of substrate (100%)</c:v>
                </c:pt>
                <c:pt idx="6">
                  <c:v>Utilization efficiency of gold (82%)</c:v>
                </c:pt>
                <c:pt idx="7">
                  <c:v>Recycling level of gold (100%)</c:v>
                </c:pt>
              </c:strCache>
            </c:strRef>
          </c:cat>
          <c:val>
            <c:numRef>
              <c:f>SA!$M$14:$M$21</c:f>
              <c:numCache>
                <c:formatCode>General</c:formatCode>
                <c:ptCount val="8"/>
                <c:pt idx="0">
                  <c:v>279.66919325330525</c:v>
                </c:pt>
                <c:pt idx="1">
                  <c:v>279.47046205749803</c:v>
                </c:pt>
                <c:pt idx="2">
                  <c:v>279.37700636296813</c:v>
                </c:pt>
                <c:pt idx="3">
                  <c:v>278.6840945443131</c:v>
                </c:pt>
                <c:pt idx="4">
                  <c:v>271.62518546806916</c:v>
                </c:pt>
                <c:pt idx="5">
                  <c:v>319.68269059061049</c:v>
                </c:pt>
                <c:pt idx="6">
                  <c:v>312.31161222360248</c:v>
                </c:pt>
                <c:pt idx="7">
                  <c:v>344.73221176432247</c:v>
                </c:pt>
              </c:numCache>
            </c:numRef>
          </c:val>
          <c:extLst>
            <c:ext xmlns:c16="http://schemas.microsoft.com/office/drawing/2014/chart" uri="{C3380CC4-5D6E-409C-BE32-E72D297353CC}">
              <c16:uniqueId val="{00000000-D055-489E-9602-A0A343FB7400}"/>
            </c:ext>
          </c:extLst>
        </c:ser>
        <c:dLbls>
          <c:showLegendKey val="0"/>
          <c:showVal val="0"/>
          <c:showCatName val="0"/>
          <c:showSerName val="0"/>
          <c:showPercent val="0"/>
          <c:showBubbleSize val="0"/>
        </c:dLbls>
        <c:gapWidth val="182"/>
        <c:axId val="226197807"/>
        <c:axId val="1519138671"/>
      </c:barChart>
      <c:barChart>
        <c:barDir val="bar"/>
        <c:grouping val="clustered"/>
        <c:varyColors val="0"/>
        <c:ser>
          <c:idx val="1"/>
          <c:order val="1"/>
          <c:spPr>
            <a:solidFill>
              <a:schemeClr val="accent2"/>
            </a:solidFill>
            <a:ln>
              <a:noFill/>
            </a:ln>
            <a:effectLst/>
          </c:spPr>
          <c:invertIfNegative val="0"/>
          <c:cat>
            <c:strRef>
              <c:f>SA!$K$14:$K$21</c:f>
              <c:strCache>
                <c:ptCount val="8"/>
                <c:pt idx="0">
                  <c:v>Energy consumption of drying of PL, kWh (0.089)</c:v>
                </c:pt>
                <c:pt idx="1">
                  <c:v>Energy consumption of PTAA spin coating, kWh (0.168)</c:v>
                </c:pt>
                <c:pt idx="2">
                  <c:v>Energy consumption of spin coating of PL, kWh (0.206)</c:v>
                </c:pt>
                <c:pt idx="3">
                  <c:v>Energy consumption for sonication, kWh (0.483)</c:v>
                </c:pt>
                <c:pt idx="4">
                  <c:v>Energy consumption of thermal evaporation, kWh (3.309)</c:v>
                </c:pt>
                <c:pt idx="5">
                  <c:v>Recycling level of substrate (100%)</c:v>
                </c:pt>
                <c:pt idx="6">
                  <c:v>Utilization efficiency of gold (82%)</c:v>
                </c:pt>
                <c:pt idx="7">
                  <c:v>Recycling level of gold (100%)</c:v>
                </c:pt>
              </c:strCache>
            </c:strRef>
          </c:cat>
          <c:val>
            <c:numRef>
              <c:f>SA!$Q$14:$Q$21</c:f>
              <c:numCache>
                <c:formatCode>General</c:formatCode>
                <c:ptCount val="8"/>
                <c:pt idx="0">
                  <c:v>280.11283211245973</c:v>
                </c:pt>
                <c:pt idx="1">
                  <c:v>280.31156330826701</c:v>
                </c:pt>
                <c:pt idx="2">
                  <c:v>280.40501900279691</c:v>
                </c:pt>
                <c:pt idx="3">
                  <c:v>281.09793082145188</c:v>
                </c:pt>
                <c:pt idx="4">
                  <c:v>288.15683989769582</c:v>
                </c:pt>
                <c:pt idx="5">
                  <c:v>0</c:v>
                </c:pt>
                <c:pt idx="6">
                  <c:v>247.47041314216244</c:v>
                </c:pt>
                <c:pt idx="7">
                  <c:v>0</c:v>
                </c:pt>
              </c:numCache>
            </c:numRef>
          </c:val>
          <c:extLst>
            <c:ext xmlns:c16="http://schemas.microsoft.com/office/drawing/2014/chart" uri="{C3380CC4-5D6E-409C-BE32-E72D297353CC}">
              <c16:uniqueId val="{00000001-D055-489E-9602-A0A343FB7400}"/>
            </c:ext>
          </c:extLst>
        </c:ser>
        <c:dLbls>
          <c:showLegendKey val="0"/>
          <c:showVal val="0"/>
          <c:showCatName val="0"/>
          <c:showSerName val="0"/>
          <c:showPercent val="0"/>
          <c:showBubbleSize val="0"/>
        </c:dLbls>
        <c:gapWidth val="182"/>
        <c:axId val="226204207"/>
        <c:axId val="338738655"/>
      </c:barChart>
      <c:catAx>
        <c:axId val="226197807"/>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138671"/>
        <c:crossesAt val="279.89101269999992"/>
        <c:auto val="1"/>
        <c:lblAlgn val="ctr"/>
        <c:lblOffset val="100"/>
        <c:noMultiLvlLbl val="0"/>
      </c:catAx>
      <c:valAx>
        <c:axId val="1519138671"/>
        <c:scaling>
          <c:orientation val="minMax"/>
          <c:max val="370"/>
          <c:min val="25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197807"/>
        <c:crosses val="autoZero"/>
        <c:crossBetween val="between"/>
      </c:valAx>
      <c:valAx>
        <c:axId val="338738655"/>
        <c:scaling>
          <c:orientation val="minMax"/>
          <c:max val="370"/>
          <c:min val="250"/>
        </c:scaling>
        <c:delete val="0"/>
        <c:axPos val="t"/>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204207"/>
        <c:crosses val="max"/>
        <c:crossBetween val="between"/>
      </c:valAx>
      <c:catAx>
        <c:axId val="226204207"/>
        <c:scaling>
          <c:orientation val="minMax"/>
        </c:scaling>
        <c:delete val="1"/>
        <c:axPos val="l"/>
        <c:numFmt formatCode="General" sourceLinked="1"/>
        <c:majorTickMark val="out"/>
        <c:minorTickMark val="none"/>
        <c:tickLblPos val="nextTo"/>
        <c:crossAx val="338738655"/>
        <c:crossesAt val="279.89101269999992"/>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lang="zh-CN" sz="1800" b="1" i="0" u="none" strike="noStrike" kern="120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2017294634482199"/>
          <c:y val="0.160768684075349"/>
          <c:w val="0.48941368646641198"/>
          <c:h val="0.74986581100954897"/>
        </c:manualLayout>
      </c:layout>
      <c:pieChart>
        <c:varyColors val="1"/>
        <c:ser>
          <c:idx val="0"/>
          <c:order val="0"/>
          <c:tx>
            <c:strRef>
              <c:f>'material inventory'!$J$2</c:f>
              <c:strCache>
                <c:ptCount val="1"/>
                <c:pt idx="0">
                  <c:v>Carbon footprint</c:v>
                </c:pt>
              </c:strCache>
            </c:strRef>
          </c:tx>
          <c:dPt>
            <c:idx val="0"/>
            <c:bubble3D val="0"/>
            <c:spPr>
              <a:solidFill>
                <a:srgbClr val="FB807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521-4030-BDF2-DCCC5C3F18F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521-4030-BDF2-DCCC5C3F18F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521-4030-BDF2-DCCC5C3F18F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521-4030-BDF2-DCCC5C3F18F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6521-4030-BDF2-DCCC5C3F18F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6521-4030-BDF2-DCCC5C3F18F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6521-4030-BDF2-DCCC5C3F18F6}"/>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6521-4030-BDF2-DCCC5C3F18F6}"/>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6521-4030-BDF2-DCCC5C3F18F6}"/>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6521-4030-BDF2-DCCC5C3F18F6}"/>
              </c:ext>
            </c:extLst>
          </c:dPt>
          <c:dPt>
            <c:idx val="10"/>
            <c:bubble3D val="0"/>
            <c:spPr>
              <a:solidFill>
                <a:schemeClr val="bg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6521-4030-BDF2-DCCC5C3F18F6}"/>
              </c:ext>
            </c:extLst>
          </c:dPt>
          <c:dPt>
            <c:idx val="11"/>
            <c:bubble3D val="0"/>
            <c:spPr>
              <a:solidFill>
                <a:srgbClr val="BC80BD"/>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6521-4030-BDF2-DCCC5C3F18F6}"/>
              </c:ext>
            </c:extLst>
          </c:dPt>
          <c:dPt>
            <c:idx val="12"/>
            <c:bubble3D val="0"/>
            <c:spPr>
              <a:solidFill>
                <a:srgbClr val="66C2A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6521-4030-BDF2-DCCC5C3F18F6}"/>
              </c:ext>
            </c:extLst>
          </c:dPt>
          <c:dPt>
            <c:idx val="13"/>
            <c:bubble3D val="0"/>
            <c:spPr>
              <a:solidFill>
                <a:srgbClr val="D9D9D9"/>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6521-4030-BDF2-DCCC5C3F18F6}"/>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6521-4030-BDF2-DCCC5C3F18F6}"/>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DBCF-4A34-84E1-809F752FA272}"/>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9921-4BF2-B6AE-86FF5ED5A1C3}"/>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3C78-4E1D-A0CB-E619E02A9DED}"/>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3C78-4E1D-A0CB-E619E02A9DED}"/>
              </c:ext>
            </c:extLst>
          </c:dPt>
          <c:dLbls>
            <c:dLbl>
              <c:idx val="0"/>
              <c:layout>
                <c:manualLayout>
                  <c:x val="-6.3953627218180598E-2"/>
                  <c:y val="0.153645901500918"/>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521-4030-BDF2-DCCC5C3F18F6}"/>
                </c:ext>
              </c:extLst>
            </c:dLbl>
            <c:dLbl>
              <c:idx val="1"/>
              <c:delete val="1"/>
              <c:extLst>
                <c:ext xmlns:c15="http://schemas.microsoft.com/office/drawing/2012/chart" uri="{CE6537A1-D6FC-4f65-9D91-7224C49458BB}"/>
                <c:ext xmlns:c16="http://schemas.microsoft.com/office/drawing/2014/chart" uri="{C3380CC4-5D6E-409C-BE32-E72D297353CC}">
                  <c16:uniqueId val="{00000003-6521-4030-BDF2-DCCC5C3F18F6}"/>
                </c:ext>
              </c:extLst>
            </c:dLbl>
            <c:dLbl>
              <c:idx val="2"/>
              <c:delete val="1"/>
              <c:extLst>
                <c:ext xmlns:c15="http://schemas.microsoft.com/office/drawing/2012/chart" uri="{CE6537A1-D6FC-4f65-9D91-7224C49458BB}"/>
                <c:ext xmlns:c16="http://schemas.microsoft.com/office/drawing/2014/chart" uri="{C3380CC4-5D6E-409C-BE32-E72D297353CC}">
                  <c16:uniqueId val="{00000005-6521-4030-BDF2-DCCC5C3F18F6}"/>
                </c:ext>
              </c:extLst>
            </c:dLbl>
            <c:dLbl>
              <c:idx val="3"/>
              <c:delete val="1"/>
              <c:extLst>
                <c:ext xmlns:c15="http://schemas.microsoft.com/office/drawing/2012/chart" uri="{CE6537A1-D6FC-4f65-9D91-7224C49458BB}"/>
                <c:ext xmlns:c16="http://schemas.microsoft.com/office/drawing/2014/chart" uri="{C3380CC4-5D6E-409C-BE32-E72D297353CC}">
                  <c16:uniqueId val="{00000007-6521-4030-BDF2-DCCC5C3F18F6}"/>
                </c:ext>
              </c:extLst>
            </c:dLbl>
            <c:dLbl>
              <c:idx val="4"/>
              <c:delete val="1"/>
              <c:extLst>
                <c:ext xmlns:c15="http://schemas.microsoft.com/office/drawing/2012/chart" uri="{CE6537A1-D6FC-4f65-9D91-7224C49458BB}"/>
                <c:ext xmlns:c16="http://schemas.microsoft.com/office/drawing/2014/chart" uri="{C3380CC4-5D6E-409C-BE32-E72D297353CC}">
                  <c16:uniqueId val="{00000009-6521-4030-BDF2-DCCC5C3F18F6}"/>
                </c:ext>
              </c:extLst>
            </c:dLbl>
            <c:dLbl>
              <c:idx val="5"/>
              <c:delete val="1"/>
              <c:extLst>
                <c:ext xmlns:c15="http://schemas.microsoft.com/office/drawing/2012/chart" uri="{CE6537A1-D6FC-4f65-9D91-7224C49458BB}"/>
                <c:ext xmlns:c16="http://schemas.microsoft.com/office/drawing/2014/chart" uri="{C3380CC4-5D6E-409C-BE32-E72D297353CC}">
                  <c16:uniqueId val="{0000000B-6521-4030-BDF2-DCCC5C3F18F6}"/>
                </c:ext>
              </c:extLst>
            </c:dLbl>
            <c:dLbl>
              <c:idx val="6"/>
              <c:delete val="1"/>
              <c:extLst>
                <c:ext xmlns:c15="http://schemas.microsoft.com/office/drawing/2012/chart" uri="{CE6537A1-D6FC-4f65-9D91-7224C49458BB}"/>
                <c:ext xmlns:c16="http://schemas.microsoft.com/office/drawing/2014/chart" uri="{C3380CC4-5D6E-409C-BE32-E72D297353CC}">
                  <c16:uniqueId val="{0000000D-6521-4030-BDF2-DCCC5C3F18F6}"/>
                </c:ext>
              </c:extLst>
            </c:dLbl>
            <c:dLbl>
              <c:idx val="7"/>
              <c:delete val="1"/>
              <c:extLst>
                <c:ext xmlns:c15="http://schemas.microsoft.com/office/drawing/2012/chart" uri="{CE6537A1-D6FC-4f65-9D91-7224C49458BB}"/>
                <c:ext xmlns:c16="http://schemas.microsoft.com/office/drawing/2014/chart" uri="{C3380CC4-5D6E-409C-BE32-E72D297353CC}">
                  <c16:uniqueId val="{0000000F-6521-4030-BDF2-DCCC5C3F18F6}"/>
                </c:ext>
              </c:extLst>
            </c:dLbl>
            <c:dLbl>
              <c:idx val="8"/>
              <c:delete val="1"/>
              <c:extLst>
                <c:ext xmlns:c15="http://schemas.microsoft.com/office/drawing/2012/chart" uri="{CE6537A1-D6FC-4f65-9D91-7224C49458BB}"/>
                <c:ext xmlns:c16="http://schemas.microsoft.com/office/drawing/2014/chart" uri="{C3380CC4-5D6E-409C-BE32-E72D297353CC}">
                  <c16:uniqueId val="{00000011-6521-4030-BDF2-DCCC5C3F18F6}"/>
                </c:ext>
              </c:extLst>
            </c:dLbl>
            <c:dLbl>
              <c:idx val="9"/>
              <c:delete val="1"/>
              <c:extLst>
                <c:ext xmlns:c15="http://schemas.microsoft.com/office/drawing/2012/chart" uri="{CE6537A1-D6FC-4f65-9D91-7224C49458BB}"/>
                <c:ext xmlns:c16="http://schemas.microsoft.com/office/drawing/2014/chart" uri="{C3380CC4-5D6E-409C-BE32-E72D297353CC}">
                  <c16:uniqueId val="{00000013-6521-4030-BDF2-DCCC5C3F18F6}"/>
                </c:ext>
              </c:extLst>
            </c:dLbl>
            <c:dLbl>
              <c:idx val="10"/>
              <c:delete val="1"/>
              <c:extLst>
                <c:ext xmlns:c15="http://schemas.microsoft.com/office/drawing/2012/chart" uri="{CE6537A1-D6FC-4f65-9D91-7224C49458BB}"/>
                <c:ext xmlns:c16="http://schemas.microsoft.com/office/drawing/2014/chart" uri="{C3380CC4-5D6E-409C-BE32-E72D297353CC}">
                  <c16:uniqueId val="{00000015-6521-4030-BDF2-DCCC5C3F18F6}"/>
                </c:ext>
              </c:extLst>
            </c:dLbl>
            <c:dLbl>
              <c:idx val="11"/>
              <c:layout>
                <c:manualLayout>
                  <c:x val="7.7943793172748996E-3"/>
                  <c:y val="-2.665737828347860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7-6521-4030-BDF2-DCCC5C3F18F6}"/>
                </c:ext>
              </c:extLst>
            </c:dLbl>
            <c:dLbl>
              <c:idx val="12"/>
              <c:layout>
                <c:manualLayout>
                  <c:x val="0.12088828993202599"/>
                  <c:y val="-0.191425133520508"/>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6521-4030-BDF2-DCCC5C3F18F6}"/>
                </c:ext>
              </c:extLst>
            </c:dLbl>
            <c:dLbl>
              <c:idx val="13"/>
              <c:delete val="1"/>
              <c:extLst>
                <c:ext xmlns:c15="http://schemas.microsoft.com/office/drawing/2012/chart" uri="{CE6537A1-D6FC-4f65-9D91-7224C49458BB}"/>
                <c:ext xmlns:c16="http://schemas.microsoft.com/office/drawing/2014/chart" uri="{C3380CC4-5D6E-409C-BE32-E72D297353CC}">
                  <c16:uniqueId val="{0000001B-6521-4030-BDF2-DCCC5C3F18F6}"/>
                </c:ext>
              </c:extLst>
            </c:dLbl>
            <c:dLbl>
              <c:idx val="14"/>
              <c:delete val="1"/>
              <c:extLst>
                <c:ext xmlns:c15="http://schemas.microsoft.com/office/drawing/2012/chart" uri="{CE6537A1-D6FC-4f65-9D91-7224C49458BB}"/>
                <c:ext xmlns:c16="http://schemas.microsoft.com/office/drawing/2014/chart" uri="{C3380CC4-5D6E-409C-BE32-E72D297353CC}">
                  <c16:uniqueId val="{0000001D-6521-4030-BDF2-DCCC5C3F18F6}"/>
                </c:ext>
              </c:extLst>
            </c:dLbl>
            <c:spPr>
              <a:noFill/>
              <a:ln>
                <a:noFill/>
              </a:ln>
              <a:effectLst/>
            </c:spPr>
            <c:txPr>
              <a:bodyPr rot="0" spcFirstLastPara="1" vertOverflow="ellipsis" vert="horz" wrap="square" lIns="38100" tIns="19050" rIns="38100" bIns="19050" anchor="ctr" anchorCtr="1">
                <a:spAutoFit/>
              </a:bodyPr>
              <a:lstStyle/>
              <a:p>
                <a:pPr>
                  <a:defRPr lang="zh-CN" sz="12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('material inventory'!$I$3:$I$20,'material inventory'!$I$51)</c:f>
              <c:strCache>
                <c:ptCount val="19"/>
                <c:pt idx="0">
                  <c:v>FTO glass</c:v>
                </c:pt>
                <c:pt idx="1">
                  <c:v>Zinc powder</c:v>
                </c:pt>
                <c:pt idx="2">
                  <c:v>Dilute HCl</c:v>
                </c:pt>
                <c:pt idx="3">
                  <c:v>Ethanol</c:v>
                </c:pt>
                <c:pt idx="4">
                  <c:v>Deionized water</c:v>
                </c:pt>
                <c:pt idx="5">
                  <c:v>Acetone</c:v>
                </c:pt>
                <c:pt idx="6">
                  <c:v>BL-TiO₂ ink</c:v>
                </c:pt>
                <c:pt idx="7">
                  <c:v>La-doped BSO NPs</c:v>
                </c:pt>
                <c:pt idx="8">
                  <c:v>PbI₂</c:v>
                </c:pt>
                <c:pt idx="9">
                  <c:v>Dimethylformamide</c:v>
                </c:pt>
                <c:pt idx="10">
                  <c:v>CH₃NH₃I</c:v>
                </c:pt>
                <c:pt idx="11">
                  <c:v>Isopropanol</c:v>
                </c:pt>
                <c:pt idx="12">
                  <c:v>Toluene</c:v>
                </c:pt>
                <c:pt idx="13">
                  <c:v>PTAA solution</c:v>
                </c:pt>
                <c:pt idx="14">
                  <c:v>Cu</c:v>
                </c:pt>
                <c:pt idx="15">
                  <c:v>Ar</c:v>
                </c:pt>
                <c:pt idx="16">
                  <c:v>O₂</c:v>
                </c:pt>
                <c:pt idx="17">
                  <c:v>Direct emissions</c:v>
                </c:pt>
                <c:pt idx="18">
                  <c:v>Treatment</c:v>
                </c:pt>
              </c:strCache>
            </c:strRef>
          </c:cat>
          <c:val>
            <c:numRef>
              <c:f>('material inventory'!$J$3:$J$20,'material inventory'!$J$51)</c:f>
              <c:numCache>
                <c:formatCode>0.000E+00</c:formatCode>
                <c:ptCount val="19"/>
                <c:pt idx="0">
                  <c:v>3.4780676817599994</c:v>
                </c:pt>
                <c:pt idx="1">
                  <c:v>3.6278153E-4</c:v>
                </c:pt>
                <c:pt idx="2">
                  <c:v>3.2090210384615382E-4</c:v>
                </c:pt>
                <c:pt idx="3">
                  <c:v>7.2135383999999997E-2</c:v>
                </c:pt>
                <c:pt idx="4">
                  <c:v>1.13833164E-4</c:v>
                </c:pt>
                <c:pt idx="5">
                  <c:v>0.34079009999999993</c:v>
                </c:pt>
                <c:pt idx="6">
                  <c:v>2.655962414144445E-2</c:v>
                </c:pt>
                <c:pt idx="7">
                  <c:v>1.4886340397970569E-2</c:v>
                </c:pt>
                <c:pt idx="8">
                  <c:v>5.2781509508930801E-3</c:v>
                </c:pt>
                <c:pt idx="9">
                  <c:v>6.7902299613866682E-3</c:v>
                </c:pt>
                <c:pt idx="10">
                  <c:v>6.4442149153297573E-2</c:v>
                </c:pt>
                <c:pt idx="11">
                  <c:v>5.7089582270140764E-2</c:v>
                </c:pt>
                <c:pt idx="12">
                  <c:v>1.3551209999999999E-3</c:v>
                </c:pt>
                <c:pt idx="13">
                  <c:v>0.194226136277663</c:v>
                </c:pt>
                <c:pt idx="14">
                  <c:v>7.2295014400000001E-3</c:v>
                </c:pt>
                <c:pt idx="15">
                  <c:v>0.29058656969696967</c:v>
                </c:pt>
                <c:pt idx="16">
                  <c:v>1.2806957575757575E-4</c:v>
                </c:pt>
                <c:pt idx="17">
                  <c:v>0</c:v>
                </c:pt>
                <c:pt idx="18">
                  <c:v>6.5339114634350754E-4</c:v>
                </c:pt>
              </c:numCache>
            </c:numRef>
          </c:val>
          <c:extLst>
            <c:ext xmlns:c16="http://schemas.microsoft.com/office/drawing/2014/chart" uri="{C3380CC4-5D6E-409C-BE32-E72D297353CC}">
              <c16:uniqueId val="{0000001E-6521-4030-BDF2-DCCC5C3F18F6}"/>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6429164267798"/>
          <c:y val="0.134671141978566"/>
          <c:w val="0.26790737935511799"/>
          <c:h val="0.81993399618613405"/>
        </c:manualLayout>
      </c:layout>
      <c:overlay val="0"/>
      <c:spPr>
        <a:solidFill>
          <a:schemeClr val="bg1">
            <a:alpha val="39000"/>
          </a:schemeClr>
        </a:solidFill>
        <a:ln>
          <a:noFill/>
        </a:ln>
        <a:effectLst/>
      </c:spPr>
      <c:txPr>
        <a:bodyPr rot="0" spcFirstLastPara="1" vertOverflow="ellipsis" vert="horz" wrap="square" anchor="ctr" anchorCtr="1"/>
        <a:lstStyle/>
        <a:p>
          <a:pPr>
            <a:defRPr lang="zh-CN"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lang="zh-CN"/>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8FB-4FAF-A940-887B5EE4E27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8FB-4FAF-A940-887B5EE4E27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8FB-4FAF-A940-887B5EE4E27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8FB-4FAF-A940-887B5EE4E27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8FB-4FAF-A940-887B5EE4E27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8FB-4FAF-A940-887B5EE4E27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8FB-4FAF-A940-887B5EE4E27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8FB-4FAF-A940-887B5EE4E27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8FB-4FAF-A940-887B5EE4E27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8FB-4FAF-A940-887B5EE4E276}"/>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8FB-4FAF-A940-887B5EE4E276}"/>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E8FB-4FAF-A940-887B5EE4E276}"/>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E8FB-4FAF-A940-887B5EE4E276}"/>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E8FB-4FAF-A940-887B5EE4E276}"/>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C874-412B-9978-76B61C99F557}"/>
              </c:ext>
            </c:extLst>
          </c:dPt>
          <c:cat>
            <c:strRef>
              <c:f>'material inventory'!$I$3:$I$17</c:f>
              <c:strCache>
                <c:ptCount val="15"/>
                <c:pt idx="0">
                  <c:v>FTO glass</c:v>
                </c:pt>
                <c:pt idx="1">
                  <c:v>Zinc powder</c:v>
                </c:pt>
                <c:pt idx="2">
                  <c:v>Dilute HCl</c:v>
                </c:pt>
                <c:pt idx="3">
                  <c:v>Ethanol</c:v>
                </c:pt>
                <c:pt idx="4">
                  <c:v>Deionized water</c:v>
                </c:pt>
                <c:pt idx="5">
                  <c:v>Acetone</c:v>
                </c:pt>
                <c:pt idx="6">
                  <c:v>BL-TiO₂ ink</c:v>
                </c:pt>
                <c:pt idx="7">
                  <c:v>La-doped BSO NPs</c:v>
                </c:pt>
                <c:pt idx="8">
                  <c:v>PbI₂</c:v>
                </c:pt>
                <c:pt idx="9">
                  <c:v>Dimethylformamide</c:v>
                </c:pt>
                <c:pt idx="10">
                  <c:v>CH₃NH₃I</c:v>
                </c:pt>
                <c:pt idx="11">
                  <c:v>Isopropanol</c:v>
                </c:pt>
                <c:pt idx="12">
                  <c:v>Toluene</c:v>
                </c:pt>
                <c:pt idx="13">
                  <c:v>PTAA solution</c:v>
                </c:pt>
                <c:pt idx="14">
                  <c:v>Cu</c:v>
                </c:pt>
              </c:strCache>
            </c:strRef>
          </c:cat>
          <c:val>
            <c:numRef>
              <c:f>'material inventory'!$K$3:$K$17</c:f>
              <c:numCache>
                <c:formatCode>0.000E+00</c:formatCode>
                <c:ptCount val="15"/>
                <c:pt idx="0">
                  <c:v>85.029036949120112</c:v>
                </c:pt>
                <c:pt idx="1">
                  <c:v>4.1800508549599998E-3</c:v>
                </c:pt>
                <c:pt idx="2">
                  <c:v>4.6518874375235586E-3</c:v>
                </c:pt>
                <c:pt idx="3">
                  <c:v>2.1431605553400002</c:v>
                </c:pt>
                <c:pt idx="4">
                  <c:v>1.5662186060912001E-3</c:v>
                </c:pt>
                <c:pt idx="5">
                  <c:v>9.9018946488503996</c:v>
                </c:pt>
                <c:pt idx="6">
                  <c:v>0.71984448963916647</c:v>
                </c:pt>
                <c:pt idx="7">
                  <c:v>0.23984137863979263</c:v>
                </c:pt>
                <c:pt idx="8">
                  <c:v>6.2763408474757407E-2</c:v>
                </c:pt>
                <c:pt idx="9">
                  <c:v>0.1846893663970838</c:v>
                </c:pt>
                <c:pt idx="10">
                  <c:v>1.3688443144771683</c:v>
                </c:pt>
                <c:pt idx="11">
                  <c:v>1.8870770104736083</c:v>
                </c:pt>
                <c:pt idx="12">
                  <c:v>5.4955341728023827E-2</c:v>
                </c:pt>
                <c:pt idx="13">
                  <c:v>3.2878661442403283</c:v>
                </c:pt>
                <c:pt idx="14">
                  <c:v>0.103960138283008</c:v>
                </c:pt>
              </c:numCache>
            </c:numRef>
          </c:val>
          <c:extLst>
            <c:ext xmlns:c16="http://schemas.microsoft.com/office/drawing/2014/chart" uri="{C3380CC4-5D6E-409C-BE32-E72D297353CC}">
              <c16:uniqueId val="{00000000-44AF-4A03-A78C-2ACEE10E7F32}"/>
            </c:ext>
          </c:extLst>
        </c:ser>
        <c:dLbls>
          <c:showLegendKey val="0"/>
          <c:showVal val="0"/>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lang="zh-CN" sz="1800" b="1" i="0" u="none" strike="noStrike" kern="120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9.0695438367135298E-2"/>
          <c:y val="0.18226966310062301"/>
          <c:w val="0.45303164285553499"/>
          <c:h val="0.70020247469066399"/>
        </c:manualLayout>
      </c:layout>
      <c:pieChart>
        <c:varyColors val="1"/>
        <c:ser>
          <c:idx val="0"/>
          <c:order val="0"/>
          <c:tx>
            <c:strRef>
              <c:f>'energy consumption'!$O$5</c:f>
              <c:strCache>
                <c:ptCount val="1"/>
                <c:pt idx="0">
                  <c:v>Primary energy consumption</c:v>
                </c:pt>
              </c:strCache>
            </c:strRef>
          </c:tx>
          <c:dPt>
            <c:idx val="0"/>
            <c:bubble3D val="0"/>
            <c:spPr>
              <a:solidFill>
                <a:srgbClr val="FCCDE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AAD-4408-A693-B638211EEAFC}"/>
              </c:ext>
            </c:extLst>
          </c:dPt>
          <c:dPt>
            <c:idx val="1"/>
            <c:bubble3D val="0"/>
            <c:spPr>
              <a:solidFill>
                <a:srgbClr val="FFFFB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AAD-4408-A693-B638211EEAFC}"/>
              </c:ext>
            </c:extLst>
          </c:dPt>
          <c:dPt>
            <c:idx val="2"/>
            <c:bubble3D val="0"/>
            <c:spPr>
              <a:solidFill>
                <a:srgbClr val="B3DE69"/>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AAD-4408-A693-B638211EEAFC}"/>
              </c:ext>
            </c:extLst>
          </c:dPt>
          <c:dPt>
            <c:idx val="3"/>
            <c:bubble3D val="0"/>
            <c:spPr>
              <a:solidFill>
                <a:srgbClr val="80B1D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AAD-4408-A693-B638211EEAFC}"/>
              </c:ext>
            </c:extLst>
          </c:dPt>
          <c:dPt>
            <c:idx val="4"/>
            <c:bubble3D val="0"/>
            <c:spPr>
              <a:solidFill>
                <a:srgbClr val="D9D9D9"/>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6AAD-4408-A693-B638211EEAFC}"/>
              </c:ext>
            </c:extLst>
          </c:dPt>
          <c:dPt>
            <c:idx val="5"/>
            <c:bubble3D val="0"/>
            <c:spPr>
              <a:solidFill>
                <a:srgbClr val="FDB46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6AAD-4408-A693-B638211EEAFC}"/>
              </c:ext>
            </c:extLst>
          </c:dPt>
          <c:dPt>
            <c:idx val="6"/>
            <c:bubble3D val="0"/>
            <c:spPr>
              <a:solidFill>
                <a:srgbClr val="8DD3C7"/>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6AAD-4408-A693-B638211EEAFC}"/>
              </c:ext>
            </c:extLst>
          </c:dPt>
          <c:dPt>
            <c:idx val="7"/>
            <c:bubble3D val="0"/>
            <c:spPr>
              <a:solidFill>
                <a:srgbClr val="BEBADA"/>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6AAD-4408-A693-B638211EEAFC}"/>
              </c:ext>
            </c:extLst>
          </c:dPt>
          <c:dPt>
            <c:idx val="8"/>
            <c:bubble3D val="0"/>
            <c:spPr>
              <a:solidFill>
                <a:srgbClr val="FB807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6AAD-4408-A693-B638211EEAFC}"/>
              </c:ext>
            </c:extLst>
          </c:dPt>
          <c:dLbls>
            <c:dLbl>
              <c:idx val="0"/>
              <c:layout>
                <c:manualLayout>
                  <c:x val="-2.79593340549933E-2"/>
                  <c:y val="0.10285810018428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AAD-4408-A693-B638211EEAFC}"/>
                </c:ext>
              </c:extLst>
            </c:dLbl>
            <c:dLbl>
              <c:idx val="1"/>
              <c:delete val="1"/>
              <c:extLst>
                <c:ext xmlns:c15="http://schemas.microsoft.com/office/drawing/2012/chart" uri="{CE6537A1-D6FC-4f65-9D91-7224C49458BB}"/>
                <c:ext xmlns:c16="http://schemas.microsoft.com/office/drawing/2014/chart" uri="{C3380CC4-5D6E-409C-BE32-E72D297353CC}">
                  <c16:uniqueId val="{00000003-6AAD-4408-A693-B638211EEAFC}"/>
                </c:ext>
              </c:extLst>
            </c:dLbl>
            <c:dLbl>
              <c:idx val="2"/>
              <c:layout>
                <c:manualLayout>
                  <c:x val="-4.2682270928878802E-2"/>
                  <c:y val="7.093251641417160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AAD-4408-A693-B638211EEAFC}"/>
                </c:ext>
              </c:extLst>
            </c:dLbl>
            <c:dLbl>
              <c:idx val="4"/>
              <c:delete val="1"/>
              <c:extLst>
                <c:ext xmlns:c15="http://schemas.microsoft.com/office/drawing/2012/chart" uri="{CE6537A1-D6FC-4f65-9D91-7224C49458BB}"/>
                <c:ext xmlns:c16="http://schemas.microsoft.com/office/drawing/2014/chart" uri="{C3380CC4-5D6E-409C-BE32-E72D297353CC}">
                  <c16:uniqueId val="{00000009-6AAD-4408-A693-B638211EEAFC}"/>
                </c:ext>
              </c:extLst>
            </c:dLbl>
            <c:dLbl>
              <c:idx val="5"/>
              <c:layout>
                <c:manualLayout>
                  <c:x val="2.2269135998597402E-2"/>
                  <c:y val="-7.214098237720280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6AAD-4408-A693-B638211EEAFC}"/>
                </c:ext>
              </c:extLst>
            </c:dLbl>
            <c:dLbl>
              <c:idx val="6"/>
              <c:layout>
                <c:manualLayout>
                  <c:x val="-1.29525511440875E-2"/>
                  <c:y val="-2.5092182626107899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6AAD-4408-A693-B638211EEAFC}"/>
                </c:ext>
              </c:extLst>
            </c:dLbl>
            <c:dLbl>
              <c:idx val="7"/>
              <c:layout>
                <c:manualLayout>
                  <c:x val="3.6122807544635101E-2"/>
                  <c:y val="-6.5476709028392699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F-6AAD-4408-A693-B638211EEAFC}"/>
                </c:ext>
              </c:extLst>
            </c:dLbl>
            <c:spPr>
              <a:noFill/>
              <a:ln>
                <a:noFill/>
              </a:ln>
              <a:effectLst/>
            </c:spPr>
            <c:txPr>
              <a:bodyPr rot="0" spcFirstLastPara="1" vertOverflow="ellipsis" vert="horz" wrap="square" lIns="38100" tIns="19050" rIns="38100" bIns="19050" anchor="ctr" anchorCtr="1">
                <a:spAutoFit/>
              </a:bodyPr>
              <a:lstStyle/>
              <a:p>
                <a:pPr>
                  <a:defRPr lang="zh-CN" sz="1200" b="1" i="0" u="none" strike="noStrike" kern="1200" baseline="0">
                    <a:solidFill>
                      <a:sysClr val="windowText" lastClr="000000"/>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'energy consumption'!$M$6:$M$14</c:f>
              <c:strCache>
                <c:ptCount val="9"/>
                <c:pt idx="0">
                  <c:v>Sonication</c:v>
                </c:pt>
                <c:pt idx="1">
                  <c:v>Spray pyrolysis</c:v>
                </c:pt>
                <c:pt idx="2">
                  <c:v>ETL spin coating</c:v>
                </c:pt>
                <c:pt idx="3">
                  <c:v>ETL calcining</c:v>
                </c:pt>
                <c:pt idx="4">
                  <c:v>PL 1st-step spin coating</c:v>
                </c:pt>
                <c:pt idx="5">
                  <c:v>PL 2nd-step spin coating</c:v>
                </c:pt>
                <c:pt idx="6">
                  <c:v>PL Drying</c:v>
                </c:pt>
                <c:pt idx="7">
                  <c:v>HTL spin coating</c:v>
                </c:pt>
                <c:pt idx="8">
                  <c:v>Electrode sputtering</c:v>
                </c:pt>
              </c:strCache>
            </c:strRef>
          </c:cat>
          <c:val>
            <c:numRef>
              <c:f>'energy consumption'!$O$6:$O$14</c:f>
              <c:numCache>
                <c:formatCode>0.000E+00</c:formatCode>
                <c:ptCount val="9"/>
                <c:pt idx="0">
                  <c:v>49.96641093677313</c:v>
                </c:pt>
                <c:pt idx="1">
                  <c:v>8.3587042154200306E-3</c:v>
                </c:pt>
                <c:pt idx="2">
                  <c:v>40.181030197394769</c:v>
                </c:pt>
                <c:pt idx="3">
                  <c:v>899.39539686191631</c:v>
                </c:pt>
                <c:pt idx="4">
                  <c:v>1.4881863036072136</c:v>
                </c:pt>
                <c:pt idx="5">
                  <c:v>74.409315180360679</c:v>
                </c:pt>
                <c:pt idx="6">
                  <c:v>29.979846562063884</c:v>
                </c:pt>
                <c:pt idx="7">
                  <c:v>40.181030197394769</c:v>
                </c:pt>
                <c:pt idx="8">
                  <c:v>97.156910154836652</c:v>
                </c:pt>
              </c:numCache>
            </c:numRef>
          </c:val>
          <c:extLst>
            <c:ext xmlns:c16="http://schemas.microsoft.com/office/drawing/2014/chart" uri="{C3380CC4-5D6E-409C-BE32-E72D297353CC}">
              <c16:uniqueId val="{00000012-6AAD-4408-A693-B638211EEAFC}"/>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bg1">
            <a:alpha val="39000"/>
          </a:schemeClr>
        </a:solidFill>
        <a:ln>
          <a:noFill/>
        </a:ln>
        <a:effectLst/>
      </c:spPr>
      <c:txPr>
        <a:bodyPr rot="0" spcFirstLastPara="1" vertOverflow="ellipsis" vert="horz" wrap="square" anchor="ctr" anchorCtr="1"/>
        <a:lstStyle/>
        <a:p>
          <a:pPr>
            <a:defRPr lang="zh-CN"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lang="zh-CN"/>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lang="zh-CN" sz="1800" b="1" i="0" u="none" strike="noStrike" kern="120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25599664206553"/>
          <c:y val="0.16299710242641699"/>
          <c:w val="0.46039815214889901"/>
          <c:h val="0.71875621051955696"/>
        </c:manualLayout>
      </c:layout>
      <c:pieChart>
        <c:varyColors val="1"/>
        <c:ser>
          <c:idx val="0"/>
          <c:order val="0"/>
          <c:tx>
            <c:strRef>
              <c:f>'energy consumption'!$N$5</c:f>
              <c:strCache>
                <c:ptCount val="1"/>
                <c:pt idx="0">
                  <c:v>Carbon footprint</c:v>
                </c:pt>
              </c:strCache>
            </c:strRef>
          </c:tx>
          <c:dPt>
            <c:idx val="0"/>
            <c:bubble3D val="0"/>
            <c:spPr>
              <a:solidFill>
                <a:srgbClr val="FCCDE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8E6-44A3-92C5-BE41D3885DF2}"/>
              </c:ext>
            </c:extLst>
          </c:dPt>
          <c:dPt>
            <c:idx val="1"/>
            <c:bubble3D val="0"/>
            <c:spPr>
              <a:solidFill>
                <a:srgbClr val="FFFFB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8E6-44A3-92C5-BE41D3885DF2}"/>
              </c:ext>
            </c:extLst>
          </c:dPt>
          <c:dPt>
            <c:idx val="2"/>
            <c:bubble3D val="0"/>
            <c:spPr>
              <a:solidFill>
                <a:srgbClr val="B3DE69"/>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8E6-44A3-92C5-BE41D3885DF2}"/>
              </c:ext>
            </c:extLst>
          </c:dPt>
          <c:dPt>
            <c:idx val="3"/>
            <c:bubble3D val="0"/>
            <c:spPr>
              <a:solidFill>
                <a:srgbClr val="80B1D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8E6-44A3-92C5-BE41D3885DF2}"/>
              </c:ext>
            </c:extLst>
          </c:dPt>
          <c:dPt>
            <c:idx val="4"/>
            <c:bubble3D val="0"/>
            <c:spPr>
              <a:solidFill>
                <a:srgbClr val="D9D9D9"/>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8E6-44A3-92C5-BE41D3885DF2}"/>
              </c:ext>
            </c:extLst>
          </c:dPt>
          <c:dPt>
            <c:idx val="5"/>
            <c:bubble3D val="0"/>
            <c:spPr>
              <a:solidFill>
                <a:srgbClr val="FDB46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58E6-44A3-92C5-BE41D3885DF2}"/>
              </c:ext>
            </c:extLst>
          </c:dPt>
          <c:dPt>
            <c:idx val="6"/>
            <c:bubble3D val="0"/>
            <c:spPr>
              <a:solidFill>
                <a:srgbClr val="8DD3C7"/>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58E6-44A3-92C5-BE41D3885DF2}"/>
              </c:ext>
            </c:extLst>
          </c:dPt>
          <c:dPt>
            <c:idx val="7"/>
            <c:bubble3D val="0"/>
            <c:spPr>
              <a:solidFill>
                <a:srgbClr val="BEBADA"/>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58E6-44A3-92C5-BE41D3885DF2}"/>
              </c:ext>
            </c:extLst>
          </c:dPt>
          <c:dPt>
            <c:idx val="8"/>
            <c:bubble3D val="0"/>
            <c:spPr>
              <a:solidFill>
                <a:srgbClr val="FB807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58E6-44A3-92C5-BE41D3885DF2}"/>
              </c:ext>
            </c:extLst>
          </c:dPt>
          <c:dLbls>
            <c:dLbl>
              <c:idx val="0"/>
              <c:layout>
                <c:manualLayout>
                  <c:x val="-2.6414530922590902E-2"/>
                  <c:y val="0.112669861221476"/>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8E6-44A3-92C5-BE41D3885DF2}"/>
                </c:ext>
              </c:extLst>
            </c:dLbl>
            <c:dLbl>
              <c:idx val="1"/>
              <c:delete val="1"/>
              <c:extLst>
                <c:ext xmlns:c15="http://schemas.microsoft.com/office/drawing/2012/chart" uri="{CE6537A1-D6FC-4f65-9D91-7224C49458BB}"/>
                <c:ext xmlns:c16="http://schemas.microsoft.com/office/drawing/2014/chart" uri="{C3380CC4-5D6E-409C-BE32-E72D297353CC}">
                  <c16:uniqueId val="{00000003-58E6-44A3-92C5-BE41D3885DF2}"/>
                </c:ext>
              </c:extLst>
            </c:dLbl>
            <c:dLbl>
              <c:idx val="2"/>
              <c:layout>
                <c:manualLayout>
                  <c:x val="-3.9927502507448302E-2"/>
                  <c:y val="6.753898881905820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8E6-44A3-92C5-BE41D3885DF2}"/>
                </c:ext>
              </c:extLst>
            </c:dLbl>
            <c:dLbl>
              <c:idx val="4"/>
              <c:delete val="1"/>
              <c:extLst>
                <c:ext xmlns:c15="http://schemas.microsoft.com/office/drawing/2012/chart" uri="{CE6537A1-D6FC-4f65-9D91-7224C49458BB}"/>
                <c:ext xmlns:c16="http://schemas.microsoft.com/office/drawing/2014/chart" uri="{C3380CC4-5D6E-409C-BE32-E72D297353CC}">
                  <c16:uniqueId val="{00000009-58E6-44A3-92C5-BE41D3885DF2}"/>
                </c:ext>
              </c:extLst>
            </c:dLbl>
            <c:dLbl>
              <c:idx val="5"/>
              <c:layout>
                <c:manualLayout>
                  <c:x val="2.3281278985273299E-2"/>
                  <c:y val="-7.5570324351657905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58E6-44A3-92C5-BE41D3885DF2}"/>
                </c:ext>
              </c:extLst>
            </c:dLbl>
            <c:dLbl>
              <c:idx val="6"/>
              <c:layout>
                <c:manualLayout>
                  <c:x val="-1.09895245620886E-2"/>
                  <c:y val="-2.899949432926390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58E6-44A3-92C5-BE41D3885DF2}"/>
                </c:ext>
              </c:extLst>
            </c:dLbl>
            <c:dLbl>
              <c:idx val="7"/>
              <c:layout>
                <c:manualLayout>
                  <c:x val="3.5841145585116897E-2"/>
                  <c:y val="-6.6258277348358999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F-58E6-44A3-92C5-BE41D3885DF2}"/>
                </c:ext>
              </c:extLst>
            </c:dLbl>
            <c:spPr>
              <a:noFill/>
              <a:ln>
                <a:noFill/>
              </a:ln>
              <a:effectLst/>
            </c:spPr>
            <c:txPr>
              <a:bodyPr rot="0" spcFirstLastPara="1" vertOverflow="ellipsis" vert="horz" wrap="square" lIns="38100" tIns="19050" rIns="38100" bIns="19050" anchor="ctr" anchorCtr="1">
                <a:spAutoFit/>
              </a:bodyPr>
              <a:lstStyle/>
              <a:p>
                <a:pPr>
                  <a:defRPr lang="zh-CN" sz="1200" b="1" i="0" u="none" strike="noStrike" kern="1200" baseline="0">
                    <a:solidFill>
                      <a:sysClr val="windowText" lastClr="000000"/>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'energy consumption'!$M$6:$M$14</c:f>
              <c:strCache>
                <c:ptCount val="9"/>
                <c:pt idx="0">
                  <c:v>Sonication</c:v>
                </c:pt>
                <c:pt idx="1">
                  <c:v>Spray pyrolysis</c:v>
                </c:pt>
                <c:pt idx="2">
                  <c:v>ETL spin coating</c:v>
                </c:pt>
                <c:pt idx="3">
                  <c:v>ETL calcining</c:v>
                </c:pt>
                <c:pt idx="4">
                  <c:v>PL 1st-step spin coating</c:v>
                </c:pt>
                <c:pt idx="5">
                  <c:v>PL 2nd-step spin coating</c:v>
                </c:pt>
                <c:pt idx="6">
                  <c:v>PL Drying</c:v>
                </c:pt>
                <c:pt idx="7">
                  <c:v>HTL spin coating</c:v>
                </c:pt>
                <c:pt idx="8">
                  <c:v>Electrode sputtering</c:v>
                </c:pt>
              </c:strCache>
            </c:strRef>
          </c:cat>
          <c:val>
            <c:numRef>
              <c:f>'energy consumption'!$N$6:$N$14</c:f>
              <c:numCache>
                <c:formatCode>0.000E+00</c:formatCode>
                <c:ptCount val="9"/>
                <c:pt idx="0">
                  <c:v>2.8396800022717437</c:v>
                </c:pt>
                <c:pt idx="1">
                  <c:v>4.7504002709876597E-4</c:v>
                </c:pt>
                <c:pt idx="2">
                  <c:v>2.2835594108730621</c:v>
                </c:pt>
                <c:pt idx="3">
                  <c:v>51.114240040891382</c:v>
                </c:pt>
                <c:pt idx="4">
                  <c:v>8.4576274476780081E-2</c:v>
                </c:pt>
                <c:pt idx="5">
                  <c:v>4.2288137238390036</c:v>
                </c:pt>
                <c:pt idx="6">
                  <c:v>1.7038080013630463</c:v>
                </c:pt>
                <c:pt idx="7">
                  <c:v>2.2835594108730621</c:v>
                </c:pt>
                <c:pt idx="8">
                  <c:v>5.5216000044172793</c:v>
                </c:pt>
              </c:numCache>
            </c:numRef>
          </c:val>
          <c:extLst>
            <c:ext xmlns:c16="http://schemas.microsoft.com/office/drawing/2014/chart" uri="{C3380CC4-5D6E-409C-BE32-E72D297353CC}">
              <c16:uniqueId val="{00000012-58E6-44A3-92C5-BE41D3885DF2}"/>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4880176155827196"/>
          <c:y val="0.210965831105974"/>
          <c:w val="0.33030369276133598"/>
          <c:h val="0.66359315177345901"/>
        </c:manualLayout>
      </c:layout>
      <c:overlay val="0"/>
      <c:spPr>
        <a:solidFill>
          <a:schemeClr val="bg1">
            <a:alpha val="39000"/>
          </a:schemeClr>
        </a:solidFill>
        <a:ln>
          <a:noFill/>
        </a:ln>
        <a:effectLst/>
      </c:spPr>
      <c:txPr>
        <a:bodyPr rot="0" spcFirstLastPara="1" vertOverflow="ellipsis" vert="horz" wrap="square" anchor="ctr" anchorCtr="1"/>
        <a:lstStyle/>
        <a:p>
          <a:pPr>
            <a:defRPr lang="zh-CN"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lang="zh-CN"/>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9CA-43D8-8B8B-E90E9A32762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9CA-43D8-8B8B-E90E9A32762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9CA-43D8-8B8B-E90E9A32762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9CA-43D8-8B8B-E90E9A32762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9CA-43D8-8B8B-E90E9A32762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9CA-43D8-8B8B-E90E9A32762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9CA-43D8-8B8B-E90E9A32762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9CA-43D8-8B8B-E90E9A32762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9CA-43D8-8B8B-E90E9A327625}"/>
              </c:ext>
            </c:extLst>
          </c:dPt>
          <c:cat>
            <c:strRef>
              <c:f>'energy consumption'!$M$6:$M$14</c:f>
              <c:strCache>
                <c:ptCount val="9"/>
                <c:pt idx="0">
                  <c:v>Sonication</c:v>
                </c:pt>
                <c:pt idx="1">
                  <c:v>Spray pyrolysis</c:v>
                </c:pt>
                <c:pt idx="2">
                  <c:v>ETL spin coating</c:v>
                </c:pt>
                <c:pt idx="3">
                  <c:v>ETL calcining</c:v>
                </c:pt>
                <c:pt idx="4">
                  <c:v>PL 1st-step spin coating</c:v>
                </c:pt>
                <c:pt idx="5">
                  <c:v>PL 2nd-step spin coating</c:v>
                </c:pt>
                <c:pt idx="6">
                  <c:v>PL Drying</c:v>
                </c:pt>
                <c:pt idx="7">
                  <c:v>HTL spin coating</c:v>
                </c:pt>
                <c:pt idx="8">
                  <c:v>Electrode sputtering</c:v>
                </c:pt>
              </c:strCache>
            </c:strRef>
          </c:cat>
          <c:val>
            <c:numRef>
              <c:f>'energy consumption'!$O$6:$O$14</c:f>
              <c:numCache>
                <c:formatCode>0.000E+00</c:formatCode>
                <c:ptCount val="9"/>
                <c:pt idx="0">
                  <c:v>49.96641093677313</c:v>
                </c:pt>
                <c:pt idx="1">
                  <c:v>8.3587042154200306E-3</c:v>
                </c:pt>
                <c:pt idx="2">
                  <c:v>40.181030197394769</c:v>
                </c:pt>
                <c:pt idx="3">
                  <c:v>899.39539686191631</c:v>
                </c:pt>
                <c:pt idx="4">
                  <c:v>1.4881863036072136</c:v>
                </c:pt>
                <c:pt idx="5">
                  <c:v>74.409315180360679</c:v>
                </c:pt>
                <c:pt idx="6">
                  <c:v>29.979846562063884</c:v>
                </c:pt>
                <c:pt idx="7">
                  <c:v>40.181030197394769</c:v>
                </c:pt>
                <c:pt idx="8">
                  <c:v>97.156910154836652</c:v>
                </c:pt>
              </c:numCache>
            </c:numRef>
          </c:val>
          <c:extLst>
            <c:ext xmlns:c16="http://schemas.microsoft.com/office/drawing/2014/chart" uri="{C3380CC4-5D6E-409C-BE32-E72D297353CC}">
              <c16:uniqueId val="{00000000-08D5-47EC-B472-F5D20C1835EC}"/>
            </c:ext>
          </c:extLst>
        </c:ser>
        <c:dLbls>
          <c:showLegendKey val="0"/>
          <c:showVal val="0"/>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results!$A$2</c:f>
              <c:strCache>
                <c:ptCount val="1"/>
                <c:pt idx="0">
                  <c:v>FTO glass</c:v>
                </c:pt>
              </c:strCache>
            </c:strRef>
          </c:tx>
          <c:spPr>
            <a:solidFill>
              <a:schemeClr val="accent1"/>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results!$D$2:$X$2</c:f>
              <c:numCache>
                <c:formatCode>General</c:formatCode>
                <c:ptCount val="21"/>
                <c:pt idx="0">
                  <c:v>6.2012667171672007</c:v>
                </c:pt>
                <c:pt idx="1">
                  <c:v>3.5862291309599996</c:v>
                </c:pt>
                <c:pt idx="2">
                  <c:v>0.83657114503199992</c:v>
                </c:pt>
                <c:pt idx="3">
                  <c:v>9.6806916922641872E-2</c:v>
                </c:pt>
                <c:pt idx="4">
                  <c:v>2.0273180159735998E-3</c:v>
                </c:pt>
                <c:pt idx="5">
                  <c:v>124.88415725309692</c:v>
                </c:pt>
                <c:pt idx="6">
                  <c:v>0.21998732374079996</c:v>
                </c:pt>
                <c:pt idx="7">
                  <c:v>88.426822169151336</c:v>
                </c:pt>
                <c:pt idx="8">
                  <c:v>1.0613301240527999E-2</c:v>
                </c:pt>
                <c:pt idx="9">
                  <c:v>37.727846160631195</c:v>
                </c:pt>
                <c:pt idx="10">
                  <c:v>2.6633363931215996E-3</c:v>
                </c:pt>
                <c:pt idx="11">
                  <c:v>2.2588717898879995E-7</c:v>
                </c:pt>
                <c:pt idx="12">
                  <c:v>3.1256384650847999E-2</c:v>
                </c:pt>
                <c:pt idx="13">
                  <c:v>4.8130512783804966E-2</c:v>
                </c:pt>
                <c:pt idx="14">
                  <c:v>6.2621029628639996E-2</c:v>
                </c:pt>
                <c:pt idx="15">
                  <c:v>7.4279348593848408E-3</c:v>
                </c:pt>
                <c:pt idx="16">
                  <c:v>0.14772324234023998</c:v>
                </c:pt>
                <c:pt idx="17">
                  <c:v>7.7349191552639985E-3</c:v>
                </c:pt>
                <c:pt idx="18">
                  <c:v>0.50998414695703564</c:v>
                </c:pt>
                <c:pt idx="19">
                  <c:v>1.0265223189718116</c:v>
                </c:pt>
                <c:pt idx="20">
                  <c:v>1.8519365587967997</c:v>
                </c:pt>
              </c:numCache>
            </c:numRef>
          </c:val>
          <c:extLst>
            <c:ext xmlns:c16="http://schemas.microsoft.com/office/drawing/2014/chart" uri="{C3380CC4-5D6E-409C-BE32-E72D297353CC}">
              <c16:uniqueId val="{00000000-57FD-4661-B4E2-0D599DAD0018}"/>
            </c:ext>
          </c:extLst>
        </c:ser>
        <c:ser>
          <c:idx val="1"/>
          <c:order val="1"/>
          <c:tx>
            <c:strRef>
              <c:f>results!$A$3</c:f>
              <c:strCache>
                <c:ptCount val="1"/>
                <c:pt idx="0">
                  <c:v>Zinc powder</c:v>
                </c:pt>
              </c:strCache>
            </c:strRef>
          </c:tx>
          <c:spPr>
            <a:solidFill>
              <a:schemeClr val="accent2"/>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results!$D$3:$X$3</c:f>
              <c:numCache>
                <c:formatCode>General</c:formatCode>
                <c:ptCount val="21"/>
                <c:pt idx="0">
                  <c:v>1.2207273E-5</c:v>
                </c:pt>
                <c:pt idx="1">
                  <c:v>3.3021881999999999E-4</c:v>
                </c:pt>
                <c:pt idx="2">
                  <c:v>8.5189240000000004E-5</c:v>
                </c:pt>
                <c:pt idx="3">
                  <c:v>1.3711703000000001E-5</c:v>
                </c:pt>
                <c:pt idx="4">
                  <c:v>4.0563995999999999E-7</c:v>
                </c:pt>
                <c:pt idx="5">
                  <c:v>2.8965624999999998E-2</c:v>
                </c:pt>
                <c:pt idx="6">
                  <c:v>1.2262174E-5</c:v>
                </c:pt>
                <c:pt idx="7">
                  <c:v>1.6804697E-2</c:v>
                </c:pt>
                <c:pt idx="8">
                  <c:v>6.1901234E-7</c:v>
                </c:pt>
                <c:pt idx="9">
                  <c:v>1.9441371000000001E-4</c:v>
                </c:pt>
                <c:pt idx="10">
                  <c:v>4.9790216000000001E-8</c:v>
                </c:pt>
                <c:pt idx="11">
                  <c:v>1.4361246000000001E-11</c:v>
                </c:pt>
                <c:pt idx="12">
                  <c:v>1.4094584000000001E-6</c:v>
                </c:pt>
                <c:pt idx="13">
                  <c:v>1.7670279E-6</c:v>
                </c:pt>
                <c:pt idx="14">
                  <c:v>3.7589360000000003E-6</c:v>
                </c:pt>
                <c:pt idx="15">
                  <c:v>4.9284699E-6</c:v>
                </c:pt>
                <c:pt idx="16">
                  <c:v>3.9873811999999997E-6</c:v>
                </c:pt>
                <c:pt idx="17">
                  <c:v>5.1543482999999994E-6</c:v>
                </c:pt>
                <c:pt idx="18">
                  <c:v>2.2775359E-5</c:v>
                </c:pt>
                <c:pt idx="19">
                  <c:v>2.1250252E-4</c:v>
                </c:pt>
                <c:pt idx="20">
                  <c:v>1.9241731000000001E-5</c:v>
                </c:pt>
              </c:numCache>
            </c:numRef>
          </c:val>
          <c:extLst>
            <c:ext xmlns:c16="http://schemas.microsoft.com/office/drawing/2014/chart" uri="{C3380CC4-5D6E-409C-BE32-E72D297353CC}">
              <c16:uniqueId val="{00000001-57FD-4661-B4E2-0D599DAD0018}"/>
            </c:ext>
          </c:extLst>
        </c:ser>
        <c:ser>
          <c:idx val="2"/>
          <c:order val="2"/>
          <c:tx>
            <c:strRef>
              <c:f>results!$A$4</c:f>
              <c:strCache>
                <c:ptCount val="1"/>
                <c:pt idx="0">
                  <c:v>Dilute HCl</c:v>
                </c:pt>
              </c:strCache>
            </c:strRef>
          </c:tx>
          <c:spPr>
            <a:solidFill>
              <a:schemeClr val="accent3"/>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results!$D$4:$X$4</c:f>
              <c:numCache>
                <c:formatCode>General</c:formatCode>
                <c:ptCount val="21"/>
                <c:pt idx="0">
                  <c:v>1.8796361948717947E-5</c:v>
                </c:pt>
                <c:pt idx="1">
                  <c:v>2.9506177723076916E-4</c:v>
                </c:pt>
                <c:pt idx="2">
                  <c:v>8.9540561994871782E-5</c:v>
                </c:pt>
                <c:pt idx="3">
                  <c:v>4.997664904615384E-6</c:v>
                </c:pt>
                <c:pt idx="4">
                  <c:v>1.7851312259487177E-7</c:v>
                </c:pt>
                <c:pt idx="5">
                  <c:v>7.5703001697435893E-3</c:v>
                </c:pt>
                <c:pt idx="6">
                  <c:v>3.2680632887179484E-5</c:v>
                </c:pt>
                <c:pt idx="7">
                  <c:v>5.8025826707692307E-3</c:v>
                </c:pt>
                <c:pt idx="8">
                  <c:v>3.2392895338461535E-7</c:v>
                </c:pt>
                <c:pt idx="9">
                  <c:v>2.2215580871794871E-5</c:v>
                </c:pt>
                <c:pt idx="10">
                  <c:v>4.0731678974358973E-8</c:v>
                </c:pt>
                <c:pt idx="11">
                  <c:v>1.3746754811282051E-10</c:v>
                </c:pt>
                <c:pt idx="12">
                  <c:v>1.0496815251282049E-6</c:v>
                </c:pt>
                <c:pt idx="13">
                  <c:v>8.8064505738461527E-7</c:v>
                </c:pt>
                <c:pt idx="14">
                  <c:v>1.6810412334871791E-6</c:v>
                </c:pt>
                <c:pt idx="15">
                  <c:v>4.0647599820512815E-7</c:v>
                </c:pt>
                <c:pt idx="16">
                  <c:v>2.9919099789743586E-6</c:v>
                </c:pt>
                <c:pt idx="17">
                  <c:v>1.1360962110256409E-6</c:v>
                </c:pt>
                <c:pt idx="18">
                  <c:v>1.4226753358461537E-5</c:v>
                </c:pt>
                <c:pt idx="19">
                  <c:v>6.4427052953846154E-5</c:v>
                </c:pt>
                <c:pt idx="20">
                  <c:v>1.1767157844615382E-5</c:v>
                </c:pt>
              </c:numCache>
            </c:numRef>
          </c:val>
          <c:extLst>
            <c:ext xmlns:c16="http://schemas.microsoft.com/office/drawing/2014/chart" uri="{C3380CC4-5D6E-409C-BE32-E72D297353CC}">
              <c16:uniqueId val="{00000002-57FD-4661-B4E2-0D599DAD0018}"/>
            </c:ext>
          </c:extLst>
        </c:ser>
        <c:ser>
          <c:idx val="3"/>
          <c:order val="3"/>
          <c:tx>
            <c:strRef>
              <c:f>results!$A$5</c:f>
              <c:strCache>
                <c:ptCount val="1"/>
                <c:pt idx="0">
                  <c:v>Ethanol</c:v>
                </c:pt>
              </c:strCache>
            </c:strRef>
          </c:tx>
          <c:spPr>
            <a:solidFill>
              <a:schemeClr val="accent4"/>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results!$D$5:$X$5</c:f>
              <c:numCache>
                <c:formatCode>General</c:formatCode>
                <c:ptCount val="21"/>
                <c:pt idx="0">
                  <c:v>5.7487716000000001E-2</c:v>
                </c:pt>
                <c:pt idx="1">
                  <c:v>6.2811798000000002E-2</c:v>
                </c:pt>
                <c:pt idx="2">
                  <c:v>1.7668427400000002E-2</c:v>
                </c:pt>
                <c:pt idx="3">
                  <c:v>1.7588540399999999E-3</c:v>
                </c:pt>
                <c:pt idx="4">
                  <c:v>2.9260804200000004E-5</c:v>
                </c:pt>
                <c:pt idx="5">
                  <c:v>0.86164572000000006</c:v>
                </c:pt>
                <c:pt idx="6">
                  <c:v>4.4866600800000005E-3</c:v>
                </c:pt>
                <c:pt idx="7">
                  <c:v>0.69228528</c:v>
                </c:pt>
                <c:pt idx="8">
                  <c:v>3.2167144799999999E-4</c:v>
                </c:pt>
                <c:pt idx="9">
                  <c:v>2.8069714800000004E-3</c:v>
                </c:pt>
                <c:pt idx="10">
                  <c:v>5.4158232E-5</c:v>
                </c:pt>
                <c:pt idx="11">
                  <c:v>4.5857715000000005E-9</c:v>
                </c:pt>
                <c:pt idx="12">
                  <c:v>2.0186671800000004E-4</c:v>
                </c:pt>
                <c:pt idx="13">
                  <c:v>2.1187578599999999E-4</c:v>
                </c:pt>
                <c:pt idx="14">
                  <c:v>6.630621E-4</c:v>
                </c:pt>
                <c:pt idx="15">
                  <c:v>4.2334956000000004E-4</c:v>
                </c:pt>
                <c:pt idx="16">
                  <c:v>3.08100966E-3</c:v>
                </c:pt>
                <c:pt idx="17">
                  <c:v>1.9259982600000003E-2</c:v>
                </c:pt>
                <c:pt idx="18">
                  <c:v>1.7598333000000001E-2</c:v>
                </c:pt>
                <c:pt idx="19">
                  <c:v>8.4973997999999995E-3</c:v>
                </c:pt>
                <c:pt idx="20">
                  <c:v>2.24879328E-3</c:v>
                </c:pt>
              </c:numCache>
            </c:numRef>
          </c:val>
          <c:extLst>
            <c:ext xmlns:c16="http://schemas.microsoft.com/office/drawing/2014/chart" uri="{C3380CC4-5D6E-409C-BE32-E72D297353CC}">
              <c16:uniqueId val="{00000003-57FD-4661-B4E2-0D599DAD0018}"/>
            </c:ext>
          </c:extLst>
        </c:ser>
        <c:ser>
          <c:idx val="4"/>
          <c:order val="4"/>
          <c:tx>
            <c:strRef>
              <c:f>results!$A$6</c:f>
              <c:strCache>
                <c:ptCount val="1"/>
                <c:pt idx="0">
                  <c:v>Deionized water</c:v>
                </c:pt>
              </c:strCache>
            </c:strRef>
          </c:tx>
          <c:spPr>
            <a:solidFill>
              <a:schemeClr val="accent5"/>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results!$D$6:$X$6</c:f>
              <c:numCache>
                <c:formatCode>General</c:formatCode>
                <c:ptCount val="21"/>
                <c:pt idx="0">
                  <c:v>5.2403623200000004E-6</c:v>
                </c:pt>
                <c:pt idx="1">
                  <c:v>1.0470796000000001E-4</c:v>
                </c:pt>
                <c:pt idx="2">
                  <c:v>3.01183988E-5</c:v>
                </c:pt>
                <c:pt idx="3">
                  <c:v>1.5695742800000001E-6</c:v>
                </c:pt>
                <c:pt idx="4">
                  <c:v>5.5623246000000007E-8</c:v>
                </c:pt>
                <c:pt idx="5">
                  <c:v>2.08122584E-3</c:v>
                </c:pt>
                <c:pt idx="6">
                  <c:v>1.1359148000000001E-5</c:v>
                </c:pt>
                <c:pt idx="7">
                  <c:v>1.78735116E-3</c:v>
                </c:pt>
                <c:pt idx="8">
                  <c:v>1.1213484400000001E-7</c:v>
                </c:pt>
                <c:pt idx="9">
                  <c:v>7.4830592000000006E-6</c:v>
                </c:pt>
                <c:pt idx="10">
                  <c:v>1.44442116E-8</c:v>
                </c:pt>
                <c:pt idx="11">
                  <c:v>4.7707768400000007E-11</c:v>
                </c:pt>
                <c:pt idx="12">
                  <c:v>3.7251996000000002E-7</c:v>
                </c:pt>
                <c:pt idx="13">
                  <c:v>3.2035540800000001E-7</c:v>
                </c:pt>
                <c:pt idx="14">
                  <c:v>5.7643593600000002E-7</c:v>
                </c:pt>
                <c:pt idx="15">
                  <c:v>9.3087532000000003E-8</c:v>
                </c:pt>
                <c:pt idx="16">
                  <c:v>9.9691384000000016E-7</c:v>
                </c:pt>
                <c:pt idx="17">
                  <c:v>8.5549604000000003E-5</c:v>
                </c:pt>
                <c:pt idx="18">
                  <c:v>4.9059892400000001E-6</c:v>
                </c:pt>
                <c:pt idx="19">
                  <c:v>1.8738348400000001E-5</c:v>
                </c:pt>
                <c:pt idx="20">
                  <c:v>3.9587839200000002E-6</c:v>
                </c:pt>
              </c:numCache>
            </c:numRef>
          </c:val>
          <c:extLst>
            <c:ext xmlns:c16="http://schemas.microsoft.com/office/drawing/2014/chart" uri="{C3380CC4-5D6E-409C-BE32-E72D297353CC}">
              <c16:uniqueId val="{00000004-57FD-4661-B4E2-0D599DAD0018}"/>
            </c:ext>
          </c:extLst>
        </c:ser>
        <c:ser>
          <c:idx val="5"/>
          <c:order val="5"/>
          <c:tx>
            <c:strRef>
              <c:f>results!$A$7</c:f>
              <c:strCache>
                <c:ptCount val="1"/>
                <c:pt idx="0">
                  <c:v>Acetone</c:v>
                </c:pt>
              </c:strCache>
            </c:strRef>
          </c:tx>
          <c:spPr>
            <a:solidFill>
              <a:schemeClr val="accent6"/>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results!$D$7:$X$7</c:f>
              <c:numCache>
                <c:formatCode>General</c:formatCode>
                <c:ptCount val="21"/>
                <c:pt idx="0">
                  <c:v>5.6080499999999999E-5</c:v>
                </c:pt>
                <c:pt idx="1">
                  <c:v>0.28373939999999997</c:v>
                </c:pt>
                <c:pt idx="2">
                  <c:v>0.2269533</c:v>
                </c:pt>
                <c:pt idx="3">
                  <c:v>2.3971289999999996E-3</c:v>
                </c:pt>
                <c:pt idx="4">
                  <c:v>2.2865850000000001E-5</c:v>
                </c:pt>
                <c:pt idx="5">
                  <c:v>0.15627569999999999</c:v>
                </c:pt>
                <c:pt idx="6">
                  <c:v>4.5440640000000003E-5</c:v>
                </c:pt>
                <c:pt idx="7">
                  <c:v>0.30793560000000003</c:v>
                </c:pt>
                <c:pt idx="8">
                  <c:v>2.6558490000000001E-4</c:v>
                </c:pt>
                <c:pt idx="9">
                  <c:v>1.8285329999999999E-4</c:v>
                </c:pt>
                <c:pt idx="10">
                  <c:v>-2.7587490000000001E-8</c:v>
                </c:pt>
                <c:pt idx="11">
                  <c:v>1.4048349E-10</c:v>
                </c:pt>
                <c:pt idx="12">
                  <c:v>4.1117369999999994E-4</c:v>
                </c:pt>
                <c:pt idx="13">
                  <c:v>1.3320110999999999E-3</c:v>
                </c:pt>
                <c:pt idx="14">
                  <c:v>1.494696E-3</c:v>
                </c:pt>
                <c:pt idx="15">
                  <c:v>2.6371799999999997E-5</c:v>
                </c:pt>
                <c:pt idx="16">
                  <c:v>2.4241769999999997E-5</c:v>
                </c:pt>
                <c:pt idx="17">
                  <c:v>2.0306579999999998E-5</c:v>
                </c:pt>
                <c:pt idx="18">
                  <c:v>7.8511229999999998E-3</c:v>
                </c:pt>
                <c:pt idx="19">
                  <c:v>1.2213201E-2</c:v>
                </c:pt>
                <c:pt idx="20">
                  <c:v>2.7224399999999999E-2</c:v>
                </c:pt>
              </c:numCache>
            </c:numRef>
          </c:val>
          <c:extLst>
            <c:ext xmlns:c16="http://schemas.microsoft.com/office/drawing/2014/chart" uri="{C3380CC4-5D6E-409C-BE32-E72D297353CC}">
              <c16:uniqueId val="{00000005-57FD-4661-B4E2-0D599DAD0018}"/>
            </c:ext>
          </c:extLst>
        </c:ser>
        <c:ser>
          <c:idx val="6"/>
          <c:order val="6"/>
          <c:tx>
            <c:strRef>
              <c:f>results!$A$8</c:f>
              <c:strCache>
                <c:ptCount val="1"/>
                <c:pt idx="0">
                  <c:v>BL-TiO₂ ink</c:v>
                </c:pt>
              </c:strCache>
            </c:strRef>
          </c:tx>
          <c:spPr>
            <a:solidFill>
              <a:schemeClr val="accent1">
                <a:lumMod val="6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results!$D$8:$X$8</c:f>
              <c:numCache>
                <c:formatCode>General</c:formatCode>
                <c:ptCount val="21"/>
                <c:pt idx="0">
                  <c:v>1.5087326723561504E-2</c:v>
                </c:pt>
                <c:pt idx="1">
                  <c:v>2.2978453813409835E-2</c:v>
                </c:pt>
                <c:pt idx="2">
                  <c:v>8.2535757885646363E-3</c:v>
                </c:pt>
                <c:pt idx="3">
                  <c:v>5.3350785249293444E-4</c:v>
                </c:pt>
                <c:pt idx="4">
                  <c:v>9.907081116739448E-6</c:v>
                </c:pt>
                <c:pt idx="5">
                  <c:v>0.32406080465819326</c:v>
                </c:pt>
                <c:pt idx="6">
                  <c:v>1.6079762024314831E-3</c:v>
                </c:pt>
                <c:pt idx="7">
                  <c:v>0.26690160093359211</c:v>
                </c:pt>
                <c:pt idx="8">
                  <c:v>8.903825927548644E-5</c:v>
                </c:pt>
                <c:pt idx="9">
                  <c:v>1.0087027638630334E-3</c:v>
                </c:pt>
                <c:pt idx="10">
                  <c:v>1.5621727173906578E-5</c:v>
                </c:pt>
                <c:pt idx="11">
                  <c:v>2.0991657374020233E-9</c:v>
                </c:pt>
                <c:pt idx="12">
                  <c:v>6.6873790244614044E-5</c:v>
                </c:pt>
                <c:pt idx="13">
                  <c:v>8.4699593401596913E-5</c:v>
                </c:pt>
                <c:pt idx="14">
                  <c:v>2.0692829073974689E-4</c:v>
                </c:pt>
                <c:pt idx="15">
                  <c:v>1.131205102678167E-4</c:v>
                </c:pt>
                <c:pt idx="16">
                  <c:v>8.6384672758405608E-4</c:v>
                </c:pt>
                <c:pt idx="17">
                  <c:v>4.9955597251091473E-3</c:v>
                </c:pt>
                <c:pt idx="18">
                  <c:v>4.8094327879705653E-3</c:v>
                </c:pt>
                <c:pt idx="19">
                  <c:v>3.1540820412704102E-3</c:v>
                </c:pt>
                <c:pt idx="20">
                  <c:v>1.0470549874488806E-3</c:v>
                </c:pt>
              </c:numCache>
            </c:numRef>
          </c:val>
          <c:extLst>
            <c:ext xmlns:c16="http://schemas.microsoft.com/office/drawing/2014/chart" uri="{C3380CC4-5D6E-409C-BE32-E72D297353CC}">
              <c16:uniqueId val="{00000006-57FD-4661-B4E2-0D599DAD0018}"/>
            </c:ext>
          </c:extLst>
        </c:ser>
        <c:ser>
          <c:idx val="7"/>
          <c:order val="7"/>
          <c:tx>
            <c:strRef>
              <c:f>results!$A$9</c:f>
              <c:strCache>
                <c:ptCount val="1"/>
                <c:pt idx="0">
                  <c:v>La-doped BSO NPs</c:v>
                </c:pt>
              </c:strCache>
            </c:strRef>
          </c:tx>
          <c:spPr>
            <a:solidFill>
              <a:schemeClr val="accent2">
                <a:lumMod val="6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results!$D$9:$X$9</c:f>
              <c:numCache>
                <c:formatCode>General</c:formatCode>
                <c:ptCount val="21"/>
                <c:pt idx="0">
                  <c:v>3.0339759519275753E-3</c:v>
                </c:pt>
                <c:pt idx="1">
                  <c:v>1.3367159318557116E-2</c:v>
                </c:pt>
                <c:pt idx="2">
                  <c:v>4.4107577414760641E-3</c:v>
                </c:pt>
                <c:pt idx="3">
                  <c:v>3.2086280125572842E-4</c:v>
                </c:pt>
                <c:pt idx="4">
                  <c:v>8.1173843526552431E-6</c:v>
                </c:pt>
                <c:pt idx="5">
                  <c:v>0.36391619426684052</c:v>
                </c:pt>
                <c:pt idx="6">
                  <c:v>1.2454967225994514E-3</c:v>
                </c:pt>
                <c:pt idx="7">
                  <c:v>0.29248095742532831</c:v>
                </c:pt>
                <c:pt idx="8">
                  <c:v>3.0570218374266905E-5</c:v>
                </c:pt>
                <c:pt idx="9">
                  <c:v>0.5652679052686449</c:v>
                </c:pt>
                <c:pt idx="10">
                  <c:v>3.3653806879464561E-5</c:v>
                </c:pt>
                <c:pt idx="11">
                  <c:v>1.4752299848634508E-9</c:v>
                </c:pt>
                <c:pt idx="12">
                  <c:v>1.3949357205079072E-4</c:v>
                </c:pt>
                <c:pt idx="13">
                  <c:v>9.6578424469363178E-5</c:v>
                </c:pt>
                <c:pt idx="14">
                  <c:v>2.1387406562902985E-4</c:v>
                </c:pt>
                <c:pt idx="15">
                  <c:v>1.1858395598215414E-5</c:v>
                </c:pt>
                <c:pt idx="16">
                  <c:v>5.9042221600402766E-4</c:v>
                </c:pt>
                <c:pt idx="17">
                  <c:v>1.5587593302957269E-4</c:v>
                </c:pt>
                <c:pt idx="18">
                  <c:v>3.1823311992706361E-3</c:v>
                </c:pt>
                <c:pt idx="19">
                  <c:v>3.292751722666134E-3</c:v>
                </c:pt>
                <c:pt idx="20">
                  <c:v>2.6773228322618275E-2</c:v>
                </c:pt>
              </c:numCache>
            </c:numRef>
          </c:val>
          <c:extLst>
            <c:ext xmlns:c16="http://schemas.microsoft.com/office/drawing/2014/chart" uri="{C3380CC4-5D6E-409C-BE32-E72D297353CC}">
              <c16:uniqueId val="{00000007-57FD-4661-B4E2-0D599DAD0018}"/>
            </c:ext>
          </c:extLst>
        </c:ser>
        <c:ser>
          <c:idx val="8"/>
          <c:order val="8"/>
          <c:tx>
            <c:strRef>
              <c:f>results!$A$10</c:f>
              <c:strCache>
                <c:ptCount val="1"/>
                <c:pt idx="0">
                  <c:v>PbI₂</c:v>
                </c:pt>
              </c:strCache>
            </c:strRef>
          </c:tx>
          <c:spPr>
            <a:solidFill>
              <a:schemeClr val="accent3">
                <a:lumMod val="6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results!$D$10:$X$10</c:f>
              <c:numCache>
                <c:formatCode>General</c:formatCode>
                <c:ptCount val="21"/>
                <c:pt idx="0">
                  <c:v>1.2106335109794645E-3</c:v>
                </c:pt>
                <c:pt idx="1">
                  <c:v>4.5077126461260083E-3</c:v>
                </c:pt>
                <c:pt idx="2">
                  <c:v>1.1964688239053702E-3</c:v>
                </c:pt>
                <c:pt idx="3">
                  <c:v>8.2411582884732838E-5</c:v>
                </c:pt>
                <c:pt idx="4">
                  <c:v>2.2879926747205936E-6</c:v>
                </c:pt>
                <c:pt idx="5">
                  <c:v>0.18032843421363032</c:v>
                </c:pt>
                <c:pt idx="6">
                  <c:v>2.215749148077011E-4</c:v>
                </c:pt>
                <c:pt idx="7">
                  <c:v>9.0436178450540652E-2</c:v>
                </c:pt>
                <c:pt idx="8">
                  <c:v>5.9654708589068714E-6</c:v>
                </c:pt>
                <c:pt idx="9">
                  <c:v>7.311010493393121E-4</c:v>
                </c:pt>
                <c:pt idx="10">
                  <c:v>7.6684383368077222E-7</c:v>
                </c:pt>
                <c:pt idx="11">
                  <c:v>5.1606939490045714E-10</c:v>
                </c:pt>
                <c:pt idx="12">
                  <c:v>1.2775400933451851E-5</c:v>
                </c:pt>
                <c:pt idx="13">
                  <c:v>1.798193703421002E-5</c:v>
                </c:pt>
                <c:pt idx="14">
                  <c:v>3.6142098918870911E-5</c:v>
                </c:pt>
                <c:pt idx="15">
                  <c:v>6.2177286961417735E-6</c:v>
                </c:pt>
                <c:pt idx="16">
                  <c:v>4.6493413868285282E-5</c:v>
                </c:pt>
                <c:pt idx="17">
                  <c:v>1.3576347175451414E-5</c:v>
                </c:pt>
                <c:pt idx="18">
                  <c:v>2.2109326838835278E-4</c:v>
                </c:pt>
                <c:pt idx="19">
                  <c:v>1.4114758621976476E-3</c:v>
                </c:pt>
                <c:pt idx="20">
                  <c:v>1.7740297149692987E-4</c:v>
                </c:pt>
              </c:numCache>
            </c:numRef>
          </c:val>
          <c:extLst>
            <c:ext xmlns:c16="http://schemas.microsoft.com/office/drawing/2014/chart" uri="{C3380CC4-5D6E-409C-BE32-E72D297353CC}">
              <c16:uniqueId val="{00000008-57FD-4661-B4E2-0D599DAD0018}"/>
            </c:ext>
          </c:extLst>
        </c:ser>
        <c:ser>
          <c:idx val="9"/>
          <c:order val="9"/>
          <c:tx>
            <c:strRef>
              <c:f>results!$A$11</c:f>
              <c:strCache>
                <c:ptCount val="1"/>
                <c:pt idx="0">
                  <c:v>Dimethylformamide</c:v>
                </c:pt>
              </c:strCache>
            </c:strRef>
          </c:tx>
          <c:spPr>
            <a:solidFill>
              <a:schemeClr val="accent4">
                <a:lumMod val="6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results!$D$11:$X$11</c:f>
              <c:numCache>
                <c:formatCode>General</c:formatCode>
                <c:ptCount val="21"/>
                <c:pt idx="0">
                  <c:v>2.7636036593159423E-4</c:v>
                </c:pt>
                <c:pt idx="1">
                  <c:v>6.1461406242133343E-3</c:v>
                </c:pt>
                <c:pt idx="2">
                  <c:v>4.132946133704349E-3</c:v>
                </c:pt>
                <c:pt idx="3">
                  <c:v>8.6482164833947845E-5</c:v>
                </c:pt>
                <c:pt idx="4">
                  <c:v>2.3329846090944932E-6</c:v>
                </c:pt>
                <c:pt idx="5">
                  <c:v>0.14087615012507829</c:v>
                </c:pt>
                <c:pt idx="6">
                  <c:v>6.0830132241808702E-4</c:v>
                </c:pt>
                <c:pt idx="7">
                  <c:v>9.1518117573379729E-2</c:v>
                </c:pt>
                <c:pt idx="8">
                  <c:v>2.9658011962620293E-5</c:v>
                </c:pt>
                <c:pt idx="9">
                  <c:v>3.9575658757194209E-4</c:v>
                </c:pt>
                <c:pt idx="10">
                  <c:v>2.5951057118608701E-6</c:v>
                </c:pt>
                <c:pt idx="11">
                  <c:v>1.2351374190562322E-9</c:v>
                </c:pt>
                <c:pt idx="12">
                  <c:v>1.7129596266703772E-5</c:v>
                </c:pt>
                <c:pt idx="13">
                  <c:v>2.0778170131737975E-5</c:v>
                </c:pt>
                <c:pt idx="14">
                  <c:v>4.3643341601391314E-5</c:v>
                </c:pt>
                <c:pt idx="15">
                  <c:v>4.3643341601391314E-5</c:v>
                </c:pt>
                <c:pt idx="16">
                  <c:v>5.2450325869078271E-5</c:v>
                </c:pt>
                <c:pt idx="17">
                  <c:v>1.8357495393651018E-5</c:v>
                </c:pt>
                <c:pt idx="18">
                  <c:v>2.7346504908800002E-4</c:v>
                </c:pt>
                <c:pt idx="19">
                  <c:v>1.214490487466667E-3</c:v>
                </c:pt>
                <c:pt idx="20">
                  <c:v>5.138950076326958E-4</c:v>
                </c:pt>
              </c:numCache>
            </c:numRef>
          </c:val>
          <c:extLst>
            <c:ext xmlns:c16="http://schemas.microsoft.com/office/drawing/2014/chart" uri="{C3380CC4-5D6E-409C-BE32-E72D297353CC}">
              <c16:uniqueId val="{00000009-57FD-4661-B4E2-0D599DAD0018}"/>
            </c:ext>
          </c:extLst>
        </c:ser>
        <c:ser>
          <c:idx val="10"/>
          <c:order val="10"/>
          <c:tx>
            <c:strRef>
              <c:f>results!$A$12</c:f>
              <c:strCache>
                <c:ptCount val="1"/>
                <c:pt idx="0">
                  <c:v>CH₃NH₃I</c:v>
                </c:pt>
              </c:strCache>
            </c:strRef>
          </c:tx>
          <c:spPr>
            <a:solidFill>
              <a:schemeClr val="accent5">
                <a:lumMod val="6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results!$D$12:$X$12</c:f>
              <c:numCache>
                <c:formatCode>General</c:formatCode>
                <c:ptCount val="21"/>
                <c:pt idx="0">
                  <c:v>6.4370896490620871E-3</c:v>
                </c:pt>
                <c:pt idx="1">
                  <c:v>5.8972107459167561E-2</c:v>
                </c:pt>
                <c:pt idx="2">
                  <c:v>2.7197501932536679E-2</c:v>
                </c:pt>
                <c:pt idx="3">
                  <c:v>2.2230101973150155E-3</c:v>
                </c:pt>
                <c:pt idx="4">
                  <c:v>5.2332392075582598E-5</c:v>
                </c:pt>
                <c:pt idx="5">
                  <c:v>2.6080050960772811</c:v>
                </c:pt>
                <c:pt idx="6">
                  <c:v>6.3046787897588566E-3</c:v>
                </c:pt>
                <c:pt idx="7">
                  <c:v>1.9838558224704119</c:v>
                </c:pt>
                <c:pt idx="8">
                  <c:v>8.3770089149672039E-5</c:v>
                </c:pt>
                <c:pt idx="9">
                  <c:v>4.71104950005009E-3</c:v>
                </c:pt>
                <c:pt idx="10">
                  <c:v>1.2438661225521767E-5</c:v>
                </c:pt>
                <c:pt idx="11">
                  <c:v>2.1321998623698516E-8</c:v>
                </c:pt>
                <c:pt idx="12">
                  <c:v>1.9246950781214077E-4</c:v>
                </c:pt>
                <c:pt idx="13">
                  <c:v>2.5917274906428147E-4</c:v>
                </c:pt>
                <c:pt idx="14">
                  <c:v>4.8842986205958265E-4</c:v>
                </c:pt>
                <c:pt idx="15">
                  <c:v>9.2666426109519411E-5</c:v>
                </c:pt>
                <c:pt idx="16">
                  <c:v>8.9026676118611828E-4</c:v>
                </c:pt>
                <c:pt idx="17">
                  <c:v>1.1563402092158476E-3</c:v>
                </c:pt>
                <c:pt idx="18">
                  <c:v>3.6929946908737035E-3</c:v>
                </c:pt>
                <c:pt idx="19">
                  <c:v>2.0353102715649378E-2</c:v>
                </c:pt>
                <c:pt idx="20">
                  <c:v>3.4798613757080505E-3</c:v>
                </c:pt>
              </c:numCache>
            </c:numRef>
          </c:val>
          <c:extLst>
            <c:ext xmlns:c16="http://schemas.microsoft.com/office/drawing/2014/chart" uri="{C3380CC4-5D6E-409C-BE32-E72D297353CC}">
              <c16:uniqueId val="{0000000A-57FD-4661-B4E2-0D599DAD0018}"/>
            </c:ext>
          </c:extLst>
        </c:ser>
        <c:ser>
          <c:idx val="11"/>
          <c:order val="11"/>
          <c:tx>
            <c:strRef>
              <c:f>results!$A$13</c:f>
              <c:strCache>
                <c:ptCount val="1"/>
                <c:pt idx="0">
                  <c:v>Isopropanol</c:v>
                </c:pt>
              </c:strCache>
            </c:strRef>
          </c:tx>
          <c:spPr>
            <a:solidFill>
              <a:schemeClr val="accent6">
                <a:lumMod val="6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results!$D$13:$X$13</c:f>
              <c:numCache>
                <c:formatCode>General</c:formatCode>
                <c:ptCount val="21"/>
                <c:pt idx="0">
                  <c:v>1.1480755323949286E-3</c:v>
                </c:pt>
                <c:pt idx="1">
                  <c:v>4.9739622907723532E-2</c:v>
                </c:pt>
                <c:pt idx="2">
                  <c:v>4.3189999401018267E-2</c:v>
                </c:pt>
                <c:pt idx="3">
                  <c:v>2.8999669521812915E-4</c:v>
                </c:pt>
                <c:pt idx="4">
                  <c:v>8.215009875212139E-6</c:v>
                </c:pt>
                <c:pt idx="5">
                  <c:v>0.47795056883298392</c:v>
                </c:pt>
                <c:pt idx="6">
                  <c:v>1.1527962634188544E-3</c:v>
                </c:pt>
                <c:pt idx="7">
                  <c:v>0.3558680877175468</c:v>
                </c:pt>
                <c:pt idx="8">
                  <c:v>3.4970925320288842E-5</c:v>
                </c:pt>
                <c:pt idx="9">
                  <c:v>2.0193786690625936E-3</c:v>
                </c:pt>
                <c:pt idx="10">
                  <c:v>4.5984922272137369E-6</c:v>
                </c:pt>
                <c:pt idx="11">
                  <c:v>2.0233490852217895E-9</c:v>
                </c:pt>
                <c:pt idx="12">
                  <c:v>7.5347243978569764E-5</c:v>
                </c:pt>
                <c:pt idx="13">
                  <c:v>2.4587818117200756E-4</c:v>
                </c:pt>
                <c:pt idx="14">
                  <c:v>2.114199710092842E-4</c:v>
                </c:pt>
                <c:pt idx="15">
                  <c:v>1.6384062964959568E-5</c:v>
                </c:pt>
                <c:pt idx="16">
                  <c:v>1.6280269408671926E-4</c:v>
                </c:pt>
                <c:pt idx="17">
                  <c:v>1.3213044767894578E-4</c:v>
                </c:pt>
                <c:pt idx="18">
                  <c:v>1.7153135701307777E-3</c:v>
                </c:pt>
                <c:pt idx="19">
                  <c:v>5.1790483537985429E-3</c:v>
                </c:pt>
                <c:pt idx="20">
                  <c:v>5.2725250806961495E-3</c:v>
                </c:pt>
              </c:numCache>
            </c:numRef>
          </c:val>
          <c:extLst>
            <c:ext xmlns:c16="http://schemas.microsoft.com/office/drawing/2014/chart" uri="{C3380CC4-5D6E-409C-BE32-E72D297353CC}">
              <c16:uniqueId val="{0000000B-57FD-4661-B4E2-0D599DAD0018}"/>
            </c:ext>
          </c:extLst>
        </c:ser>
        <c:ser>
          <c:idx val="12"/>
          <c:order val="12"/>
          <c:tx>
            <c:strRef>
              <c:f>results!$A$14</c:f>
              <c:strCache>
                <c:ptCount val="1"/>
                <c:pt idx="0">
                  <c:v>Toluene</c:v>
                </c:pt>
              </c:strCache>
            </c:strRef>
          </c:tx>
          <c:spPr>
            <a:solidFill>
              <a:schemeClr val="accent1">
                <a:lumMod val="80000"/>
                <a:lumOff val="2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results!$D$14:$X$14</c:f>
              <c:numCache>
                <c:formatCode>General</c:formatCode>
                <c:ptCount val="21"/>
                <c:pt idx="0">
                  <c:v>1.3573752E-7</c:v>
                </c:pt>
                <c:pt idx="1">
                  <c:v>1.1111471999999999E-3</c:v>
                </c:pt>
                <c:pt idx="2">
                  <c:v>1.2774378E-3</c:v>
                </c:pt>
                <c:pt idx="3">
                  <c:v>7.6738169999999995E-7</c:v>
                </c:pt>
                <c:pt idx="4">
                  <c:v>8.9500409999999989E-9</c:v>
                </c:pt>
                <c:pt idx="5">
                  <c:v>4.4592410999999993E-4</c:v>
                </c:pt>
                <c:pt idx="6">
                  <c:v>1.1454803999999999E-7</c:v>
                </c:pt>
                <c:pt idx="7">
                  <c:v>1.1459139E-3</c:v>
                </c:pt>
                <c:pt idx="8">
                  <c:v>7.0486232999999996E-7</c:v>
                </c:pt>
                <c:pt idx="9">
                  <c:v>6.4451045999999997E-7</c:v>
                </c:pt>
                <c:pt idx="10">
                  <c:v>-1.3157592E-10</c:v>
                </c:pt>
                <c:pt idx="11">
                  <c:v>3.6024716999999995E-13</c:v>
                </c:pt>
                <c:pt idx="12">
                  <c:v>1.0251407999999999E-6</c:v>
                </c:pt>
                <c:pt idx="13">
                  <c:v>3.7846283999999994E-6</c:v>
                </c:pt>
                <c:pt idx="14">
                  <c:v>3.2528972999999998E-6</c:v>
                </c:pt>
                <c:pt idx="15">
                  <c:v>1.9635815999999996E-7</c:v>
                </c:pt>
                <c:pt idx="16">
                  <c:v>6.6745994999999989E-8</c:v>
                </c:pt>
                <c:pt idx="17">
                  <c:v>1.8624027000000001E-7</c:v>
                </c:pt>
                <c:pt idx="18">
                  <c:v>3.0666656999999998E-5</c:v>
                </c:pt>
                <c:pt idx="19">
                  <c:v>4.4451089999999998E-5</c:v>
                </c:pt>
                <c:pt idx="20">
                  <c:v>1.5321623999999998E-4</c:v>
                </c:pt>
              </c:numCache>
            </c:numRef>
          </c:val>
          <c:extLst>
            <c:ext xmlns:c16="http://schemas.microsoft.com/office/drawing/2014/chart" uri="{C3380CC4-5D6E-409C-BE32-E72D297353CC}">
              <c16:uniqueId val="{0000000C-57FD-4661-B4E2-0D599DAD0018}"/>
            </c:ext>
          </c:extLst>
        </c:ser>
        <c:ser>
          <c:idx val="13"/>
          <c:order val="13"/>
          <c:tx>
            <c:strRef>
              <c:f>results!$A$15</c:f>
              <c:strCache>
                <c:ptCount val="1"/>
                <c:pt idx="0">
                  <c:v>PTAA solution</c:v>
                </c:pt>
              </c:strCache>
            </c:strRef>
          </c:tx>
          <c:spPr>
            <a:solidFill>
              <a:schemeClr val="accent2">
                <a:lumMod val="80000"/>
                <a:lumOff val="2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results!$D$15:$X$15</c:f>
              <c:numCache>
                <c:formatCode>General</c:formatCode>
                <c:ptCount val="21"/>
                <c:pt idx="0">
                  <c:v>1.0481475625709552E-2</c:v>
                </c:pt>
                <c:pt idx="1">
                  <c:v>0.17395021294165905</c:v>
                </c:pt>
                <c:pt idx="2">
                  <c:v>7.1535587853100824E-2</c:v>
                </c:pt>
                <c:pt idx="3">
                  <c:v>4.9485822638220944E-3</c:v>
                </c:pt>
                <c:pt idx="4">
                  <c:v>1.0211204210343115E-4</c:v>
                </c:pt>
                <c:pt idx="5">
                  <c:v>5.2188762835723228</c:v>
                </c:pt>
                <c:pt idx="6">
                  <c:v>9.433599721817898E-3</c:v>
                </c:pt>
                <c:pt idx="7">
                  <c:v>3.9362015552436818</c:v>
                </c:pt>
                <c:pt idx="8">
                  <c:v>2.071232000780253E-4</c:v>
                </c:pt>
                <c:pt idx="9">
                  <c:v>1.2097229641745273E-2</c:v>
                </c:pt>
                <c:pt idx="10">
                  <c:v>2.7298950104205477E-5</c:v>
                </c:pt>
                <c:pt idx="11">
                  <c:v>2.9587308119673263E-8</c:v>
                </c:pt>
                <c:pt idx="12">
                  <c:v>5.271713214713619E-4</c:v>
                </c:pt>
                <c:pt idx="13">
                  <c:v>6.2193745752386095E-4</c:v>
                </c:pt>
                <c:pt idx="14">
                  <c:v>1.7197764273420425E-3</c:v>
                </c:pt>
                <c:pt idx="15">
                  <c:v>5.1235257566999116E-4</c:v>
                </c:pt>
                <c:pt idx="16">
                  <c:v>1.2156135063403916E-3</c:v>
                </c:pt>
                <c:pt idx="17">
                  <c:v>3.9165855065028809E-4</c:v>
                </c:pt>
                <c:pt idx="18">
                  <c:v>7.3771372811601427E-3</c:v>
                </c:pt>
                <c:pt idx="19">
                  <c:v>4.2955594818262124E-2</c:v>
                </c:pt>
                <c:pt idx="20">
                  <c:v>9.1050545168319414E-3</c:v>
                </c:pt>
              </c:numCache>
            </c:numRef>
          </c:val>
          <c:extLst>
            <c:ext xmlns:c16="http://schemas.microsoft.com/office/drawing/2014/chart" uri="{C3380CC4-5D6E-409C-BE32-E72D297353CC}">
              <c16:uniqueId val="{0000000D-57FD-4661-B4E2-0D599DAD0018}"/>
            </c:ext>
          </c:extLst>
        </c:ser>
        <c:ser>
          <c:idx val="14"/>
          <c:order val="14"/>
          <c:tx>
            <c:strRef>
              <c:f>results!$A$16</c:f>
              <c:strCache>
                <c:ptCount val="1"/>
                <c:pt idx="0">
                  <c:v>Cu</c:v>
                </c:pt>
              </c:strCache>
            </c:strRef>
          </c:tx>
          <c:spPr>
            <a:solidFill>
              <a:schemeClr val="accent3">
                <a:lumMod val="80000"/>
                <a:lumOff val="2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results!$D$16:$X$16</c:f>
              <c:numCache>
                <c:formatCode>General</c:formatCode>
                <c:ptCount val="21"/>
                <c:pt idx="0">
                  <c:v>5.2869734399999999E-4</c:v>
                </c:pt>
                <c:pt idx="1">
                  <c:v>6.5984307199999995E-3</c:v>
                </c:pt>
                <c:pt idx="2">
                  <c:v>1.9158630399999999E-3</c:v>
                </c:pt>
                <c:pt idx="3">
                  <c:v>7.1140966399999995E-3</c:v>
                </c:pt>
                <c:pt idx="4">
                  <c:v>2.0959231999999998E-4</c:v>
                </c:pt>
                <c:pt idx="5">
                  <c:v>17.904230399999999</c:v>
                </c:pt>
                <c:pt idx="6">
                  <c:v>6.6877440000000005E-4</c:v>
                </c:pt>
                <c:pt idx="7">
                  <c:v>9.36155136</c:v>
                </c:pt>
                <c:pt idx="8">
                  <c:v>4.3071078400000001E-5</c:v>
                </c:pt>
                <c:pt idx="9">
                  <c:v>6.8633600000000003E-2</c:v>
                </c:pt>
                <c:pt idx="10">
                  <c:v>2.8534374399999995E-6</c:v>
                </c:pt>
                <c:pt idx="11">
                  <c:v>4.3019468800000001E-10</c:v>
                </c:pt>
                <c:pt idx="12">
                  <c:v>2.0845977599999999E-4</c:v>
                </c:pt>
                <c:pt idx="13">
                  <c:v>1.3396848639999999E-4</c:v>
                </c:pt>
                <c:pt idx="14">
                  <c:v>6.9865062399999999E-4</c:v>
                </c:pt>
                <c:pt idx="15">
                  <c:v>8.8196505599999996E-4</c:v>
                </c:pt>
                <c:pt idx="16">
                  <c:v>6.2549401599999992E-4</c:v>
                </c:pt>
                <c:pt idx="17">
                  <c:v>2.3164108799999999E-4</c:v>
                </c:pt>
                <c:pt idx="18">
                  <c:v>3.3034444799999998E-3</c:v>
                </c:pt>
                <c:pt idx="19">
                  <c:v>0.12301148159999999</c:v>
                </c:pt>
                <c:pt idx="20">
                  <c:v>3.4155519999999997E-3</c:v>
                </c:pt>
              </c:numCache>
            </c:numRef>
          </c:val>
          <c:extLst>
            <c:ext xmlns:c16="http://schemas.microsoft.com/office/drawing/2014/chart" uri="{C3380CC4-5D6E-409C-BE32-E72D297353CC}">
              <c16:uniqueId val="{0000000E-57FD-4661-B4E2-0D599DAD0018}"/>
            </c:ext>
          </c:extLst>
        </c:ser>
        <c:ser>
          <c:idx val="15"/>
          <c:order val="15"/>
          <c:tx>
            <c:strRef>
              <c:f>results!$A$19</c:f>
              <c:strCache>
                <c:ptCount val="1"/>
                <c:pt idx="0">
                  <c:v>Sonication</c:v>
                </c:pt>
              </c:strCache>
            </c:strRef>
          </c:tx>
          <c:spPr>
            <a:solidFill>
              <a:schemeClr val="accent4">
                <a:lumMod val="80000"/>
                <a:lumOff val="2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results!$D$19:$X$19</c:f>
              <c:numCache>
                <c:formatCode>General</c:formatCode>
                <c:ptCount val="21"/>
                <c:pt idx="0">
                  <c:v>3.2510800026008635E-3</c:v>
                </c:pt>
                <c:pt idx="1">
                  <c:v>2.6799600021439676</c:v>
                </c:pt>
                <c:pt idx="2">
                  <c:v>1.1836000009468799</c:v>
                </c:pt>
                <c:pt idx="3">
                  <c:v>1.0204000008163197E-2</c:v>
                </c:pt>
                <c:pt idx="4">
                  <c:v>4.9796000039836795E-5</c:v>
                </c:pt>
                <c:pt idx="5">
                  <c:v>20.874000016699195</c:v>
                </c:pt>
                <c:pt idx="6">
                  <c:v>1.6892000013513597E-2</c:v>
                </c:pt>
                <c:pt idx="7">
                  <c:v>6.2776000050220784</c:v>
                </c:pt>
                <c:pt idx="8">
                  <c:v>2.4590000019671992E-3</c:v>
                </c:pt>
                <c:pt idx="9">
                  <c:v>1.1996000009596797E-2</c:v>
                </c:pt>
                <c:pt idx="10">
                  <c:v>4.4140000035311993E-4</c:v>
                </c:pt>
                <c:pt idx="11">
                  <c:v>2.3717600018974076E-7</c:v>
                </c:pt>
                <c:pt idx="12">
                  <c:v>2.9944800023955836E-3</c:v>
                </c:pt>
                <c:pt idx="13">
                  <c:v>8.0544000064435191E-3</c:v>
                </c:pt>
                <c:pt idx="14">
                  <c:v>1.1600000009279998E-2</c:v>
                </c:pt>
                <c:pt idx="15">
                  <c:v>2.0761200016608956E-4</c:v>
                </c:pt>
                <c:pt idx="16">
                  <c:v>1.2804400010243519E-3</c:v>
                </c:pt>
                <c:pt idx="17">
                  <c:v>3.2074400025659512E-4</c:v>
                </c:pt>
                <c:pt idx="18">
                  <c:v>7.8456000062764791E-2</c:v>
                </c:pt>
                <c:pt idx="19">
                  <c:v>0.24192800019354235</c:v>
                </c:pt>
                <c:pt idx="20">
                  <c:v>0.14248400011398718</c:v>
                </c:pt>
              </c:numCache>
            </c:numRef>
          </c:val>
          <c:extLst>
            <c:ext xmlns:c16="http://schemas.microsoft.com/office/drawing/2014/chart" uri="{C3380CC4-5D6E-409C-BE32-E72D297353CC}">
              <c16:uniqueId val="{0000000F-57FD-4661-B4E2-0D599DAD0018}"/>
            </c:ext>
          </c:extLst>
        </c:ser>
        <c:ser>
          <c:idx val="16"/>
          <c:order val="16"/>
          <c:tx>
            <c:strRef>
              <c:f>results!$A$20</c:f>
              <c:strCache>
                <c:ptCount val="1"/>
                <c:pt idx="0">
                  <c:v>Spray pyrolysis</c:v>
                </c:pt>
              </c:strCache>
            </c:strRef>
          </c:tx>
          <c:spPr>
            <a:solidFill>
              <a:schemeClr val="accent5">
                <a:lumMod val="80000"/>
                <a:lumOff val="2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results!$D$20:$X$20</c:f>
              <c:numCache>
                <c:formatCode>General</c:formatCode>
                <c:ptCount val="21"/>
                <c:pt idx="0">
                  <c:v>5.4386167853429123E-7</c:v>
                </c:pt>
                <c:pt idx="1">
                  <c:v>4.4832103301203262E-4</c:v>
                </c:pt>
                <c:pt idx="2">
                  <c:v>1.9800025921022771E-4</c:v>
                </c:pt>
                <c:pt idx="3">
                  <c:v>1.7069910822754E-6</c:v>
                </c:pt>
                <c:pt idx="4">
                  <c:v>8.3301967790068433E-9</c:v>
                </c:pt>
                <c:pt idx="5">
                  <c:v>3.4919376569400922E-3</c:v>
                </c:pt>
                <c:pt idx="6">
                  <c:v>2.825802955879661E-6</c:v>
                </c:pt>
                <c:pt idx="7">
                  <c:v>1.05015750863309E-3</c:v>
                </c:pt>
                <c:pt idx="8">
                  <c:v>4.113574158482172E-7</c:v>
                </c:pt>
                <c:pt idx="9">
                  <c:v>2.0067684263990296E-6</c:v>
                </c:pt>
                <c:pt idx="10">
                  <c:v>7.3840245366166368E-8</c:v>
                </c:pt>
                <c:pt idx="11">
                  <c:v>3.9676334469791286E-11</c:v>
                </c:pt>
                <c:pt idx="12">
                  <c:v>5.0093597178087415E-7</c:v>
                </c:pt>
                <c:pt idx="13">
                  <c:v>1.3473920984985282E-6</c:v>
                </c:pt>
                <c:pt idx="14">
                  <c:v>1.9405229865145666E-6</c:v>
                </c:pt>
                <c:pt idx="15">
                  <c:v>3.4730677437608814E-8</c:v>
                </c:pt>
                <c:pt idx="16">
                  <c:v>2.1420028041833727E-7</c:v>
                </c:pt>
                <c:pt idx="17">
                  <c:v>5.3656129722985189E-8</c:v>
                </c:pt>
                <c:pt idx="18">
                  <c:v>1.3124626847412661E-5</c:v>
                </c:pt>
                <c:pt idx="19">
                  <c:v>4.047127974840484E-5</c:v>
                </c:pt>
                <c:pt idx="20">
                  <c:v>2.3835644587115652E-5</c:v>
                </c:pt>
              </c:numCache>
            </c:numRef>
          </c:val>
          <c:extLst>
            <c:ext xmlns:c16="http://schemas.microsoft.com/office/drawing/2014/chart" uri="{C3380CC4-5D6E-409C-BE32-E72D297353CC}">
              <c16:uniqueId val="{00000010-57FD-4661-B4E2-0D599DAD0018}"/>
            </c:ext>
          </c:extLst>
        </c:ser>
        <c:ser>
          <c:idx val="17"/>
          <c:order val="17"/>
          <c:tx>
            <c:strRef>
              <c:f>results!$A$21</c:f>
              <c:strCache>
                <c:ptCount val="1"/>
                <c:pt idx="0">
                  <c:v>ETL spin coating</c:v>
                </c:pt>
              </c:strCache>
            </c:strRef>
          </c:tx>
          <c:spPr>
            <a:solidFill>
              <a:schemeClr val="accent6">
                <a:lumMod val="80000"/>
                <a:lumOff val="2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results!$D$21:$X$21</c:f>
              <c:numCache>
                <c:formatCode>General</c:formatCode>
                <c:ptCount val="21"/>
                <c:pt idx="0">
                  <c:v>2.6143911741820188E-3</c:v>
                </c:pt>
                <c:pt idx="1">
                  <c:v>2.1551188439413496</c:v>
                </c:pt>
                <c:pt idx="2">
                  <c:v>0.95180475219368255</c:v>
                </c:pt>
                <c:pt idx="3">
                  <c:v>8.2056570559178241E-3</c:v>
                </c:pt>
                <c:pt idx="4">
                  <c:v>4.0043992430074877E-5</c:v>
                </c:pt>
                <c:pt idx="5">
                  <c:v>16.786053056176858</c:v>
                </c:pt>
                <c:pt idx="6">
                  <c:v>1.3583884651956478E-2</c:v>
                </c:pt>
                <c:pt idx="7">
                  <c:v>5.0481999935544621</c:v>
                </c:pt>
                <c:pt idx="8">
                  <c:v>1.9774314681009339E-3</c:v>
                </c:pt>
                <c:pt idx="9">
                  <c:v>9.6467132538994721E-3</c:v>
                </c:pt>
                <c:pt idx="10">
                  <c:v>3.5495658805195291E-4</c:v>
                </c:pt>
                <c:pt idx="11">
                  <c:v>1.9072764777483006E-7</c:v>
                </c:pt>
                <c:pt idx="12">
                  <c:v>2.4080435065469232E-3</c:v>
                </c:pt>
                <c:pt idx="13">
                  <c:v>6.477032946999659E-3</c:v>
                </c:pt>
                <c:pt idx="14">
                  <c:v>9.3282655672919206E-3</c:v>
                </c:pt>
                <c:pt idx="15">
                  <c:v>1.6695343715143193E-4</c:v>
                </c:pt>
                <c:pt idx="16">
                  <c:v>1.029679686464075E-3</c:v>
                </c:pt>
                <c:pt idx="17">
                  <c:v>2.5792975957892065E-4</c:v>
                </c:pt>
                <c:pt idx="18">
                  <c:v>6.3091241667884046E-2</c:v>
                </c:pt>
                <c:pt idx="19">
                  <c:v>0.19454902001412069</c:v>
                </c:pt>
                <c:pt idx="20">
                  <c:v>0.11458005095603639</c:v>
                </c:pt>
              </c:numCache>
            </c:numRef>
          </c:val>
          <c:extLst>
            <c:ext xmlns:c16="http://schemas.microsoft.com/office/drawing/2014/chart" uri="{C3380CC4-5D6E-409C-BE32-E72D297353CC}">
              <c16:uniqueId val="{00000011-57FD-4661-B4E2-0D599DAD0018}"/>
            </c:ext>
          </c:extLst>
        </c:ser>
        <c:ser>
          <c:idx val="18"/>
          <c:order val="18"/>
          <c:tx>
            <c:strRef>
              <c:f>results!$A$22</c:f>
              <c:strCache>
                <c:ptCount val="1"/>
                <c:pt idx="0">
                  <c:v>ETL calcining</c:v>
                </c:pt>
              </c:strCache>
            </c:strRef>
          </c:tx>
          <c:spPr>
            <a:solidFill>
              <a:schemeClr val="accent1">
                <a:lumMod val="8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results!$D$22:$X$22</c:f>
              <c:numCache>
                <c:formatCode>General</c:formatCode>
                <c:ptCount val="21"/>
                <c:pt idx="0">
                  <c:v>5.8519440046815543E-2</c:v>
                </c:pt>
                <c:pt idx="1">
                  <c:v>48.239280038591417</c:v>
                </c:pt>
                <c:pt idx="2">
                  <c:v>21.304800017043839</c:v>
                </c:pt>
                <c:pt idx="3">
                  <c:v>0.18367200014693758</c:v>
                </c:pt>
                <c:pt idx="4">
                  <c:v>8.9632800071706232E-4</c:v>
                </c:pt>
                <c:pt idx="5">
                  <c:v>375.73200030058553</c:v>
                </c:pt>
                <c:pt idx="6">
                  <c:v>0.30405600024324475</c:v>
                </c:pt>
                <c:pt idx="7">
                  <c:v>112.99680009039741</c:v>
                </c:pt>
                <c:pt idx="8">
                  <c:v>4.4262000035409588E-2</c:v>
                </c:pt>
                <c:pt idx="9">
                  <c:v>0.21592800017274236</c:v>
                </c:pt>
                <c:pt idx="10">
                  <c:v>7.9452000063561581E-3</c:v>
                </c:pt>
                <c:pt idx="11">
                  <c:v>4.2691680034153339E-6</c:v>
                </c:pt>
                <c:pt idx="12">
                  <c:v>5.39006400431205E-2</c:v>
                </c:pt>
                <c:pt idx="13">
                  <c:v>0.14497920011598334</c:v>
                </c:pt>
                <c:pt idx="14">
                  <c:v>0.20880000016703995</c:v>
                </c:pt>
                <c:pt idx="15">
                  <c:v>3.7370160029896126E-3</c:v>
                </c:pt>
                <c:pt idx="16">
                  <c:v>2.3047920018438334E-2</c:v>
                </c:pt>
                <c:pt idx="17">
                  <c:v>5.7733920046187121E-3</c:v>
                </c:pt>
                <c:pt idx="18">
                  <c:v>1.4122080011297662</c:v>
                </c:pt>
                <c:pt idx="19">
                  <c:v>4.3547040034837625</c:v>
                </c:pt>
                <c:pt idx="20">
                  <c:v>2.5647120020517691</c:v>
                </c:pt>
              </c:numCache>
            </c:numRef>
          </c:val>
          <c:extLst>
            <c:ext xmlns:c16="http://schemas.microsoft.com/office/drawing/2014/chart" uri="{C3380CC4-5D6E-409C-BE32-E72D297353CC}">
              <c16:uniqueId val="{00000012-57FD-4661-B4E2-0D599DAD0018}"/>
            </c:ext>
          </c:extLst>
        </c:ser>
        <c:ser>
          <c:idx val="19"/>
          <c:order val="19"/>
          <c:tx>
            <c:strRef>
              <c:f>results!$A$23</c:f>
              <c:strCache>
                <c:ptCount val="1"/>
                <c:pt idx="0">
                  <c:v>PL 1st-step spin coating</c:v>
                </c:pt>
              </c:strCache>
            </c:strRef>
          </c:tx>
          <c:spPr>
            <a:solidFill>
              <a:schemeClr val="accent2">
                <a:lumMod val="8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results!$D$23:$X$23</c:f>
              <c:numCache>
                <c:formatCode>General</c:formatCode>
                <c:ptCount val="21"/>
                <c:pt idx="0">
                  <c:v>9.6829302747482171E-5</c:v>
                </c:pt>
                <c:pt idx="1">
                  <c:v>7.9819216442272203E-2</c:v>
                </c:pt>
                <c:pt idx="2">
                  <c:v>3.525202785902528E-2</c:v>
                </c:pt>
                <c:pt idx="3">
                  <c:v>3.039132242932527E-4</c:v>
                </c:pt>
                <c:pt idx="4">
                  <c:v>1.4831108307435136E-6</c:v>
                </c:pt>
                <c:pt idx="5">
                  <c:v>0.62170566874729094</c:v>
                </c:pt>
                <c:pt idx="6">
                  <c:v>5.0310683896135093E-4</c:v>
                </c:pt>
                <c:pt idx="7">
                  <c:v>0.18697037013164672</c:v>
                </c:pt>
                <c:pt idx="8">
                  <c:v>7.3238202522256797E-5</c:v>
                </c:pt>
                <c:pt idx="9">
                  <c:v>3.5728567607035079E-4</c:v>
                </c:pt>
                <c:pt idx="10">
                  <c:v>1.3146540298220478E-5</c:v>
                </c:pt>
                <c:pt idx="11">
                  <c:v>7.0639869546233354E-9</c:v>
                </c:pt>
                <c:pt idx="12">
                  <c:v>8.9186796538774931E-5</c:v>
                </c:pt>
                <c:pt idx="13">
                  <c:v>2.398901091481355E-4</c:v>
                </c:pt>
                <c:pt idx="14">
                  <c:v>3.4549131730710812E-4</c:v>
                </c:pt>
                <c:pt idx="15">
                  <c:v>6.1834606352382193E-6</c:v>
                </c:pt>
                <c:pt idx="16">
                  <c:v>3.8136284683854624E-5</c:v>
                </c:pt>
                <c:pt idx="17">
                  <c:v>9.5529540584785421E-6</c:v>
                </c:pt>
                <c:pt idx="18">
                  <c:v>2.3367126543660756E-3</c:v>
                </c:pt>
                <c:pt idx="19">
                  <c:v>7.2055192597822474E-3</c:v>
                </c:pt>
                <c:pt idx="20">
                  <c:v>4.24370559096431E-3</c:v>
                </c:pt>
              </c:numCache>
            </c:numRef>
          </c:val>
          <c:extLst>
            <c:ext xmlns:c16="http://schemas.microsoft.com/office/drawing/2014/chart" uri="{C3380CC4-5D6E-409C-BE32-E72D297353CC}">
              <c16:uniqueId val="{00000013-57FD-4661-B4E2-0D599DAD0018}"/>
            </c:ext>
          </c:extLst>
        </c:ser>
        <c:ser>
          <c:idx val="20"/>
          <c:order val="20"/>
          <c:tx>
            <c:strRef>
              <c:f>results!$A$24</c:f>
              <c:strCache>
                <c:ptCount val="1"/>
                <c:pt idx="0">
                  <c:v>PL 2nd-step spin coating</c:v>
                </c:pt>
              </c:strCache>
            </c:strRef>
          </c:tx>
          <c:spPr>
            <a:solidFill>
              <a:schemeClr val="accent3">
                <a:lumMod val="8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results!$D$24:$X$24</c:f>
              <c:numCache>
                <c:formatCode>General</c:formatCode>
                <c:ptCount val="21"/>
                <c:pt idx="0">
                  <c:v>4.8414651373741083E-3</c:v>
                </c:pt>
                <c:pt idx="1">
                  <c:v>3.9909608221136099</c:v>
                </c:pt>
                <c:pt idx="2">
                  <c:v>1.7626013929512638</c:v>
                </c:pt>
                <c:pt idx="3">
                  <c:v>1.5195661214662636E-2</c:v>
                </c:pt>
                <c:pt idx="4">
                  <c:v>7.4155541537175682E-5</c:v>
                </c:pt>
                <c:pt idx="5">
                  <c:v>31.085283437364549</c:v>
                </c:pt>
                <c:pt idx="6">
                  <c:v>2.5155341948067549E-2</c:v>
                </c:pt>
                <c:pt idx="7">
                  <c:v>9.3485185065823355</c:v>
                </c:pt>
                <c:pt idx="8">
                  <c:v>3.6619101261128402E-3</c:v>
                </c:pt>
                <c:pt idx="9">
                  <c:v>1.7864283803517539E-2</c:v>
                </c:pt>
                <c:pt idx="10">
                  <c:v>6.5732701491102389E-4</c:v>
                </c:pt>
                <c:pt idx="11">
                  <c:v>3.5319934773116675E-7</c:v>
                </c:pt>
                <c:pt idx="12">
                  <c:v>4.4593398269387463E-3</c:v>
                </c:pt>
                <c:pt idx="13">
                  <c:v>1.1994505457406775E-2</c:v>
                </c:pt>
                <c:pt idx="14">
                  <c:v>1.7274565865355408E-2</c:v>
                </c:pt>
                <c:pt idx="15">
                  <c:v>3.0917303176191096E-4</c:v>
                </c:pt>
                <c:pt idx="16">
                  <c:v>1.9068142341927311E-3</c:v>
                </c:pt>
                <c:pt idx="17">
                  <c:v>4.7764770292392712E-4</c:v>
                </c:pt>
                <c:pt idx="18">
                  <c:v>0.11683563271830379</c:v>
                </c:pt>
                <c:pt idx="19">
                  <c:v>0.36027596298911235</c:v>
                </c:pt>
                <c:pt idx="20">
                  <c:v>0.21218527954821551</c:v>
                </c:pt>
              </c:numCache>
            </c:numRef>
          </c:val>
          <c:extLst>
            <c:ext xmlns:c16="http://schemas.microsoft.com/office/drawing/2014/chart" uri="{C3380CC4-5D6E-409C-BE32-E72D297353CC}">
              <c16:uniqueId val="{00000014-57FD-4661-B4E2-0D599DAD0018}"/>
            </c:ext>
          </c:extLst>
        </c:ser>
        <c:ser>
          <c:idx val="21"/>
          <c:order val="21"/>
          <c:tx>
            <c:strRef>
              <c:f>results!$A$25</c:f>
              <c:strCache>
                <c:ptCount val="1"/>
                <c:pt idx="0">
                  <c:v>PL Drying</c:v>
                </c:pt>
              </c:strCache>
            </c:strRef>
          </c:tx>
          <c:spPr>
            <a:solidFill>
              <a:schemeClr val="accent4">
                <a:lumMod val="8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results!$D$25:$X$25</c:f>
              <c:numCache>
                <c:formatCode>General</c:formatCode>
                <c:ptCount val="21"/>
                <c:pt idx="0">
                  <c:v>1.9506480015605183E-3</c:v>
                </c:pt>
                <c:pt idx="1">
                  <c:v>1.6079760012863809</c:v>
                </c:pt>
                <c:pt idx="2">
                  <c:v>0.710160000568128</c:v>
                </c:pt>
                <c:pt idx="3">
                  <c:v>6.1224000048979198E-3</c:v>
                </c:pt>
                <c:pt idx="4">
                  <c:v>2.9877600023902081E-5</c:v>
                </c:pt>
                <c:pt idx="5">
                  <c:v>12.524400010019519</c:v>
                </c:pt>
                <c:pt idx="6">
                  <c:v>1.013520000810816E-2</c:v>
                </c:pt>
                <c:pt idx="7">
                  <c:v>3.766560003013248</c:v>
                </c:pt>
                <c:pt idx="8">
                  <c:v>1.4754000011803199E-3</c:v>
                </c:pt>
                <c:pt idx="9">
                  <c:v>7.19760000575808E-3</c:v>
                </c:pt>
                <c:pt idx="10">
                  <c:v>2.6484000021187199E-4</c:v>
                </c:pt>
                <c:pt idx="11">
                  <c:v>1.4230560011384449E-7</c:v>
                </c:pt>
                <c:pt idx="12">
                  <c:v>1.7966880014373503E-3</c:v>
                </c:pt>
                <c:pt idx="13">
                  <c:v>4.8326400038661123E-3</c:v>
                </c:pt>
                <c:pt idx="14">
                  <c:v>6.9600000055680001E-3</c:v>
                </c:pt>
                <c:pt idx="15">
                  <c:v>1.2456720009965377E-4</c:v>
                </c:pt>
                <c:pt idx="16">
                  <c:v>7.6826400061461128E-4</c:v>
                </c:pt>
                <c:pt idx="17">
                  <c:v>1.9244640015395712E-4</c:v>
                </c:pt>
                <c:pt idx="18">
                  <c:v>4.7073600037658883E-2</c:v>
                </c:pt>
                <c:pt idx="19">
                  <c:v>0.14515680011612545</c:v>
                </c:pt>
                <c:pt idx="20">
                  <c:v>8.5490400068392328E-2</c:v>
                </c:pt>
              </c:numCache>
            </c:numRef>
          </c:val>
          <c:extLst>
            <c:ext xmlns:c16="http://schemas.microsoft.com/office/drawing/2014/chart" uri="{C3380CC4-5D6E-409C-BE32-E72D297353CC}">
              <c16:uniqueId val="{00000015-57FD-4661-B4E2-0D599DAD0018}"/>
            </c:ext>
          </c:extLst>
        </c:ser>
        <c:ser>
          <c:idx val="22"/>
          <c:order val="22"/>
          <c:tx>
            <c:strRef>
              <c:f>results!$A$26</c:f>
              <c:strCache>
                <c:ptCount val="1"/>
                <c:pt idx="0">
                  <c:v>HTL spin coating</c:v>
                </c:pt>
              </c:strCache>
            </c:strRef>
          </c:tx>
          <c:spPr>
            <a:solidFill>
              <a:schemeClr val="accent5">
                <a:lumMod val="8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results!$D$26:$X$26</c:f>
              <c:numCache>
                <c:formatCode>General</c:formatCode>
                <c:ptCount val="21"/>
                <c:pt idx="0">
                  <c:v>2.6143911741820188E-3</c:v>
                </c:pt>
                <c:pt idx="1">
                  <c:v>2.1551188439413496</c:v>
                </c:pt>
                <c:pt idx="2">
                  <c:v>0.95180475219368255</c:v>
                </c:pt>
                <c:pt idx="3">
                  <c:v>8.2056570559178241E-3</c:v>
                </c:pt>
                <c:pt idx="4">
                  <c:v>4.0043992430074877E-5</c:v>
                </c:pt>
                <c:pt idx="5">
                  <c:v>16.786053056176858</c:v>
                </c:pt>
                <c:pt idx="6">
                  <c:v>1.3583884651956478E-2</c:v>
                </c:pt>
                <c:pt idx="7">
                  <c:v>5.0481999935544621</c:v>
                </c:pt>
                <c:pt idx="8">
                  <c:v>1.9774314681009339E-3</c:v>
                </c:pt>
                <c:pt idx="9">
                  <c:v>9.6467132538994721E-3</c:v>
                </c:pt>
                <c:pt idx="10">
                  <c:v>3.5495658805195291E-4</c:v>
                </c:pt>
                <c:pt idx="11">
                  <c:v>1.9072764777483006E-7</c:v>
                </c:pt>
                <c:pt idx="12">
                  <c:v>2.4080435065469232E-3</c:v>
                </c:pt>
                <c:pt idx="13">
                  <c:v>6.477032946999659E-3</c:v>
                </c:pt>
                <c:pt idx="14">
                  <c:v>9.3282655672919206E-3</c:v>
                </c:pt>
                <c:pt idx="15">
                  <c:v>1.6695343715143193E-4</c:v>
                </c:pt>
                <c:pt idx="16">
                  <c:v>1.029679686464075E-3</c:v>
                </c:pt>
                <c:pt idx="17">
                  <c:v>2.5792975957892065E-4</c:v>
                </c:pt>
                <c:pt idx="18">
                  <c:v>6.3091241667884046E-2</c:v>
                </c:pt>
                <c:pt idx="19">
                  <c:v>0.19454902001412069</c:v>
                </c:pt>
                <c:pt idx="20">
                  <c:v>0.11458005095603639</c:v>
                </c:pt>
              </c:numCache>
            </c:numRef>
          </c:val>
          <c:extLst>
            <c:ext xmlns:c16="http://schemas.microsoft.com/office/drawing/2014/chart" uri="{C3380CC4-5D6E-409C-BE32-E72D297353CC}">
              <c16:uniqueId val="{00000016-57FD-4661-B4E2-0D599DAD0018}"/>
            </c:ext>
          </c:extLst>
        </c:ser>
        <c:ser>
          <c:idx val="23"/>
          <c:order val="23"/>
          <c:tx>
            <c:strRef>
              <c:f>results!$A$27</c:f>
              <c:strCache>
                <c:ptCount val="1"/>
                <c:pt idx="0">
                  <c:v>Electrode sputtering</c:v>
                </c:pt>
              </c:strCache>
            </c:strRef>
          </c:tx>
          <c:spPr>
            <a:solidFill>
              <a:schemeClr val="accent6">
                <a:lumMod val="8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results!$D$27:$X$27</c:f>
              <c:numCache>
                <c:formatCode>General</c:formatCode>
                <c:ptCount val="21"/>
                <c:pt idx="0">
                  <c:v>6.3215444495016799E-3</c:v>
                </c:pt>
                <c:pt idx="1">
                  <c:v>5.2110333375021591</c:v>
                </c:pt>
                <c:pt idx="2">
                  <c:v>2.3014444462855996</c:v>
                </c:pt>
                <c:pt idx="3">
                  <c:v>1.9841111126983998E-2</c:v>
                </c:pt>
                <c:pt idx="4">
                  <c:v>9.6825555633015992E-5</c:v>
                </c:pt>
                <c:pt idx="5">
                  <c:v>40.588333365803997</c:v>
                </c:pt>
                <c:pt idx="6">
                  <c:v>3.2845555581831998E-2</c:v>
                </c:pt>
                <c:pt idx="7">
                  <c:v>12.206444454209599</c:v>
                </c:pt>
                <c:pt idx="8">
                  <c:v>4.7813888927139992E-3</c:v>
                </c:pt>
                <c:pt idx="9">
                  <c:v>2.3325555574215999E-2</c:v>
                </c:pt>
                <c:pt idx="10">
                  <c:v>8.5827777846439999E-4</c:v>
                </c:pt>
                <c:pt idx="11">
                  <c:v>4.6117555592449599E-7</c:v>
                </c:pt>
                <c:pt idx="12">
                  <c:v>5.8226000046580793E-3</c:v>
                </c:pt>
                <c:pt idx="13">
                  <c:v>1.5661333345862397E-2</c:v>
                </c:pt>
                <c:pt idx="14">
                  <c:v>2.2555555573599999E-2</c:v>
                </c:pt>
                <c:pt idx="15">
                  <c:v>4.0369000032295196E-4</c:v>
                </c:pt>
                <c:pt idx="16">
                  <c:v>2.4897444464362399E-3</c:v>
                </c:pt>
                <c:pt idx="17">
                  <c:v>6.2366888938782388E-4</c:v>
                </c:pt>
                <c:pt idx="18">
                  <c:v>0.152553333455376</c:v>
                </c:pt>
                <c:pt idx="19">
                  <c:v>0.470415555931888</c:v>
                </c:pt>
                <c:pt idx="20">
                  <c:v>0.27705222244386396</c:v>
                </c:pt>
              </c:numCache>
            </c:numRef>
          </c:val>
          <c:extLst>
            <c:ext xmlns:c16="http://schemas.microsoft.com/office/drawing/2014/chart" uri="{C3380CC4-5D6E-409C-BE32-E72D297353CC}">
              <c16:uniqueId val="{00000017-57FD-4661-B4E2-0D599DAD0018}"/>
            </c:ext>
          </c:extLst>
        </c:ser>
        <c:ser>
          <c:idx val="24"/>
          <c:order val="24"/>
          <c:tx>
            <c:strRef>
              <c:f>results!$A$28</c:f>
              <c:strCache>
                <c:ptCount val="1"/>
                <c:pt idx="0">
                  <c:v>Direct emissions</c:v>
                </c:pt>
              </c:strCache>
            </c:strRef>
          </c:tx>
          <c:spPr>
            <a:solidFill>
              <a:schemeClr val="accent1">
                <a:lumMod val="60000"/>
                <a:lumOff val="4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results!$D$28:$X$28</c:f>
              <c:numCache>
                <c:formatCode>General</c:formatCode>
                <c:ptCount val="21"/>
                <c:pt idx="0">
                  <c:v>0</c:v>
                </c:pt>
                <c:pt idx="1">
                  <c:v>0</c:v>
                </c:pt>
                <c:pt idx="2">
                  <c:v>0</c:v>
                </c:pt>
                <c:pt idx="3">
                  <c:v>2.8766311844440274E-2</c:v>
                </c:pt>
                <c:pt idx="4">
                  <c:v>0</c:v>
                </c:pt>
                <c:pt idx="5">
                  <c:v>4.1552245543121494E-2</c:v>
                </c:pt>
                <c:pt idx="6">
                  <c:v>0</c:v>
                </c:pt>
                <c:pt idx="7">
                  <c:v>65.577563156317765</c:v>
                </c:pt>
                <c:pt idx="8">
                  <c:v>0</c:v>
                </c:pt>
                <c:pt idx="9">
                  <c:v>0</c:v>
                </c:pt>
                <c:pt idx="10">
                  <c:v>0</c:v>
                </c:pt>
                <c:pt idx="11">
                  <c:v>0</c:v>
                </c:pt>
                <c:pt idx="12">
                  <c:v>0</c:v>
                </c:pt>
                <c:pt idx="13">
                  <c:v>2.1558294900738295E-2</c:v>
                </c:pt>
                <c:pt idx="14">
                  <c:v>0</c:v>
                </c:pt>
                <c:pt idx="15">
                  <c:v>0.30114287944884338</c:v>
                </c:pt>
                <c:pt idx="16">
                  <c:v>0</c:v>
                </c:pt>
                <c:pt idx="17">
                  <c:v>0</c:v>
                </c:pt>
                <c:pt idx="18">
                  <c:v>8.2794294919128139E-2</c:v>
                </c:pt>
                <c:pt idx="19">
                  <c:v>2.7979059755858012E-4</c:v>
                </c:pt>
                <c:pt idx="20">
                  <c:v>0</c:v>
                </c:pt>
              </c:numCache>
            </c:numRef>
          </c:val>
          <c:extLst>
            <c:ext xmlns:c16="http://schemas.microsoft.com/office/drawing/2014/chart" uri="{C3380CC4-5D6E-409C-BE32-E72D297353CC}">
              <c16:uniqueId val="{00000000-FF8A-4CDC-9CAF-A847217D9892}"/>
            </c:ext>
          </c:extLst>
        </c:ser>
        <c:ser>
          <c:idx val="25"/>
          <c:order val="25"/>
          <c:tx>
            <c:strRef>
              <c:f>results!$A$29</c:f>
              <c:strCache>
                <c:ptCount val="1"/>
                <c:pt idx="0">
                  <c:v>Treatment</c:v>
                </c:pt>
              </c:strCache>
            </c:strRef>
          </c:tx>
          <c:spPr>
            <a:solidFill>
              <a:schemeClr val="accent2">
                <a:lumMod val="60000"/>
                <a:lumOff val="4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results!$D$29:$X$29</c:f>
              <c:numCache>
                <c:formatCode>General</c:formatCode>
                <c:ptCount val="21"/>
                <c:pt idx="0">
                  <c:v>2.3460630349742766E-5</c:v>
                </c:pt>
                <c:pt idx="1">
                  <c:v>5.9785303088652291E-4</c:v>
                </c:pt>
                <c:pt idx="2">
                  <c:v>1.0330775782509537E-4</c:v>
                </c:pt>
                <c:pt idx="3">
                  <c:v>9.1350169278510749E-6</c:v>
                </c:pt>
                <c:pt idx="4">
                  <c:v>3.7123957024098455E-6</c:v>
                </c:pt>
                <c:pt idx="5">
                  <c:v>8.433927409534768E-3</c:v>
                </c:pt>
                <c:pt idx="6">
                  <c:v>4.1880596000024607E-5</c:v>
                </c:pt>
                <c:pt idx="7">
                  <c:v>8.2026945714153837E-3</c:v>
                </c:pt>
                <c:pt idx="8">
                  <c:v>3.4407763069476913E-5</c:v>
                </c:pt>
                <c:pt idx="9">
                  <c:v>4.6104026833255376E-5</c:v>
                </c:pt>
                <c:pt idx="10">
                  <c:v>4.7946498534252298E-8</c:v>
                </c:pt>
                <c:pt idx="11">
                  <c:v>4.8445391301427685E-11</c:v>
                </c:pt>
                <c:pt idx="12">
                  <c:v>1.3349209006134153E-6</c:v>
                </c:pt>
                <c:pt idx="13">
                  <c:v>1.569558879842092E-6</c:v>
                </c:pt>
                <c:pt idx="14">
                  <c:v>2.737311108787692E-6</c:v>
                </c:pt>
                <c:pt idx="15">
                  <c:v>3.6466685600676914E-7</c:v>
                </c:pt>
                <c:pt idx="16">
                  <c:v>6.1664729809439987E-6</c:v>
                </c:pt>
                <c:pt idx="17">
                  <c:v>2.8109571839421535E-6</c:v>
                </c:pt>
                <c:pt idx="18">
                  <c:v>2.6779191126953842E-5</c:v>
                </c:pt>
                <c:pt idx="19">
                  <c:v>8.1052916978239985E-5</c:v>
                </c:pt>
                <c:pt idx="20">
                  <c:v>1.4526754315324305E-5</c:v>
                </c:pt>
              </c:numCache>
            </c:numRef>
          </c:val>
          <c:extLst>
            <c:ext xmlns:c16="http://schemas.microsoft.com/office/drawing/2014/chart" uri="{C3380CC4-5D6E-409C-BE32-E72D297353CC}">
              <c16:uniqueId val="{00000000-5A06-43C4-99B6-CD31487137AA}"/>
            </c:ext>
          </c:extLst>
        </c:ser>
        <c:ser>
          <c:idx val="26"/>
          <c:order val="26"/>
          <c:tx>
            <c:strRef>
              <c:f>results!$A$30</c:f>
              <c:strCache>
                <c:ptCount val="1"/>
                <c:pt idx="0">
                  <c:v>End of life</c:v>
                </c:pt>
              </c:strCache>
            </c:strRef>
          </c:tx>
          <c:spPr>
            <a:solidFill>
              <a:schemeClr val="accent3">
                <a:lumMod val="60000"/>
                <a:lumOff val="4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results!$D$30:$X$30</c:f>
              <c:numCache>
                <c:formatCode>General</c:formatCode>
                <c:ptCount val="21"/>
                <c:pt idx="0">
                  <c:v>1.4140639960797681E-3</c:v>
                </c:pt>
                <c:pt idx="1">
                  <c:v>2.5739674806725055E-2</c:v>
                </c:pt>
                <c:pt idx="2">
                  <c:v>2.0403917142920572E-2</c:v>
                </c:pt>
                <c:pt idx="3">
                  <c:v>1.2594606068035437E-4</c:v>
                </c:pt>
                <c:pt idx="4">
                  <c:v>3.0335937289348514E-6</c:v>
                </c:pt>
                <c:pt idx="5">
                  <c:v>0.19402296880475647</c:v>
                </c:pt>
                <c:pt idx="6">
                  <c:v>3.743095751778953E-3</c:v>
                </c:pt>
                <c:pt idx="7">
                  <c:v>0.13762070853049249</c:v>
                </c:pt>
                <c:pt idx="8">
                  <c:v>8.7141466919403083E-5</c:v>
                </c:pt>
                <c:pt idx="9">
                  <c:v>1.0618082137966718E-3</c:v>
                </c:pt>
                <c:pt idx="10">
                  <c:v>-2.0065674970751196E-4</c:v>
                </c:pt>
                <c:pt idx="11">
                  <c:v>9.6179741356060098E-9</c:v>
                </c:pt>
                <c:pt idx="12">
                  <c:v>9.2061353060048521E-5</c:v>
                </c:pt>
                <c:pt idx="13">
                  <c:v>2.7838691803615175E-4</c:v>
                </c:pt>
                <c:pt idx="14">
                  <c:v>2.328981347029711E-4</c:v>
                </c:pt>
                <c:pt idx="15">
                  <c:v>2.8077628896921108E-5</c:v>
                </c:pt>
                <c:pt idx="16">
                  <c:v>5.1532782803092375E-3</c:v>
                </c:pt>
                <c:pt idx="17">
                  <c:v>3.7215712499136292E-5</c:v>
                </c:pt>
                <c:pt idx="18">
                  <c:v>2.0958412507132654E-3</c:v>
                </c:pt>
                <c:pt idx="19">
                  <c:v>2.4209771688194436E-3</c:v>
                </c:pt>
                <c:pt idx="20">
                  <c:v>2.4960356776659708E-3</c:v>
                </c:pt>
              </c:numCache>
            </c:numRef>
          </c:val>
          <c:extLst>
            <c:ext xmlns:c16="http://schemas.microsoft.com/office/drawing/2014/chart" uri="{C3380CC4-5D6E-409C-BE32-E72D297353CC}">
              <c16:uniqueId val="{00000000-ABE0-4606-AC39-F89F61565A1F}"/>
            </c:ext>
          </c:extLst>
        </c:ser>
        <c:dLbls>
          <c:showLegendKey val="0"/>
          <c:showVal val="0"/>
          <c:showCatName val="0"/>
          <c:showSerName val="0"/>
          <c:showPercent val="0"/>
          <c:showBubbleSize val="0"/>
        </c:dLbls>
        <c:gapWidth val="150"/>
        <c:overlap val="100"/>
        <c:axId val="668592664"/>
        <c:axId val="668592992"/>
      </c:barChart>
      <c:catAx>
        <c:axId val="668592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ysClr val="windowText" lastClr="000000"/>
                </a:solidFill>
                <a:latin typeface="+mn-lt"/>
                <a:ea typeface="+mn-ea"/>
                <a:cs typeface="+mn-cs"/>
              </a:defRPr>
            </a:pPr>
            <a:endParaRPr lang="en-US"/>
          </a:p>
        </c:txPr>
        <c:crossAx val="668592992"/>
        <c:crosses val="autoZero"/>
        <c:auto val="1"/>
        <c:lblAlgn val="ctr"/>
        <c:lblOffset val="100"/>
        <c:noMultiLvlLbl val="0"/>
      </c:catAx>
      <c:valAx>
        <c:axId val="668592992"/>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ysClr val="windowText" lastClr="000000"/>
                </a:solidFill>
                <a:latin typeface="+mn-lt"/>
                <a:ea typeface="+mn-ea"/>
                <a:cs typeface="+mn-cs"/>
              </a:defRPr>
            </a:pPr>
            <a:endParaRPr lang="en-US"/>
          </a:p>
        </c:txPr>
        <c:crossAx val="668592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zh-CN"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71909667541557"/>
          <c:y val="2.7777777777777801E-2"/>
        </c:manualLayout>
      </c:layout>
      <c:overlay val="0"/>
      <c:spPr>
        <a:noFill/>
        <a:ln>
          <a:noFill/>
        </a:ln>
        <a:effectLst/>
      </c:spPr>
      <c:txPr>
        <a:bodyPr rot="0" spcFirstLastPara="1" vertOverflow="ellipsis" vert="horz" wrap="square" anchor="ctr" anchorCtr="1"/>
        <a:lstStyle/>
        <a:p>
          <a:pPr>
            <a:defRPr lang="zh-CN" sz="14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bar"/>
        <c:grouping val="clustered"/>
        <c:varyColors val="0"/>
        <c:ser>
          <c:idx val="0"/>
          <c:order val="0"/>
          <c:tx>
            <c:strRef>
              <c:f>Uncertainty!$J$9</c:f>
              <c:strCache>
                <c:ptCount val="1"/>
                <c:pt idx="0">
                  <c:v>EPBT</c:v>
                </c:pt>
              </c:strCache>
            </c:strRef>
          </c:tx>
          <c:spPr>
            <a:solidFill>
              <a:srgbClr val="80B1D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05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Uncertainty!$I$10:$I$13</c:f>
              <c:strCache>
                <c:ptCount val="4"/>
                <c:pt idx="0">
                  <c:v>Insolation</c:v>
                </c:pt>
                <c:pt idx="1">
                  <c:v>Module efficiency</c:v>
                </c:pt>
                <c:pt idx="2">
                  <c:v>Primary energy consumption</c:v>
                </c:pt>
                <c:pt idx="3">
                  <c:v>Performance ratio</c:v>
                </c:pt>
              </c:strCache>
            </c:strRef>
          </c:cat>
          <c:val>
            <c:numRef>
              <c:f>Uncertainty!$J$10:$J$13</c:f>
              <c:numCache>
                <c:formatCode>0.000%</c:formatCode>
                <c:ptCount val="4"/>
                <c:pt idx="0">
                  <c:v>-1.9089999999999999E-2</c:v>
                </c:pt>
                <c:pt idx="1">
                  <c:v>-3.9829999999999997E-2</c:v>
                </c:pt>
                <c:pt idx="2" formatCode="0.00%">
                  <c:v>0.18579999999999999</c:v>
                </c:pt>
                <c:pt idx="3" formatCode="0.00%">
                  <c:v>-0.75519999999999998</c:v>
                </c:pt>
              </c:numCache>
            </c:numRef>
          </c:val>
          <c:extLst>
            <c:ext xmlns:c16="http://schemas.microsoft.com/office/drawing/2014/chart" uri="{C3380CC4-5D6E-409C-BE32-E72D297353CC}">
              <c16:uniqueId val="{00000000-BCFB-494D-B283-4A197FDE4F3E}"/>
            </c:ext>
          </c:extLst>
        </c:ser>
        <c:dLbls>
          <c:showLegendKey val="0"/>
          <c:showVal val="1"/>
          <c:showCatName val="0"/>
          <c:showSerName val="0"/>
          <c:showPercent val="0"/>
          <c:showBubbleSize val="0"/>
        </c:dLbls>
        <c:gapWidth val="182"/>
        <c:axId val="1206799183"/>
        <c:axId val="1159558863"/>
      </c:barChart>
      <c:catAx>
        <c:axId val="1206799183"/>
        <c:scaling>
          <c:orientation val="minMax"/>
        </c:scaling>
        <c:delete val="0"/>
        <c:axPos val="l"/>
        <c:numFmt formatCode="General" sourceLinked="1"/>
        <c:majorTickMark val="none"/>
        <c:minorTickMark val="none"/>
        <c:tickLblPos val="low"/>
        <c:spPr>
          <a:noFill/>
          <a:ln w="9525" cap="flat" cmpd="sng" algn="ctr">
            <a:solidFill>
              <a:schemeClr val="tx1"/>
            </a:solidFill>
            <a:round/>
          </a:ln>
          <a:effectLst/>
        </c:spPr>
        <c:txPr>
          <a:bodyPr rot="-60000000" spcFirstLastPara="1" vertOverflow="ellipsis" vert="horz" wrap="square" anchor="ctr" anchorCtr="1"/>
          <a:lstStyle/>
          <a:p>
            <a:pPr>
              <a:defRPr lang="zh-CN" sz="105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59558863"/>
        <c:crosses val="autoZero"/>
        <c:auto val="1"/>
        <c:lblAlgn val="ctr"/>
        <c:lblOffset val="100"/>
        <c:noMultiLvlLbl val="0"/>
      </c:catAx>
      <c:valAx>
        <c:axId val="1159558863"/>
        <c:scaling>
          <c:orientation val="minMax"/>
        </c:scaling>
        <c:delete val="0"/>
        <c:axPos val="b"/>
        <c:majorGridlines>
          <c:spPr>
            <a:ln w="9525" cap="flat" cmpd="sng" algn="ctr">
              <a:solidFill>
                <a:schemeClr val="bg1"/>
              </a:solidFill>
              <a:round/>
            </a:ln>
            <a:effectLst/>
          </c:spPr>
        </c:majorGridlines>
        <c:numFmt formatCode="0%" sourceLinked="0"/>
        <c:majorTickMark val="in"/>
        <c:minorTickMark val="none"/>
        <c:tickLblPos val="low"/>
        <c:spPr>
          <a:noFill/>
          <a:ln>
            <a:solidFill>
              <a:schemeClr val="tx1"/>
            </a:solidFill>
          </a:ln>
          <a:effectLst/>
        </c:spPr>
        <c:txPr>
          <a:bodyPr rot="-60000000" spcFirstLastPara="1" vertOverflow="ellipsis" vert="horz" wrap="square" anchor="ctr" anchorCtr="1"/>
          <a:lstStyle/>
          <a:p>
            <a:pPr>
              <a:defRPr lang="zh-CN" sz="105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206799183"/>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lang="zh-CN"/>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a:solidFill>
                  <a:sysClr val="windowText" lastClr="000000"/>
                </a:solidFill>
                <a:latin typeface="Times New Roman" panose="02020603050405020304" pitchFamily="18" charset="0"/>
                <a:cs typeface="Times New Roman" panose="02020603050405020304" pitchFamily="18" charset="0"/>
              </a:rPr>
              <a:t>GHG emission factor</a:t>
            </a:r>
          </a:p>
        </c:rich>
      </c:tx>
      <c:overlay val="0"/>
      <c:spPr>
        <a:noFill/>
        <a:ln>
          <a:noFill/>
        </a:ln>
        <a:effectLst/>
      </c:spPr>
      <c:txPr>
        <a:bodyPr rot="0" spcFirstLastPara="1" vertOverflow="ellipsis" vert="horz" wrap="square" anchor="ctr" anchorCtr="1"/>
        <a:lstStyle/>
        <a:p>
          <a:pPr>
            <a:defRPr lang="zh-CN" sz="14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bar"/>
        <c:grouping val="clustered"/>
        <c:varyColors val="0"/>
        <c:ser>
          <c:idx val="0"/>
          <c:order val="0"/>
          <c:tx>
            <c:strRef>
              <c:f>Uncertainty!$L$9</c:f>
              <c:strCache>
                <c:ptCount val="1"/>
                <c:pt idx="0">
                  <c:v>GHG emission factor</c:v>
                </c:pt>
              </c:strCache>
            </c:strRef>
          </c:tx>
          <c:spPr>
            <a:solidFill>
              <a:srgbClr val="FB80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zh-CN" sz="105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Uncertainty!$K$10:$K$14</c:f>
              <c:strCache>
                <c:ptCount val="5"/>
                <c:pt idx="0">
                  <c:v>Insolation</c:v>
                </c:pt>
                <c:pt idx="1">
                  <c:v>Module efficiency</c:v>
                </c:pt>
                <c:pt idx="2">
                  <c:v>Carbon footprint</c:v>
                </c:pt>
                <c:pt idx="3">
                  <c:v>Lifetime</c:v>
                </c:pt>
                <c:pt idx="4">
                  <c:v>Performance ratio</c:v>
                </c:pt>
              </c:strCache>
            </c:strRef>
          </c:cat>
          <c:val>
            <c:numRef>
              <c:f>Uncertainty!$L$10:$L$14</c:f>
              <c:numCache>
                <c:formatCode>0.000%</c:formatCode>
                <c:ptCount val="5"/>
                <c:pt idx="0">
                  <c:v>-1.6049999999999998E-2</c:v>
                </c:pt>
                <c:pt idx="1">
                  <c:v>-2.9860000000000001E-2</c:v>
                </c:pt>
                <c:pt idx="2" formatCode="0.00%">
                  <c:v>0.13589999999999999</c:v>
                </c:pt>
                <c:pt idx="3" formatCode="0.00%">
                  <c:v>-0.25580000000000003</c:v>
                </c:pt>
                <c:pt idx="4" formatCode="0.00%">
                  <c:v>-0.56240000000000001</c:v>
                </c:pt>
              </c:numCache>
            </c:numRef>
          </c:val>
          <c:extLst>
            <c:ext xmlns:c16="http://schemas.microsoft.com/office/drawing/2014/chart" uri="{C3380CC4-5D6E-409C-BE32-E72D297353CC}">
              <c16:uniqueId val="{00000000-B46B-460A-9C54-51682B67E594}"/>
            </c:ext>
          </c:extLst>
        </c:ser>
        <c:dLbls>
          <c:showLegendKey val="0"/>
          <c:showVal val="1"/>
          <c:showCatName val="0"/>
          <c:showSerName val="0"/>
          <c:showPercent val="0"/>
          <c:showBubbleSize val="0"/>
        </c:dLbls>
        <c:gapWidth val="182"/>
        <c:axId val="1244643519"/>
        <c:axId val="1319694255"/>
      </c:barChart>
      <c:catAx>
        <c:axId val="1244643519"/>
        <c:scaling>
          <c:orientation val="minMax"/>
        </c:scaling>
        <c:delete val="0"/>
        <c:axPos val="l"/>
        <c:numFmt formatCode="General" sourceLinked="1"/>
        <c:majorTickMark val="none"/>
        <c:minorTickMark val="none"/>
        <c:tickLblPos val="low"/>
        <c:spPr>
          <a:noFill/>
          <a:ln w="9525" cap="flat" cmpd="sng" algn="ctr">
            <a:solidFill>
              <a:schemeClr val="tx1"/>
            </a:solidFill>
            <a:round/>
          </a:ln>
          <a:effectLst/>
        </c:spPr>
        <c:txPr>
          <a:bodyPr rot="-60000000" spcFirstLastPara="1" vertOverflow="ellipsis" vert="horz" wrap="square" anchor="ctr" anchorCtr="1"/>
          <a:lstStyle/>
          <a:p>
            <a:pPr>
              <a:defRPr lang="zh-CN" sz="105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319694255"/>
        <c:crosses val="autoZero"/>
        <c:auto val="1"/>
        <c:lblAlgn val="ctr"/>
        <c:lblOffset val="100"/>
        <c:noMultiLvlLbl val="0"/>
      </c:catAx>
      <c:valAx>
        <c:axId val="1319694255"/>
        <c:scaling>
          <c:orientation val="minMax"/>
          <c:min val="-0.8"/>
        </c:scaling>
        <c:delete val="0"/>
        <c:axPos val="b"/>
        <c:majorGridlines>
          <c:spPr>
            <a:ln w="9525" cap="flat" cmpd="sng" algn="ctr">
              <a:solidFill>
                <a:schemeClr val="bg1"/>
              </a:solidFill>
              <a:round/>
            </a:ln>
            <a:effectLst/>
          </c:spPr>
        </c:majorGridlines>
        <c:numFmt formatCode="0%" sourceLinked="0"/>
        <c:majorTickMark val="in"/>
        <c:minorTickMark val="none"/>
        <c:tickLblPos val="nextTo"/>
        <c:spPr>
          <a:noFill/>
          <a:ln>
            <a:solidFill>
              <a:schemeClr val="tx1"/>
            </a:solidFill>
          </a:ln>
          <a:effectLst/>
        </c:spPr>
        <c:txPr>
          <a:bodyPr rot="-60000000" spcFirstLastPara="1" vertOverflow="ellipsis" vert="horz" wrap="square" anchor="ctr" anchorCtr="1"/>
          <a:lstStyle/>
          <a:p>
            <a:pPr>
              <a:defRPr lang="zh-CN" sz="105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244643519"/>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lang="zh-CN"/>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127185</xdr:colOff>
      <xdr:row>60</xdr:row>
      <xdr:rowOff>67235</xdr:rowOff>
    </xdr:from>
    <xdr:to>
      <xdr:col>6</xdr:col>
      <xdr:colOff>2590798</xdr:colOff>
      <xdr:row>78</xdr:row>
      <xdr:rowOff>48746</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574021</xdr:colOff>
      <xdr:row>59</xdr:row>
      <xdr:rowOff>64432</xdr:rowOff>
    </xdr:from>
    <xdr:to>
      <xdr:col>12</xdr:col>
      <xdr:colOff>93009</xdr:colOff>
      <xdr:row>77</xdr:row>
      <xdr:rowOff>188257</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414617</xdr:colOff>
      <xdr:row>53</xdr:row>
      <xdr:rowOff>180414</xdr:rowOff>
    </xdr:from>
    <xdr:to>
      <xdr:col>30</xdr:col>
      <xdr:colOff>235323</xdr:colOff>
      <xdr:row>68</xdr:row>
      <xdr:rowOff>66114</xdr:rowOff>
    </xdr:to>
    <xdr:graphicFrame macro="">
      <xdr:nvGraphicFramePr>
        <xdr:cNvPr id="4" name="Chart 3">
          <a:extLst>
            <a:ext uri="{FF2B5EF4-FFF2-40B4-BE49-F238E27FC236}">
              <a16:creationId xmlns:a16="http://schemas.microsoft.com/office/drawing/2014/main" id="{29A74E49-E0D5-412E-838A-B8E055CE0D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271462</xdr:colOff>
      <xdr:row>33</xdr:row>
      <xdr:rowOff>57150</xdr:rowOff>
    </xdr:from>
    <xdr:to>
      <xdr:col>8</xdr:col>
      <xdr:colOff>85725</xdr:colOff>
      <xdr:row>49</xdr:row>
      <xdr:rowOff>142875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585786</xdr:colOff>
      <xdr:row>34</xdr:row>
      <xdr:rowOff>133349</xdr:rowOff>
    </xdr:from>
    <xdr:to>
      <xdr:col>21</xdr:col>
      <xdr:colOff>304799</xdr:colOff>
      <xdr:row>51</xdr:row>
      <xdr:rowOff>9524</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495300</xdr:colOff>
      <xdr:row>34</xdr:row>
      <xdr:rowOff>33337</xdr:rowOff>
    </xdr:from>
    <xdr:to>
      <xdr:col>14</xdr:col>
      <xdr:colOff>361950</xdr:colOff>
      <xdr:row>48</xdr:row>
      <xdr:rowOff>109537</xdr:rowOff>
    </xdr:to>
    <xdr:graphicFrame macro="">
      <xdr:nvGraphicFramePr>
        <xdr:cNvPr id="4" name="Chart 3">
          <a:extLst>
            <a:ext uri="{FF2B5EF4-FFF2-40B4-BE49-F238E27FC236}">
              <a16:creationId xmlns:a16="http://schemas.microsoft.com/office/drawing/2014/main" id="{4C751DCA-C3D6-4E67-9EFE-5DDBFDDEE3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247650</xdr:colOff>
      <xdr:row>38</xdr:row>
      <xdr:rowOff>28575</xdr:rowOff>
    </xdr:from>
    <xdr:to>
      <xdr:col>11</xdr:col>
      <xdr:colOff>278765</xdr:colOff>
      <xdr:row>62</xdr:row>
      <xdr:rowOff>133350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95250</xdr:colOff>
      <xdr:row>0</xdr:row>
      <xdr:rowOff>100012</xdr:rowOff>
    </xdr:from>
    <xdr:to>
      <xdr:col>21</xdr:col>
      <xdr:colOff>419100</xdr:colOff>
      <xdr:row>14</xdr:row>
      <xdr:rowOff>176212</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404812</xdr:colOff>
      <xdr:row>16</xdr:row>
      <xdr:rowOff>80962</xdr:rowOff>
    </xdr:from>
    <xdr:to>
      <xdr:col>22</xdr:col>
      <xdr:colOff>157162</xdr:colOff>
      <xdr:row>30</xdr:row>
      <xdr:rowOff>157162</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17</xdr:row>
      <xdr:rowOff>0</xdr:rowOff>
    </xdr:from>
    <xdr:to>
      <xdr:col>6</xdr:col>
      <xdr:colOff>560737</xdr:colOff>
      <xdr:row>38</xdr:row>
      <xdr:rowOff>47119</xdr:rowOff>
    </xdr:to>
    <xdr:pic>
      <xdr:nvPicPr>
        <xdr:cNvPr id="2" name="Picture 1">
          <a:extLst>
            <a:ext uri="{FF2B5EF4-FFF2-40B4-BE49-F238E27FC236}">
              <a16:creationId xmlns:a16="http://schemas.microsoft.com/office/drawing/2014/main" id="{E2B7508E-0168-4F61-B2A5-4EAB02080D44}"/>
            </a:ext>
          </a:extLst>
        </xdr:cNvPr>
        <xdr:cNvPicPr>
          <a:picLocks noChangeAspect="1"/>
        </xdr:cNvPicPr>
      </xdr:nvPicPr>
      <xdr:blipFill>
        <a:blip xmlns:r="http://schemas.openxmlformats.org/officeDocument/2006/relationships" r:embed="rId3"/>
        <a:stretch>
          <a:fillRect/>
        </a:stretch>
      </xdr:blipFill>
      <xdr:spPr>
        <a:xfrm>
          <a:off x="0" y="3238500"/>
          <a:ext cx="6590476" cy="4047619"/>
        </a:xfrm>
        <a:prstGeom prst="rect">
          <a:avLst/>
        </a:prstGeom>
      </xdr:spPr>
    </xdr:pic>
    <xdr:clientData/>
  </xdr:twoCellAnchor>
  <xdr:twoCellAnchor editAs="oneCell">
    <xdr:from>
      <xdr:col>7</xdr:col>
      <xdr:colOff>0</xdr:colOff>
      <xdr:row>17</xdr:row>
      <xdr:rowOff>0</xdr:rowOff>
    </xdr:from>
    <xdr:to>
      <xdr:col>12</xdr:col>
      <xdr:colOff>21126</xdr:colOff>
      <xdr:row>38</xdr:row>
      <xdr:rowOff>37595</xdr:rowOff>
    </xdr:to>
    <xdr:pic>
      <xdr:nvPicPr>
        <xdr:cNvPr id="5" name="Picture 4">
          <a:extLst>
            <a:ext uri="{FF2B5EF4-FFF2-40B4-BE49-F238E27FC236}">
              <a16:creationId xmlns:a16="http://schemas.microsoft.com/office/drawing/2014/main" id="{1083B0E4-5F7C-4E7D-BEE8-E4F14C68F84E}"/>
            </a:ext>
          </a:extLst>
        </xdr:cNvPr>
        <xdr:cNvPicPr>
          <a:picLocks noChangeAspect="1"/>
        </xdr:cNvPicPr>
      </xdr:nvPicPr>
      <xdr:blipFill>
        <a:blip xmlns:r="http://schemas.openxmlformats.org/officeDocument/2006/relationships" r:embed="rId4"/>
        <a:stretch>
          <a:fillRect/>
        </a:stretch>
      </xdr:blipFill>
      <xdr:spPr>
        <a:xfrm>
          <a:off x="6626087" y="3238500"/>
          <a:ext cx="6580952" cy="40380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19050</xdr:colOff>
      <xdr:row>1</xdr:row>
      <xdr:rowOff>42862</xdr:rowOff>
    </xdr:from>
    <xdr:to>
      <xdr:col>7</xdr:col>
      <xdr:colOff>1314450</xdr:colOff>
      <xdr:row>15</xdr:row>
      <xdr:rowOff>119062</xdr:rowOff>
    </xdr:to>
    <xdr:graphicFrame macro="">
      <xdr:nvGraphicFramePr>
        <xdr:cNvPr id="6" name="Chart 5">
          <a:extLst>
            <a:ext uri="{FF2B5EF4-FFF2-40B4-BE49-F238E27FC236}">
              <a16:creationId xmlns:a16="http://schemas.microsoft.com/office/drawing/2014/main" id="{CEA3B030-6056-43EC-A1BC-E6D286EAA6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xdr:colOff>
      <xdr:row>19</xdr:row>
      <xdr:rowOff>119062</xdr:rowOff>
    </xdr:from>
    <xdr:to>
      <xdr:col>7</xdr:col>
      <xdr:colOff>1314450</xdr:colOff>
      <xdr:row>34</xdr:row>
      <xdr:rowOff>4762</xdr:rowOff>
    </xdr:to>
    <xdr:graphicFrame macro="">
      <xdr:nvGraphicFramePr>
        <xdr:cNvPr id="7" name="Chart 6">
          <a:extLst>
            <a:ext uri="{FF2B5EF4-FFF2-40B4-BE49-F238E27FC236}">
              <a16:creationId xmlns:a16="http://schemas.microsoft.com/office/drawing/2014/main" id="{38A38521-8B43-4387-BC9B-5D45CA6DB9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17</xdr:col>
      <xdr:colOff>600075</xdr:colOff>
      <xdr:row>1</xdr:row>
      <xdr:rowOff>52387</xdr:rowOff>
    </xdr:from>
    <xdr:to>
      <xdr:col>25</xdr:col>
      <xdr:colOff>295275</xdr:colOff>
      <xdr:row>15</xdr:row>
      <xdr:rowOff>52387</xdr:rowOff>
    </xdr:to>
    <xdr:graphicFrame macro="">
      <xdr:nvGraphicFramePr>
        <xdr:cNvPr id="2" name="Chart 1">
          <a:extLst>
            <a:ext uri="{FF2B5EF4-FFF2-40B4-BE49-F238E27FC236}">
              <a16:creationId xmlns:a16="http://schemas.microsoft.com/office/drawing/2014/main" id="{85F6A3DC-8BCD-40CF-97D6-C7068A4CCF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4762</xdr:colOff>
      <xdr:row>16</xdr:row>
      <xdr:rowOff>23812</xdr:rowOff>
    </xdr:from>
    <xdr:to>
      <xdr:col>25</xdr:col>
      <xdr:colOff>309562</xdr:colOff>
      <xdr:row>30</xdr:row>
      <xdr:rowOff>100012</xdr:rowOff>
    </xdr:to>
    <xdr:graphicFrame macro="">
      <xdr:nvGraphicFramePr>
        <xdr:cNvPr id="5" name="Chart 4">
          <a:extLst>
            <a:ext uri="{FF2B5EF4-FFF2-40B4-BE49-F238E27FC236}">
              <a16:creationId xmlns:a16="http://schemas.microsoft.com/office/drawing/2014/main" id="{0375D622-ED8F-441E-A3BA-2841D40AE1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rnellprod-my.sharepoint.com/personal/xt93_cornell_edu/Documents/1_Perovskite_20180226/LCI%20for%20key%20components/0_Raw%20material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rnellprod-my.sharepoint.com/personal/xt93_cornell_edu/Documents/1_Perovskite_20180226/LCI%20for%20key%20components/Other%20inventor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_Raw%20materials-updated.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cornellprod-my.sharepoint.com/personal/xt93_cornell_edu/Documents/1_Perovskite_20180226/LCI%20for%20key%20components/1_La-doped%20BSO%20NP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cornellprod-my.sharepoint.com/Users/Alvin/Desktop/1_Perovskite_20180226/LCI/4_La-doped%20BSO.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cornellprod-my.sharepoint.com/personal/xt93_cornell_edu/Documents/1_Perovskite_20180226/LCI%20for%20key%20components/3_PTAA%20solution.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cornellprod-my.sharepoint.com/Users/Alvin/Desktop/1_Perovskite_20180226/LCI/7_PTAA%20solution.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Recycling/Macro-enable/Module_1_LBSO_recycling.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Inventory%20for%20recycl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ion"/>
      <sheetName val="production-alphabetical"/>
      <sheetName val="production-alphabetical (2)"/>
      <sheetName val="production-alphabetical (3)"/>
      <sheetName val="direct emissions"/>
      <sheetName val="Jian's"/>
    </sheetNames>
    <sheetDataSet>
      <sheetData sheetId="0" refreshError="1">
        <row r="3">
          <cell r="D3">
            <v>2.4752999999999998</v>
          </cell>
          <cell r="M3">
            <v>20.685313700000005</v>
          </cell>
          <cell r="N3">
            <v>8.8877999999999999E-2</v>
          </cell>
          <cell r="O3">
            <v>2.2648999999999999</v>
          </cell>
          <cell r="P3">
            <v>0.39137</v>
          </cell>
          <cell r="Q3">
            <v>3.4606999999999999E-2</v>
          </cell>
          <cell r="R3">
            <v>1.4064E-2</v>
          </cell>
          <cell r="S3">
            <v>31.951000000000001</v>
          </cell>
          <cell r="T3">
            <v>0.15866</v>
          </cell>
          <cell r="U3">
            <v>31.074999999999999</v>
          </cell>
          <cell r="V3">
            <v>0.13034999999999999</v>
          </cell>
          <cell r="W3">
            <v>0.17466000000000001</v>
          </cell>
          <cell r="X3">
            <v>1.8164E-4</v>
          </cell>
          <cell r="Y3">
            <v>1.8353E-7</v>
          </cell>
          <cell r="Z3">
            <v>5.0572000000000004E-3</v>
          </cell>
          <cell r="AA3">
            <v>5.9461000000000002E-3</v>
          </cell>
          <cell r="AB3">
            <v>1.0370000000000001E-2</v>
          </cell>
          <cell r="AC3">
            <v>1.3814999999999999E-3</v>
          </cell>
          <cell r="AD3">
            <v>2.3361E-2</v>
          </cell>
          <cell r="AE3">
            <v>1.0649E-2</v>
          </cell>
          <cell r="AF3">
            <v>0.10145</v>
          </cell>
          <cell r="AG3">
            <v>0.30706</v>
          </cell>
          <cell r="AH3">
            <v>5.5032999999999999E-2</v>
          </cell>
        </row>
        <row r="7">
          <cell r="D7">
            <v>0.70992</v>
          </cell>
          <cell r="M7">
            <v>12.491602724200002</v>
          </cell>
          <cell r="N7">
            <v>8.1276999999999999E-4</v>
          </cell>
          <cell r="O7">
            <v>0.66998999999999997</v>
          </cell>
          <cell r="P7">
            <v>0.2959</v>
          </cell>
          <cell r="Q7">
            <v>2.5509999999999999E-3</v>
          </cell>
          <cell r="R7">
            <v>1.2449000000000001E-5</v>
          </cell>
          <cell r="S7">
            <v>5.2184999999999997</v>
          </cell>
          <cell r="T7">
            <v>4.2230000000000002E-3</v>
          </cell>
          <cell r="U7">
            <v>1.5693999999999999</v>
          </cell>
          <cell r="V7">
            <v>6.1474999999999995E-4</v>
          </cell>
          <cell r="W7">
            <v>2.9989999999999999E-3</v>
          </cell>
          <cell r="X7">
            <v>1.1035E-4</v>
          </cell>
          <cell r="Y7">
            <v>5.9294000000000001E-8</v>
          </cell>
          <cell r="Z7">
            <v>7.4861999999999997E-4</v>
          </cell>
          <cell r="AA7">
            <v>2.0135999999999999E-3</v>
          </cell>
          <cell r="AB7">
            <v>2.8999999999999998E-3</v>
          </cell>
          <cell r="AC7">
            <v>5.1903000000000001E-5</v>
          </cell>
          <cell r="AD7">
            <v>3.2011000000000002E-4</v>
          </cell>
          <cell r="AE7">
            <v>8.0185999999999994E-5</v>
          </cell>
          <cell r="AF7">
            <v>1.9613999999999999E-2</v>
          </cell>
          <cell r="AG7">
            <v>6.0482000000000001E-2</v>
          </cell>
          <cell r="AH7">
            <v>3.5621E-2</v>
          </cell>
        </row>
        <row r="15">
          <cell r="D15">
            <v>1.7175</v>
          </cell>
          <cell r="M15">
            <v>24.897364580000001</v>
          </cell>
          <cell r="N15">
            <v>0.10059999999999999</v>
          </cell>
          <cell r="O15">
            <v>1.5791999999999999</v>
          </cell>
          <cell r="P15">
            <v>0.47922999999999999</v>
          </cell>
          <cell r="Q15">
            <v>2.6748000000000001E-2</v>
          </cell>
          <cell r="R15">
            <v>9.5542000000000001E-4</v>
          </cell>
          <cell r="S15">
            <v>40.517000000000003</v>
          </cell>
          <cell r="T15">
            <v>0.17491000000000001</v>
          </cell>
          <cell r="U15">
            <v>31.056000000000001</v>
          </cell>
          <cell r="V15">
            <v>1.7336999999999999E-3</v>
          </cell>
          <cell r="W15">
            <v>0.11890000000000001</v>
          </cell>
          <cell r="X15">
            <v>2.1800000000000001E-4</v>
          </cell>
          <cell r="Y15">
            <v>7.3574000000000005E-7</v>
          </cell>
          <cell r="Z15">
            <v>5.6179999999999997E-3</v>
          </cell>
          <cell r="AA15">
            <v>4.7133000000000001E-3</v>
          </cell>
          <cell r="AB15">
            <v>8.9970999999999992E-3</v>
          </cell>
          <cell r="AC15">
            <v>2.1754999999999999E-3</v>
          </cell>
          <cell r="AD15">
            <v>1.6012999999999999E-2</v>
          </cell>
          <cell r="AE15">
            <v>6.0805E-3</v>
          </cell>
          <cell r="AF15">
            <v>7.6143000000000002E-2</v>
          </cell>
          <cell r="AG15">
            <v>0.34482000000000002</v>
          </cell>
          <cell r="AH15">
            <v>6.2978999999999993E-2</v>
          </cell>
        </row>
        <row r="54">
          <cell r="D54">
            <v>1.3996</v>
          </cell>
          <cell r="M54">
            <v>41.582470999999998</v>
          </cell>
          <cell r="N54">
            <v>1.1153999999999999</v>
          </cell>
          <cell r="O54">
            <v>1.2186999999999999</v>
          </cell>
          <cell r="P54">
            <v>0.34281</v>
          </cell>
          <cell r="Q54">
            <v>3.4125999999999997E-2</v>
          </cell>
          <cell r="R54">
            <v>5.6773000000000001E-4</v>
          </cell>
          <cell r="S54">
            <v>16.718</v>
          </cell>
          <cell r="T54">
            <v>8.7052000000000004E-2</v>
          </cell>
          <cell r="U54">
            <v>13.432</v>
          </cell>
          <cell r="V54">
            <v>6.2411999999999997E-3</v>
          </cell>
          <cell r="W54">
            <v>5.4462000000000003E-2</v>
          </cell>
          <cell r="X54">
            <v>1.0508E-3</v>
          </cell>
          <cell r="Y54">
            <v>8.8975000000000001E-8</v>
          </cell>
          <cell r="Z54">
            <v>3.9167000000000004E-3</v>
          </cell>
          <cell r="AA54">
            <v>4.1108999999999998E-3</v>
          </cell>
          <cell r="AB54">
            <v>1.2865E-2</v>
          </cell>
          <cell r="AC54">
            <v>8.2140000000000008E-3</v>
          </cell>
          <cell r="AD54">
            <v>5.9778999999999999E-2</v>
          </cell>
          <cell r="AE54">
            <v>0.37369000000000002</v>
          </cell>
          <cell r="AF54">
            <v>0.34144999999999998</v>
          </cell>
          <cell r="AG54">
            <v>0.16486999999999999</v>
          </cell>
          <cell r="AH54">
            <v>4.3631999999999997E-2</v>
          </cell>
        </row>
        <row r="70">
          <cell r="D70">
            <v>1.5629999999999999</v>
          </cell>
          <cell r="M70">
            <v>63.38563059749</v>
          </cell>
          <cell r="N70">
            <v>1.5656000000000001E-4</v>
          </cell>
          <cell r="O70">
            <v>1.2816000000000001</v>
          </cell>
          <cell r="P70">
            <v>1.4734</v>
          </cell>
          <cell r="Q70">
            <v>8.8509999999999999E-4</v>
          </cell>
          <cell r="R70">
            <v>1.0322999999999999E-5</v>
          </cell>
          <cell r="S70">
            <v>0.51432999999999995</v>
          </cell>
          <cell r="T70">
            <v>1.3212E-4</v>
          </cell>
          <cell r="U70">
            <v>1.3217000000000001</v>
          </cell>
          <cell r="V70">
            <v>8.1298999999999998E-4</v>
          </cell>
          <cell r="W70">
            <v>7.4337999999999997E-4</v>
          </cell>
          <cell r="X70">
            <v>-1.5176E-7</v>
          </cell>
          <cell r="Y70">
            <v>4.1551E-10</v>
          </cell>
          <cell r="Z70">
            <v>1.1823999999999999E-3</v>
          </cell>
          <cell r="AA70">
            <v>4.3651999999999996E-3</v>
          </cell>
          <cell r="AB70">
            <v>3.7518999999999999E-3</v>
          </cell>
          <cell r="AC70">
            <v>2.2647999999999999E-4</v>
          </cell>
          <cell r="AD70">
            <v>7.6984999999999996E-5</v>
          </cell>
          <cell r="AE70">
            <v>2.1481000000000001E-4</v>
          </cell>
          <cell r="AF70">
            <v>3.5371E-2</v>
          </cell>
          <cell r="AG70">
            <v>5.1270000000000003E-2</v>
          </cell>
          <cell r="AH70">
            <v>0.17671999999999999</v>
          </cell>
        </row>
        <row r="73">
          <cell r="D73">
            <v>5.0880999999999998</v>
          </cell>
          <cell r="M73">
            <v>58.626239200000001</v>
          </cell>
          <cell r="N73">
            <v>0.17121</v>
          </cell>
          <cell r="O73">
            <v>4.6314000000000002</v>
          </cell>
          <cell r="P73">
            <v>1.1948000000000001</v>
          </cell>
          <cell r="Q73">
            <v>0.19231000000000001</v>
          </cell>
          <cell r="R73">
            <v>5.6892000000000002E-3</v>
          </cell>
          <cell r="S73">
            <v>406.25</v>
          </cell>
          <cell r="T73">
            <v>0.17197999999999999</v>
          </cell>
          <cell r="U73">
            <v>235.69</v>
          </cell>
          <cell r="V73">
            <v>8.6817999999999999E-3</v>
          </cell>
          <cell r="W73">
            <v>2.7267000000000001</v>
          </cell>
          <cell r="X73">
            <v>6.9832E-4</v>
          </cell>
          <cell r="Y73">
            <v>2.0142000000000001E-7</v>
          </cell>
          <cell r="Z73">
            <v>1.9768000000000001E-2</v>
          </cell>
          <cell r="AA73">
            <v>2.4782999999999999E-2</v>
          </cell>
          <cell r="AB73">
            <v>5.2720000000000003E-2</v>
          </cell>
          <cell r="AC73">
            <v>6.9123000000000004E-2</v>
          </cell>
          <cell r="AD73">
            <v>5.5924000000000001E-2</v>
          </cell>
          <cell r="AE73">
            <v>7.2290999999999994E-2</v>
          </cell>
          <cell r="AF73">
            <v>0.31942999999999999</v>
          </cell>
          <cell r="AG73">
            <v>2.9803999999999999</v>
          </cell>
          <cell r="AH73">
            <v>0.26987</v>
          </cell>
        </row>
        <row r="74">
          <cell r="D74">
            <v>1.7427E-3</v>
          </cell>
          <cell r="M74">
            <v>2.3977627160000001E-2</v>
          </cell>
          <cell r="N74">
            <v>8.0226000000000001E-5</v>
          </cell>
          <cell r="O74">
            <v>1.603E-3</v>
          </cell>
          <cell r="P74">
            <v>4.6108999999999999E-4</v>
          </cell>
          <cell r="Q74">
            <v>2.4029E-5</v>
          </cell>
          <cell r="R74">
            <v>8.5155000000000003E-7</v>
          </cell>
          <cell r="S74">
            <v>3.1862000000000001E-2</v>
          </cell>
          <cell r="T74">
            <v>1.739E-4</v>
          </cell>
          <cell r="U74">
            <v>2.7362999999999998E-2</v>
          </cell>
          <cell r="V74">
            <v>1.7167E-6</v>
          </cell>
          <cell r="W74">
            <v>1.1456E-4</v>
          </cell>
          <cell r="X74">
            <v>2.2113E-7</v>
          </cell>
          <cell r="Y74">
            <v>7.3037000000000003E-10</v>
          </cell>
          <cell r="Z74">
            <v>5.7030000000000003E-6</v>
          </cell>
          <cell r="AA74">
            <v>4.9044E-6</v>
          </cell>
          <cell r="AB74">
            <v>8.8248000000000006E-6</v>
          </cell>
          <cell r="AC74">
            <v>1.4250999999999999E-6</v>
          </cell>
          <cell r="AD74">
            <v>1.5262000000000001E-5</v>
          </cell>
          <cell r="AE74">
            <v>1.3097E-3</v>
          </cell>
          <cell r="AF74">
            <v>7.5106999999999998E-5</v>
          </cell>
          <cell r="AG74">
            <v>2.8687E-4</v>
          </cell>
          <cell r="AH74">
            <v>6.0606000000000002E-5</v>
          </cell>
        </row>
        <row r="75">
          <cell r="D75">
            <v>2.8612000000000002</v>
          </cell>
          <cell r="M75">
            <v>77.822580110000004</v>
          </cell>
          <cell r="N75">
            <v>0.11645</v>
          </cell>
          <cell r="O75">
            <v>2.5897999999999999</v>
          </cell>
          <cell r="P75">
            <v>1.7415</v>
          </cell>
          <cell r="Q75">
            <v>3.6441000000000001E-2</v>
          </cell>
          <cell r="R75">
            <v>9.8305000000000007E-4</v>
          </cell>
          <cell r="S75">
            <v>59.360999999999997</v>
          </cell>
          <cell r="T75">
            <v>0.25631999999999999</v>
          </cell>
          <cell r="U75">
            <v>38.563000000000002</v>
          </cell>
          <cell r="V75">
            <v>1.2496999999999999E-2</v>
          </cell>
          <cell r="W75">
            <v>0.16675999999999999</v>
          </cell>
          <cell r="X75">
            <v>1.0935000000000001E-3</v>
          </cell>
          <cell r="Y75">
            <v>5.2045000000000003E-7</v>
          </cell>
          <cell r="Z75">
            <v>7.2179000000000002E-3</v>
          </cell>
          <cell r="AA75">
            <v>8.7553000000000006E-3</v>
          </cell>
          <cell r="AB75">
            <v>1.839E-2</v>
          </cell>
          <cell r="AC75">
            <v>1.839E-2</v>
          </cell>
          <cell r="AD75">
            <v>2.2100999999999999E-2</v>
          </cell>
          <cell r="AE75">
            <v>7.7352999999999996E-3</v>
          </cell>
          <cell r="AF75">
            <v>0.11523</v>
          </cell>
          <cell r="AG75">
            <v>0.51175000000000004</v>
          </cell>
          <cell r="AH75">
            <v>0.21654000000000001</v>
          </cell>
        </row>
        <row r="76">
          <cell r="D76">
            <v>1.8261000000000001</v>
          </cell>
          <cell r="M76">
            <v>60.361123550000002</v>
          </cell>
          <cell r="N76">
            <v>3.6722999999999999E-2</v>
          </cell>
          <cell r="O76">
            <v>1.591</v>
          </cell>
          <cell r="P76">
            <v>1.3815</v>
          </cell>
          <cell r="Q76">
            <v>9.2759999999999995E-3</v>
          </cell>
          <cell r="R76">
            <v>2.6277000000000001E-4</v>
          </cell>
          <cell r="S76">
            <v>15.288</v>
          </cell>
          <cell r="T76">
            <v>3.6873999999999997E-2</v>
          </cell>
          <cell r="U76">
            <v>11.382999999999999</v>
          </cell>
          <cell r="V76">
            <v>1.1186E-3</v>
          </cell>
          <cell r="W76">
            <v>6.4592999999999998E-2</v>
          </cell>
          <cell r="X76">
            <v>1.4709E-4</v>
          </cell>
          <cell r="Y76">
            <v>6.472E-8</v>
          </cell>
          <cell r="Z76">
            <v>2.4101000000000001E-3</v>
          </cell>
          <cell r="AA76">
            <v>7.8647999999999999E-3</v>
          </cell>
          <cell r="AB76">
            <v>6.7625999999999997E-3</v>
          </cell>
          <cell r="AC76">
            <v>5.2406999999999996E-4</v>
          </cell>
          <cell r="AD76">
            <v>5.2075000000000003E-3</v>
          </cell>
          <cell r="AE76">
            <v>4.2263999999999999E-3</v>
          </cell>
          <cell r="AF76">
            <v>5.4866999999999999E-2</v>
          </cell>
          <cell r="AG76">
            <v>0.16566</v>
          </cell>
          <cell r="AH76">
            <v>0.16864999999999999</v>
          </cell>
        </row>
        <row r="103">
          <cell r="D103">
            <v>5.4259E-3</v>
          </cell>
          <cell r="M103">
            <v>0.17365606929999999</v>
          </cell>
          <cell r="N103">
            <v>2.8051999999999998E-4</v>
          </cell>
          <cell r="O103">
            <v>5.1062E-3</v>
          </cell>
          <cell r="P103">
            <v>4.0477000000000004E-3</v>
          </cell>
          <cell r="Q103">
            <v>2.4984999999999999E-5</v>
          </cell>
          <cell r="R103">
            <v>6.018E-7</v>
          </cell>
          <cell r="S103">
            <v>3.8490000000000003E-2</v>
          </cell>
          <cell r="T103">
            <v>7.4255000000000002E-4</v>
          </cell>
          <cell r="U103">
            <v>2.7300999999999999E-2</v>
          </cell>
          <cell r="V103">
            <v>1.7286999999999999E-5</v>
          </cell>
          <cell r="W103">
            <v>2.1064E-4</v>
          </cell>
          <cell r="X103">
            <v>-3.9805999999999998E-5</v>
          </cell>
          <cell r="Y103">
            <v>1.908E-9</v>
          </cell>
          <cell r="Z103">
            <v>1.8263000000000001E-5</v>
          </cell>
          <cell r="AA103">
            <v>5.5226000000000003E-5</v>
          </cell>
          <cell r="AB103">
            <v>4.6202000000000003E-5</v>
          </cell>
          <cell r="AC103">
            <v>5.57E-6</v>
          </cell>
          <cell r="AD103">
            <v>1.0223000000000001E-3</v>
          </cell>
          <cell r="AE103">
            <v>7.3827999999999999E-6</v>
          </cell>
          <cell r="AF103">
            <v>4.1576999999999999E-4</v>
          </cell>
          <cell r="AG103">
            <v>4.8026999999999998E-4</v>
          </cell>
          <cell r="AH103">
            <v>4.9516000000000002E-4</v>
          </cell>
        </row>
      </sheetData>
      <sheetData sheetId="1" refreshError="1"/>
      <sheetData sheetId="2" refreshError="1"/>
      <sheetData sheetId="3" refreshError="1"/>
      <sheetData sheetId="4" refreshError="1">
        <row r="15">
          <cell r="D15">
            <v>0</v>
          </cell>
          <cell r="M15">
            <v>0</v>
          </cell>
          <cell r="N15"/>
          <cell r="O15"/>
          <cell r="P15"/>
          <cell r="Q15">
            <v>1.0511520897095683E-5</v>
          </cell>
          <cell r="R15"/>
          <cell r="S15">
            <v>1.4366951661669828E-2</v>
          </cell>
          <cell r="T15"/>
          <cell r="U15">
            <v>1.7867815068253627E-5</v>
          </cell>
          <cell r="V15"/>
          <cell r="W15"/>
          <cell r="X15"/>
          <cell r="Y15"/>
          <cell r="Z15"/>
          <cell r="AA15">
            <v>0.67398648648648651</v>
          </cell>
          <cell r="AB15"/>
          <cell r="AC15">
            <v>3.7179897031113646E-5</v>
          </cell>
          <cell r="AD15"/>
          <cell r="AE15"/>
          <cell r="AF15">
            <v>8.1614583487299999E-6</v>
          </cell>
          <cell r="AG15">
            <v>3.5455940620700001E-4</v>
          </cell>
          <cell r="AH15"/>
        </row>
        <row r="23">
          <cell r="D23">
            <v>0</v>
          </cell>
          <cell r="M23">
            <v>0</v>
          </cell>
          <cell r="N23"/>
          <cell r="O23"/>
          <cell r="P23"/>
          <cell r="Q23"/>
          <cell r="R23"/>
          <cell r="S23"/>
          <cell r="T23"/>
          <cell r="U23"/>
          <cell r="V23"/>
          <cell r="W23"/>
          <cell r="X23"/>
          <cell r="Y23"/>
          <cell r="Z23"/>
          <cell r="AA23"/>
          <cell r="AB23"/>
          <cell r="AC23"/>
          <cell r="AD23"/>
          <cell r="AE23"/>
          <cell r="AF23"/>
          <cell r="AG23"/>
          <cell r="AH23"/>
        </row>
        <row r="24">
          <cell r="D24">
            <v>0</v>
          </cell>
          <cell r="M24">
            <v>0</v>
          </cell>
          <cell r="N24"/>
          <cell r="O24"/>
          <cell r="P24"/>
          <cell r="Q24"/>
          <cell r="R24"/>
          <cell r="S24"/>
          <cell r="T24"/>
          <cell r="U24"/>
          <cell r="V24"/>
          <cell r="W24"/>
          <cell r="X24"/>
          <cell r="Y24"/>
          <cell r="Z24"/>
          <cell r="AA24">
            <v>0.3175675675675676</v>
          </cell>
          <cell r="AB24"/>
          <cell r="AC24"/>
          <cell r="AD24"/>
          <cell r="AE24"/>
          <cell r="AF24"/>
          <cell r="AG24">
            <v>1.20830586684E-4</v>
          </cell>
          <cell r="AH24"/>
        </row>
        <row r="25">
          <cell r="D25">
            <v>0</v>
          </cell>
          <cell r="M25">
            <v>0</v>
          </cell>
          <cell r="N25"/>
          <cell r="O25"/>
          <cell r="P25"/>
          <cell r="Q25">
            <v>1.8285430284917717E-5</v>
          </cell>
          <cell r="R25"/>
          <cell r="S25">
            <v>0.14896775129815301</v>
          </cell>
          <cell r="T25"/>
          <cell r="U25">
            <v>7.4567515026773893E-5</v>
          </cell>
          <cell r="V25"/>
          <cell r="W25"/>
          <cell r="X25"/>
          <cell r="Y25"/>
          <cell r="Z25"/>
          <cell r="AA25">
            <v>0.1587837837837838</v>
          </cell>
          <cell r="AB25"/>
          <cell r="AC25">
            <v>3.0347324622674447E-5</v>
          </cell>
          <cell r="AD25"/>
          <cell r="AE25"/>
          <cell r="AF25">
            <v>6.6891399295099997E-6</v>
          </cell>
          <cell r="AG25">
            <v>1.0777560339100001E-3</v>
          </cell>
          <cell r="AH25"/>
        </row>
        <row r="26">
          <cell r="D26">
            <v>0</v>
          </cell>
          <cell r="M26">
            <v>0</v>
          </cell>
          <cell r="N26"/>
          <cell r="O26"/>
          <cell r="P26"/>
          <cell r="Q26">
            <v>5.5239331204532241E-6</v>
          </cell>
          <cell r="R26"/>
          <cell r="S26"/>
          <cell r="T26"/>
          <cell r="U26">
            <v>3.2144404879240416E-7</v>
          </cell>
          <cell r="V26"/>
          <cell r="W26"/>
          <cell r="X26"/>
          <cell r="Y26"/>
          <cell r="Z26"/>
          <cell r="AA26"/>
          <cell r="AB26"/>
          <cell r="AC26">
            <v>1.3004211950132588E-4</v>
          </cell>
          <cell r="AD26"/>
          <cell r="AE26"/>
          <cell r="AF26"/>
          <cell r="AG26"/>
          <cell r="AH26"/>
        </row>
        <row r="27">
          <cell r="D27">
            <v>0</v>
          </cell>
          <cell r="M27">
            <v>0</v>
          </cell>
          <cell r="N27"/>
          <cell r="O27"/>
          <cell r="P27"/>
          <cell r="Q27">
            <v>7.5601659477170543E-8</v>
          </cell>
          <cell r="R27"/>
          <cell r="S27">
            <v>2.347224946933776</v>
          </cell>
          <cell r="T27"/>
          <cell r="U27">
            <v>1.0183648025892004E-6</v>
          </cell>
          <cell r="V27"/>
          <cell r="W27"/>
          <cell r="X27"/>
          <cell r="Y27"/>
          <cell r="Z27"/>
          <cell r="AA27"/>
          <cell r="AB27"/>
          <cell r="AC27">
            <v>1.2722639344855543E-7</v>
          </cell>
          <cell r="AD27"/>
          <cell r="AE27"/>
          <cell r="AF27"/>
          <cell r="AG27">
            <v>2.4808833223500002E-4</v>
          </cell>
          <cell r="AH27"/>
        </row>
        <row r="28">
          <cell r="D28">
            <v>0</v>
          </cell>
          <cell r="M28">
            <v>0</v>
          </cell>
          <cell r="N28"/>
          <cell r="O28"/>
          <cell r="P28"/>
          <cell r="Q28"/>
          <cell r="R28"/>
          <cell r="S28"/>
          <cell r="T28"/>
          <cell r="U28"/>
          <cell r="V28"/>
          <cell r="W28"/>
          <cell r="X28"/>
          <cell r="Y28"/>
          <cell r="Z28"/>
          <cell r="AA28"/>
          <cell r="AB28"/>
          <cell r="AC28"/>
          <cell r="AD28"/>
          <cell r="AE28"/>
          <cell r="AF28"/>
          <cell r="AG28"/>
          <cell r="AH28"/>
        </row>
        <row r="29">
          <cell r="D29">
            <v>0</v>
          </cell>
          <cell r="M29">
            <v>0</v>
          </cell>
          <cell r="N29"/>
          <cell r="O29"/>
          <cell r="P29"/>
          <cell r="Q29">
            <v>1.1751080598935332E-5</v>
          </cell>
          <cell r="R29"/>
          <cell r="S29">
            <v>0.81953289431067988</v>
          </cell>
          <cell r="T29"/>
          <cell r="U29">
            <v>9.0730455974452539E-5</v>
          </cell>
          <cell r="V29"/>
          <cell r="W29"/>
          <cell r="X29"/>
          <cell r="Y29"/>
          <cell r="Z29"/>
          <cell r="AA29">
            <v>1.0760135135135136</v>
          </cell>
          <cell r="AB29"/>
          <cell r="AC29">
            <v>1.3507404621151019E-5</v>
          </cell>
          <cell r="AD29"/>
          <cell r="AE29"/>
          <cell r="AF29">
            <v>2.9965569184499998E-6</v>
          </cell>
          <cell r="AG29">
            <v>6.0062200297099997E-3</v>
          </cell>
          <cell r="AH29"/>
        </row>
        <row r="30">
          <cell r="D30">
            <v>0</v>
          </cell>
          <cell r="M30">
            <v>0</v>
          </cell>
          <cell r="N30"/>
          <cell r="O30"/>
          <cell r="P30"/>
          <cell r="Q30">
            <v>1.7003303175320737E-4</v>
          </cell>
          <cell r="R30"/>
          <cell r="S30">
            <v>0.47081152258220021</v>
          </cell>
          <cell r="T30"/>
          <cell r="U30">
            <v>1.7402003843569559E-3</v>
          </cell>
          <cell r="V30"/>
          <cell r="W30"/>
          <cell r="X30"/>
          <cell r="Y30"/>
          <cell r="Z30"/>
          <cell r="AA30"/>
          <cell r="AB30"/>
          <cell r="AC30">
            <v>3.7040677832114982E-4</v>
          </cell>
          <cell r="AD30"/>
          <cell r="AE30"/>
          <cell r="AF30">
            <v>8.1790920700099996E-5</v>
          </cell>
          <cell r="AG30">
            <v>3.2152982030000002E-3</v>
          </cell>
          <cell r="AH30"/>
        </row>
        <row r="31">
          <cell r="D31">
            <v>0</v>
          </cell>
          <cell r="M31">
            <v>0</v>
          </cell>
          <cell r="N31"/>
          <cell r="O31"/>
          <cell r="P31"/>
          <cell r="Q31">
            <v>7.2393455475090209E-4</v>
          </cell>
          <cell r="R31"/>
          <cell r="S31"/>
          <cell r="T31"/>
          <cell r="U31">
            <v>8.2456497860484632E-3</v>
          </cell>
          <cell r="V31"/>
          <cell r="W31"/>
          <cell r="X31"/>
          <cell r="Y31"/>
          <cell r="Z31"/>
          <cell r="AA31"/>
          <cell r="AB31"/>
          <cell r="AC31">
            <v>4.2877556391883285E-4</v>
          </cell>
          <cell r="AD31"/>
          <cell r="AE31"/>
          <cell r="AF31"/>
          <cell r="AG31"/>
          <cell r="AH31"/>
        </row>
      </sheetData>
      <sheetData sheetId="5" refreshError="1">
        <row r="3">
          <cell r="D3">
            <v>0.6900927939999999</v>
          </cell>
        </row>
        <row r="4">
          <cell r="D4">
            <v>4.5641478346943822</v>
          </cell>
        </row>
        <row r="5">
          <cell r="D5">
            <v>161.5361359123435</v>
          </cell>
        </row>
        <row r="6">
          <cell r="D6">
            <v>1.816623717028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bI2"/>
      <sheetName val="CH3NH3I"/>
      <sheetName val="FTO glass"/>
      <sheetName val="ITO glass"/>
      <sheetName val="BL-TiO2 ink"/>
      <sheetName val="spiro-OMeTAD"/>
      <sheetName val="C60"/>
      <sheetName val="PCBM_old"/>
      <sheetName val="PCBM_new"/>
      <sheetName val="PCBM"/>
      <sheetName val="Thiophene"/>
      <sheetName val="PEDOT PSS"/>
    </sheetNames>
    <sheetDataSet>
      <sheetData sheetId="0">
        <row r="18">
          <cell r="D18">
            <v>4.5641478346943822</v>
          </cell>
          <cell r="M18">
            <v>54.273073573167295</v>
          </cell>
          <cell r="N18">
            <v>1.0468647769178421</v>
          </cell>
          <cell r="O18">
            <v>3.8979307535263539</v>
          </cell>
          <cell r="P18">
            <v>1.0346162212323682</v>
          </cell>
          <cell r="Q18">
            <v>7.1263336550358825E-2</v>
          </cell>
          <cell r="R18">
            <v>1.9784839253897545E-3</v>
          </cell>
          <cell r="S18">
            <v>155.93446269487751</v>
          </cell>
          <cell r="T18">
            <v>0.19160131588715665</v>
          </cell>
          <cell r="U18">
            <v>78.202403056174219</v>
          </cell>
          <cell r="V18">
            <v>5.15849037985647E-3</v>
          </cell>
          <cell r="W18">
            <v>0.63220118225686706</v>
          </cell>
          <cell r="X18">
            <v>6.6310885300668149E-4</v>
          </cell>
          <cell r="Y18">
            <v>4.462579856471171E-7</v>
          </cell>
          <cell r="Z18">
            <v>1.1047205555555552E-2</v>
          </cell>
          <cell r="AA18">
            <v>1.554942625587726E-2</v>
          </cell>
          <cell r="AB18">
            <v>3.125296795347686E-2</v>
          </cell>
          <cell r="AC18">
            <v>5.3766239785944065E-3</v>
          </cell>
          <cell r="AD18">
            <v>4.0204006328878987E-2</v>
          </cell>
          <cell r="AE18">
            <v>1.1739803605543183E-2</v>
          </cell>
          <cell r="AF18">
            <v>0.19118482430091563</v>
          </cell>
          <cell r="AG18">
            <v>1.2205381316505814</v>
          </cell>
          <cell r="AH18">
            <v>0.15340474263796092</v>
          </cell>
        </row>
      </sheetData>
      <sheetData sheetId="1">
        <row r="17">
          <cell r="D17">
            <v>161.5361359123435</v>
          </cell>
          <cell r="M17">
            <v>3431.2608150330084</v>
          </cell>
          <cell r="N17">
            <v>16.135752796779965</v>
          </cell>
          <cell r="O17">
            <v>147.82446722719141</v>
          </cell>
          <cell r="P17">
            <v>68.175556314847952</v>
          </cell>
          <cell r="Q17">
            <v>5.572385187119858</v>
          </cell>
          <cell r="R17">
            <v>0.13118079564400717</v>
          </cell>
          <cell r="S17">
            <v>6537.4459293381042</v>
          </cell>
          <cell r="T17">
            <v>15.803840549194994</v>
          </cell>
          <cell r="U17">
            <v>4972.9006245080509</v>
          </cell>
          <cell r="V17">
            <v>0.2099851833631485</v>
          </cell>
          <cell r="W17">
            <v>11.809114722719142</v>
          </cell>
          <cell r="X17">
            <v>3.1179799194991059E-2</v>
          </cell>
          <cell r="Y17">
            <v>5.3447523288014325E-5</v>
          </cell>
          <cell r="Z17">
            <v>0.48246033041144909</v>
          </cell>
          <cell r="AA17">
            <v>0.64966431082289811</v>
          </cell>
          <cell r="AB17">
            <v>1.2243395606440073</v>
          </cell>
          <cell r="AC17">
            <v>0.23228549325581402</v>
          </cell>
          <cell r="AD17">
            <v>2.2316178839892671</v>
          </cell>
          <cell r="AE17">
            <v>2.8985800698926663</v>
          </cell>
          <cell r="AF17">
            <v>9.2571725205724515</v>
          </cell>
          <cell r="AG17">
            <v>51.018806940966016</v>
          </cell>
          <cell r="AH17">
            <v>8.7229145447227197</v>
          </cell>
        </row>
      </sheetData>
      <sheetData sheetId="2">
        <row r="41">
          <cell r="D41">
            <v>0.6900927939999999</v>
          </cell>
          <cell r="M41">
            <v>16.870840664507959</v>
          </cell>
          <cell r="N41">
            <v>1.2304100629300001</v>
          </cell>
          <cell r="O41">
            <v>0.71155339899999992</v>
          </cell>
          <cell r="P41">
            <v>0.16598633829999998</v>
          </cell>
          <cell r="Q41">
            <v>1.9207721611635292E-2</v>
          </cell>
          <cell r="R41">
            <v>4.0224563808999997E-4</v>
          </cell>
          <cell r="S41">
            <v>24.778602629582721</v>
          </cell>
          <cell r="T41">
            <v>4.3648278519999993E-2</v>
          </cell>
          <cell r="U41">
            <v>17.545004398641137</v>
          </cell>
          <cell r="V41">
            <v>2.1058137381999996E-3</v>
          </cell>
          <cell r="W41">
            <v>7.485683762029999</v>
          </cell>
          <cell r="X41">
            <v>5.2843976053999992E-4</v>
          </cell>
          <cell r="Y41">
            <v>4.481888471999999E-8</v>
          </cell>
          <cell r="Z41">
            <v>6.2016636211999999E-3</v>
          </cell>
          <cell r="AA41">
            <v>9.5497049174216204E-3</v>
          </cell>
          <cell r="AB41">
            <v>1.2424807466E-2</v>
          </cell>
          <cell r="AC41">
            <v>1.4737965990842938E-3</v>
          </cell>
          <cell r="AD41">
            <v>2.9310167130999997E-2</v>
          </cell>
          <cell r="AE41">
            <v>1.5347061815999996E-3</v>
          </cell>
          <cell r="AF41">
            <v>0.10118733074544357</v>
          </cell>
          <cell r="AG41">
            <v>0.20367506328805784</v>
          </cell>
          <cell r="AH41">
            <v>0.36744772991999997</v>
          </cell>
        </row>
      </sheetData>
      <sheetData sheetId="3">
        <row r="14">
          <cell r="D14">
            <v>16.837863429999999</v>
          </cell>
        </row>
      </sheetData>
      <sheetData sheetId="4">
        <row r="14">
          <cell r="D14">
            <v>1.816623717028</v>
          </cell>
          <cell r="M14">
            <v>49.235883967569862</v>
          </cell>
          <cell r="N14">
            <v>1.031942146719008</v>
          </cell>
          <cell r="O14">
            <v>1.571679025116</v>
          </cell>
          <cell r="P14">
            <v>0.56452762463599993</v>
          </cell>
          <cell r="Q14">
            <v>3.6490840867999995E-2</v>
          </cell>
          <cell r="R14">
            <v>6.7762399148959987E-4</v>
          </cell>
          <cell r="S14">
            <v>22.165093164199998</v>
          </cell>
          <cell r="T14">
            <v>0.1099822682052</v>
          </cell>
          <cell r="U14">
            <v>18.255521079160001</v>
          </cell>
          <cell r="V14">
            <v>6.0900339802000001E-3</v>
          </cell>
          <cell r="W14">
            <v>6.8993196383600006E-2</v>
          </cell>
          <cell r="X14">
            <v>1.068494039446E-3</v>
          </cell>
          <cell r="Y14">
            <v>1.435786231096E-7</v>
          </cell>
          <cell r="Z14">
            <v>4.5740298416480007E-3</v>
          </cell>
          <cell r="AA14">
            <v>5.7932781494399992E-3</v>
          </cell>
          <cell r="AB14">
            <v>1.4153469894000001E-2</v>
          </cell>
          <cell r="AC14">
            <v>7.7372104642912014E-3</v>
          </cell>
          <cell r="AD14">
            <v>5.9085341149744001E-2</v>
          </cell>
          <cell r="AE14">
            <v>0.34168602040953444</v>
          </cell>
          <cell r="AF14">
            <v>0.32895532035960001</v>
          </cell>
          <cell r="AG14">
            <v>0.21573273067080001</v>
          </cell>
          <cell r="AH14">
            <v>7.1616409671400011E-2</v>
          </cell>
        </row>
      </sheetData>
      <sheetData sheetId="5">
        <row r="33">
          <cell r="D33">
            <v>121.5468471027569</v>
          </cell>
        </row>
      </sheetData>
      <sheetData sheetId="6"/>
      <sheetData sheetId="7"/>
      <sheetData sheetId="8">
        <row r="16">
          <cell r="D16">
            <v>681.91697298744145</v>
          </cell>
        </row>
      </sheetData>
      <sheetData sheetId="9" refreshError="1"/>
      <sheetData sheetId="10" refreshError="1"/>
      <sheetData sheetId="1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ion"/>
      <sheetName val="production-alphabetical"/>
      <sheetName val="production-alphabetical (2)"/>
      <sheetName val="production-alphabetical (3)"/>
      <sheetName val="direct emissions"/>
      <sheetName val="Jian's"/>
    </sheetNames>
    <sheetDataSet>
      <sheetData sheetId="0">
        <row r="3">
          <cell r="D3">
            <v>2.4752999999999998</v>
          </cell>
        </row>
        <row r="46">
          <cell r="D46">
            <v>2.6876000000000002</v>
          </cell>
          <cell r="M46">
            <v>40.380196750000003</v>
          </cell>
          <cell r="N46">
            <v>0.14061999999999999</v>
          </cell>
          <cell r="O46">
            <v>2.4859</v>
          </cell>
          <cell r="P46">
            <v>0.71387</v>
          </cell>
          <cell r="Q46">
            <v>3.5333999999999997E-2</v>
          </cell>
          <cell r="R46">
            <v>1.4566E-3</v>
          </cell>
          <cell r="S46">
            <v>46.789000000000001</v>
          </cell>
          <cell r="T46">
            <v>0.41410999999999998</v>
          </cell>
          <cell r="U46">
            <v>40.326999999999998</v>
          </cell>
          <cell r="V46">
            <v>2.4256999999999998E-3</v>
          </cell>
          <cell r="W46">
            <v>3.2414999999999999E-2</v>
          </cell>
          <cell r="X46">
            <v>2.9548999999999998E-4</v>
          </cell>
          <cell r="Y46">
            <v>1.4875000000000001E-7</v>
          </cell>
          <cell r="Z46">
            <v>8.3315000000000004E-3</v>
          </cell>
          <cell r="AA46">
            <v>6.6281999999999999E-3</v>
          </cell>
          <cell r="AB46">
            <v>1.3127E-2</v>
          </cell>
          <cell r="AC46">
            <v>8.9937000000000003E-4</v>
          </cell>
          <cell r="AD46">
            <v>1.5989E-2</v>
          </cell>
          <cell r="AE46">
            <v>1.0525E-2</v>
          </cell>
          <cell r="AF46">
            <v>0.10639</v>
          </cell>
          <cell r="AG46">
            <v>0.42542000000000002</v>
          </cell>
          <cell r="AH46">
            <v>8.7106000000000003E-2</v>
          </cell>
        </row>
        <row r="67">
          <cell r="D67">
            <v>2.3182999999999998</v>
          </cell>
          <cell r="M67">
            <v>67.359827543199998</v>
          </cell>
          <cell r="N67">
            <v>3.815E-4</v>
          </cell>
          <cell r="O67">
            <v>1.9301999999999999</v>
          </cell>
          <cell r="P67">
            <v>1.5439000000000001</v>
          </cell>
          <cell r="Q67">
            <v>1.6306999999999999E-2</v>
          </cell>
          <cell r="R67">
            <v>1.5555000000000001E-4</v>
          </cell>
          <cell r="S67">
            <v>1.0630999999999999</v>
          </cell>
          <cell r="T67">
            <v>3.0912000000000002E-4</v>
          </cell>
          <cell r="U67">
            <v>2.0948000000000002</v>
          </cell>
          <cell r="V67">
            <v>1.8067000000000001E-3</v>
          </cell>
          <cell r="W67">
            <v>1.2439E-3</v>
          </cell>
          <cell r="X67">
            <v>-1.8767000000000001E-7</v>
          </cell>
          <cell r="Y67">
            <v>9.5567000000000007E-10</v>
          </cell>
          <cell r="Z67">
            <v>2.7970999999999998E-3</v>
          </cell>
          <cell r="AA67">
            <v>9.0612999999999996E-3</v>
          </cell>
          <cell r="AB67">
            <v>1.0168E-2</v>
          </cell>
          <cell r="AC67">
            <v>1.794E-4</v>
          </cell>
          <cell r="AD67">
            <v>1.6490999999999999E-4</v>
          </cell>
          <cell r="AE67">
            <v>1.3814E-4</v>
          </cell>
          <cell r="AF67">
            <v>5.3408999999999998E-2</v>
          </cell>
          <cell r="AG67">
            <v>8.3083000000000004E-2</v>
          </cell>
          <cell r="AH67">
            <v>0.1852</v>
          </cell>
        </row>
        <row r="91">
          <cell r="D91">
            <v>1.1845000000000001</v>
          </cell>
          <cell r="M91">
            <v>16.137803399999999</v>
          </cell>
          <cell r="N91">
            <v>4.6581999999999998E-2</v>
          </cell>
          <cell r="O91">
            <v>1.0933999999999999</v>
          </cell>
          <cell r="P91">
            <v>0.30948999999999999</v>
          </cell>
          <cell r="Q91">
            <v>1.4300999999999999E-2</v>
          </cell>
          <cell r="R91">
            <v>5.8091999999999996E-4</v>
          </cell>
          <cell r="S91">
            <v>19.337</v>
          </cell>
          <cell r="T91">
            <v>0.12024</v>
          </cell>
          <cell r="U91">
            <v>16.533999999999999</v>
          </cell>
          <cell r="V91">
            <v>1.0808E-3</v>
          </cell>
          <cell r="W91">
            <v>1.2095E-2</v>
          </cell>
          <cell r="X91">
            <v>1.2846E-4</v>
          </cell>
          <cell r="Y91">
            <v>5.3706999999999999E-8</v>
          </cell>
          <cell r="Z91">
            <v>3.9915000000000003E-3</v>
          </cell>
          <cell r="AA91">
            <v>2.9899000000000002E-3</v>
          </cell>
          <cell r="AB91">
            <v>5.8507000000000003E-3</v>
          </cell>
          <cell r="AC91">
            <v>3.7492999999999999E-4</v>
          </cell>
          <cell r="AD91">
            <v>7.1199999999999996E-3</v>
          </cell>
          <cell r="AE91">
            <v>4.3444E-3</v>
          </cell>
          <cell r="AF91">
            <v>4.5281000000000002E-2</v>
          </cell>
          <cell r="AG91">
            <v>0.17960000000000001</v>
          </cell>
          <cell r="AH91">
            <v>3.7673999999999999E-2</v>
          </cell>
        </row>
        <row r="133">
          <cell r="D133">
            <v>5.0429000000000004</v>
          </cell>
          <cell r="M133">
            <v>72.516837530000004</v>
          </cell>
          <cell r="N133">
            <v>0.36879000000000001</v>
          </cell>
          <cell r="O133">
            <v>4.6026999999999996</v>
          </cell>
          <cell r="P133">
            <v>1.3364</v>
          </cell>
          <cell r="Q133">
            <v>4.9623999999999997</v>
          </cell>
          <cell r="R133">
            <v>0.1462</v>
          </cell>
          <cell r="S133">
            <v>12489</v>
          </cell>
          <cell r="T133">
            <v>0.46650000000000003</v>
          </cell>
          <cell r="U133">
            <v>6530.1</v>
          </cell>
          <cell r="V133">
            <v>3.0044000000000001E-2</v>
          </cell>
          <cell r="W133">
            <v>47.875</v>
          </cell>
          <cell r="X133">
            <v>1.9903999999999998E-3</v>
          </cell>
          <cell r="Y133">
            <v>3.0008000000000002E-7</v>
          </cell>
          <cell r="Z133">
            <v>0.14541000000000001</v>
          </cell>
          <cell r="AA133">
            <v>9.3449000000000004E-2</v>
          </cell>
          <cell r="AB133">
            <v>0.48734</v>
          </cell>
          <cell r="AC133">
            <v>0.61521000000000003</v>
          </cell>
          <cell r="AD133">
            <v>0.43630999999999998</v>
          </cell>
          <cell r="AE133">
            <v>0.16158</v>
          </cell>
          <cell r="AF133">
            <v>2.3043</v>
          </cell>
          <cell r="AG133">
            <v>85.805999999999997</v>
          </cell>
          <cell r="AH133">
            <v>2.3824999999999998</v>
          </cell>
        </row>
      </sheetData>
      <sheetData sheetId="1"/>
      <sheetData sheetId="2"/>
      <sheetData sheetId="3"/>
      <sheetData sheetId="4">
        <row r="39">
          <cell r="D39">
            <v>0</v>
          </cell>
          <cell r="M39">
            <v>0</v>
          </cell>
          <cell r="N39"/>
          <cell r="O39"/>
          <cell r="P39"/>
          <cell r="Q39">
            <v>40.124148502200001</v>
          </cell>
          <cell r="R39"/>
          <cell r="S39">
            <v>52.091288566700001</v>
          </cell>
          <cell r="T39"/>
          <cell r="U39">
            <v>91486.4735506</v>
          </cell>
          <cell r="V39"/>
          <cell r="W39"/>
          <cell r="X39"/>
          <cell r="Y39"/>
          <cell r="Z39"/>
          <cell r="AA39"/>
          <cell r="AB39"/>
          <cell r="AC39">
            <v>420.11577236699998</v>
          </cell>
          <cell r="AD39"/>
          <cell r="AE39"/>
          <cell r="AF39">
            <v>115.505179849</v>
          </cell>
          <cell r="AG39">
            <v>0.35574538533400002</v>
          </cell>
          <cell r="AH39"/>
        </row>
      </sheetData>
      <sheetData sheetId="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entory"/>
    </sheetNames>
    <sheetDataSet>
      <sheetData sheetId="0">
        <row r="28">
          <cell r="H28">
            <v>7.7115314950116911</v>
          </cell>
          <cell r="I28">
            <v>124.24439423942842</v>
          </cell>
          <cell r="J28">
            <v>1.571682527935959</v>
          </cell>
          <cell r="K28">
            <v>6.9245541434713616</v>
          </cell>
          <cell r="L28">
            <v>2.28489315244305</v>
          </cell>
          <cell r="M28">
            <v>0.16621570723980958</v>
          </cell>
          <cell r="N28">
            <v>4.2050271201073573E-3</v>
          </cell>
          <cell r="O28">
            <v>188.51854240926258</v>
          </cell>
          <cell r="P28">
            <v>0.64520136893879576</v>
          </cell>
          <cell r="Q28">
            <v>151.51313583989241</v>
          </cell>
          <cell r="R28">
            <v>1.5836209269719698E-2</v>
          </cell>
          <cell r="S28">
            <v>292.82423604882143</v>
          </cell>
          <cell r="T28">
            <v>1.7433592457244382E-2</v>
          </cell>
          <cell r="U28">
            <v>7.6420948241993925E-7</v>
          </cell>
          <cell r="V28">
            <v>7.226148572875607E-2</v>
          </cell>
          <cell r="W28">
            <v>5.0030265473147109E-2</v>
          </cell>
          <cell r="X28">
            <v>0.11079261584595412</v>
          </cell>
          <cell r="Y28">
            <v>6.1429732688641804E-3</v>
          </cell>
          <cell r="Z28">
            <v>0.30585485702653731</v>
          </cell>
          <cell r="AA28">
            <v>8.0747996803549882E-2</v>
          </cell>
          <cell r="AB28">
            <v>1.6485346038492728</v>
          </cell>
          <cell r="AC28">
            <v>1.7057354551730906</v>
          </cell>
          <cell r="AD28">
            <v>13.869264568285471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 La-doped BSO"/>
      <sheetName val="4_La-doped BSO"/>
    </sheetNames>
    <sheetDataSet>
      <sheetData sheetId="0">
        <row r="16">
          <cell r="E16">
            <v>2.7977200000000004</v>
          </cell>
        </row>
        <row r="17">
          <cell r="E17">
            <v>1.8645026243093925</v>
          </cell>
        </row>
      </sheetData>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entory"/>
    </sheetNames>
    <sheetDataSet>
      <sheetData sheetId="0">
        <row r="84">
          <cell r="AP84">
            <v>21.125313930570261</v>
          </cell>
          <cell r="AQ84">
            <v>357.60997870788862</v>
          </cell>
          <cell r="AR84">
            <v>1.1400343295311672</v>
          </cell>
          <cell r="AS84">
            <v>18.919970952975749</v>
          </cell>
          <cell r="AT84">
            <v>7.7806817329889943</v>
          </cell>
          <cell r="AU84">
            <v>0.53824040285208763</v>
          </cell>
          <cell r="AV84">
            <v>1.1106378301439106E-2</v>
          </cell>
          <cell r="AW84">
            <v>567.63936084101829</v>
          </cell>
          <cell r="AX84">
            <v>1.0260604439654011</v>
          </cell>
          <cell r="AY84">
            <v>428.1272085320515</v>
          </cell>
          <cell r="AZ84">
            <v>2.2528083541225288E-2</v>
          </cell>
          <cell r="BA84">
            <v>1.315774379132616</v>
          </cell>
          <cell r="BB84">
            <v>2.9692136289107543E-3</v>
          </cell>
          <cell r="BC84">
            <v>3.2181105198687469E-6</v>
          </cell>
          <cell r="BD84">
            <v>5.7338625350376531E-2</v>
          </cell>
          <cell r="BE84">
            <v>6.7646014522934617E-2</v>
          </cell>
          <cell r="BF84">
            <v>0.18705421224081384</v>
          </cell>
          <cell r="BG84">
            <v>5.5726840947356006E-2</v>
          </cell>
          <cell r="BH84">
            <v>0.13221813207965974</v>
          </cell>
          <cell r="BI84">
            <v>4.259936378619622E-2</v>
          </cell>
          <cell r="BJ84">
            <v>0.80238604319775308</v>
          </cell>
          <cell r="BK84">
            <v>4.6721334368351233</v>
          </cell>
          <cell r="BL84">
            <v>0.99032570337523829</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dCl2 pro"/>
      <sheetName val="Na2PdCl4 pro"/>
      <sheetName val="Dibenzylideneacetone pro"/>
      <sheetName val="Pd2(dba)3 pro"/>
      <sheetName val="cyclopentadiene"/>
      <sheetName val="Ferrocene pro"/>
      <sheetName val="CH3(CH2)3Br pro"/>
      <sheetName val="Bu-Li pro"/>
      <sheetName val="Lithiation"/>
      <sheetName val="Ph2PCl pro"/>
      <sheetName val="DPPF pro"/>
      <sheetName val="NaH preparation"/>
      <sheetName val="NaO-t-Bu pro"/>
      <sheetName val="MTPA3 pro"/>
      <sheetName val="Isopropyl borate"/>
      <sheetName val="pinacol"/>
      <sheetName val="HgCl2 production"/>
      <sheetName val="C9H19BO3"/>
      <sheetName val="PTAA pro"/>
      <sheetName val="mix"/>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5">
          <cell r="E5">
            <v>1.4999999999999999E-2</v>
          </cell>
        </row>
        <row r="6">
          <cell r="E6">
            <v>1.3005</v>
          </cell>
        </row>
        <row r="7">
          <cell r="E7">
            <v>0.17</v>
          </cell>
        </row>
        <row r="8">
          <cell r="E8">
            <v>0.78600000000000003</v>
          </cell>
        </row>
        <row r="9">
          <cell r="E9">
            <v>6.9225000000000003</v>
          </cell>
        </row>
        <row r="11">
          <cell r="E11">
            <v>9.1940000000000008</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erial inventory"/>
      <sheetName val="SA"/>
      <sheetName val="energy consumption"/>
      <sheetName val="results"/>
      <sheetName val="CB_DATA_"/>
      <sheetName val="Uncertainty"/>
    </sheetNames>
    <sheetDataSet>
      <sheetData sheetId="0">
        <row r="2">
          <cell r="B2">
            <v>0.9</v>
          </cell>
        </row>
        <row r="13">
          <cell r="J13" t="str">
            <v>Carbon footprint</v>
          </cell>
          <cell r="K13" t="str">
            <v>Primary energy consumption</v>
          </cell>
        </row>
        <row r="14">
          <cell r="I14" t="str">
            <v>FTO glass</v>
          </cell>
          <cell r="J14">
            <v>0.34780676817599987</v>
          </cell>
          <cell r="K14">
            <v>8.5029036949120105</v>
          </cell>
        </row>
        <row r="15">
          <cell r="I15" t="str">
            <v>Zinc powder</v>
          </cell>
          <cell r="J15">
            <v>3.6278152999999992E-5</v>
          </cell>
          <cell r="K15">
            <v>4.1800508549599992E-4</v>
          </cell>
        </row>
        <row r="16">
          <cell r="I16" t="str">
            <v>Dilute HCl</v>
          </cell>
          <cell r="J16">
            <v>3.2090210384615382E-5</v>
          </cell>
          <cell r="K16">
            <v>4.6518874375235582E-4</v>
          </cell>
        </row>
        <row r="17">
          <cell r="I17" t="str">
            <v>Ethanol</v>
          </cell>
          <cell r="J17">
            <v>7.2135383999999978E-3</v>
          </cell>
          <cell r="K17">
            <v>0.21431605553399993</v>
          </cell>
        </row>
        <row r="18">
          <cell r="I18" t="str">
            <v>Deionized water</v>
          </cell>
          <cell r="J18">
            <v>1.1383316399999998E-5</v>
          </cell>
          <cell r="K18">
            <v>1.5662186060911998E-4</v>
          </cell>
        </row>
        <row r="19">
          <cell r="I19" t="str">
            <v>Acetone</v>
          </cell>
          <cell r="J19">
            <v>3.4079009999999986E-2</v>
          </cell>
          <cell r="K19">
            <v>0.99018946488503967</v>
          </cell>
        </row>
        <row r="20">
          <cell r="I20" t="str">
            <v>BL-TiO₂ ink</v>
          </cell>
          <cell r="J20">
            <v>2.6559624141444444E-3</v>
          </cell>
          <cell r="K20">
            <v>7.1984448963916634E-2</v>
          </cell>
        </row>
        <row r="21">
          <cell r="I21" t="str">
            <v>La-doped BSO NPs</v>
          </cell>
          <cell r="J21">
            <v>1.1164755298477922E-3</v>
          </cell>
          <cell r="K21">
            <v>1.7988103397984439E-2</v>
          </cell>
        </row>
        <row r="22">
          <cell r="I22" t="str">
            <v>PbI₂</v>
          </cell>
          <cell r="J22">
            <v>3.9586132131698096E-3</v>
          </cell>
          <cell r="K22">
            <v>4.7072556356068052E-2</v>
          </cell>
        </row>
        <row r="23">
          <cell r="I23" t="str">
            <v>Dimethylformamide</v>
          </cell>
          <cell r="J23">
            <v>5.0926724710400008E-3</v>
          </cell>
          <cell r="K23">
            <v>0.13851702479781283</v>
          </cell>
        </row>
        <row r="24">
          <cell r="I24" t="str">
            <v>CH₃NH₃I</v>
          </cell>
          <cell r="J24">
            <v>4.8331611864973173E-2</v>
          </cell>
          <cell r="K24">
            <v>1.0266332358578762</v>
          </cell>
        </row>
        <row r="25">
          <cell r="I25" t="str">
            <v>Isopropanol</v>
          </cell>
          <cell r="J25">
            <v>4.2817186702605578E-2</v>
          </cell>
          <cell r="K25">
            <v>1.4153077578552065</v>
          </cell>
        </row>
        <row r="26">
          <cell r="I26" t="str">
            <v>Toluene</v>
          </cell>
          <cell r="J26">
            <v>1.3551209999999999E-3</v>
          </cell>
          <cell r="K26">
            <v>5.4955341728023827E-2</v>
          </cell>
        </row>
        <row r="27">
          <cell r="I27" t="str">
            <v>PTAA solution</v>
          </cell>
          <cell r="J27">
            <v>0.194226136277663</v>
          </cell>
          <cell r="K27">
            <v>3.2878661442403283</v>
          </cell>
        </row>
        <row r="28">
          <cell r="I28" t="str">
            <v>Cu</v>
          </cell>
          <cell r="J28">
            <v>3.7954882559999999E-3</v>
          </cell>
          <cell r="K28">
            <v>5.4579072598579199E-2</v>
          </cell>
        </row>
        <row r="29">
          <cell r="I29" t="str">
            <v>Ar</v>
          </cell>
          <cell r="J29">
            <v>0.29058656969696967</v>
          </cell>
          <cell r="K29">
            <v>4.3659558183030303</v>
          </cell>
        </row>
        <row r="30">
          <cell r="I30" t="str">
            <v>O₂</v>
          </cell>
          <cell r="J30">
            <v>1.2806957575757575E-4</v>
          </cell>
          <cell r="K30">
            <v>1.7448388645818179E-3</v>
          </cell>
        </row>
        <row r="31">
          <cell r="I31" t="str">
            <v>Direct emissions</v>
          </cell>
          <cell r="J31">
            <v>0</v>
          </cell>
          <cell r="K31">
            <v>0</v>
          </cell>
        </row>
        <row r="62">
          <cell r="F62">
            <v>0.50439541401826071</v>
          </cell>
          <cell r="J62">
            <v>6.5339114634350737E-5</v>
          </cell>
          <cell r="K62">
            <v>5.4601869797269277E-4</v>
          </cell>
        </row>
      </sheetData>
      <sheetData sheetId="1"/>
      <sheetData sheetId="2">
        <row r="6">
          <cell r="M6" t="str">
            <v>Sonication</v>
          </cell>
          <cell r="N6">
            <v>0.28396800022717433</v>
          </cell>
          <cell r="O6">
            <v>4.9966410936773125</v>
          </cell>
        </row>
        <row r="7">
          <cell r="M7" t="str">
            <v>Spray pyrolysis</v>
          </cell>
          <cell r="N7">
            <v>4.7504002709876585E-5</v>
          </cell>
          <cell r="O7">
            <v>8.3587042154200275E-4</v>
          </cell>
        </row>
        <row r="8">
          <cell r="M8" t="str">
            <v>ETL spin coating</v>
          </cell>
          <cell r="N8">
            <v>0.2283559410873062</v>
          </cell>
          <cell r="O8">
            <v>4.0181030197394767</v>
          </cell>
        </row>
        <row r="9">
          <cell r="M9" t="str">
            <v>ETL calcining</v>
          </cell>
          <cell r="N9">
            <v>5.1114240040891374</v>
          </cell>
          <cell r="O9">
            <v>89.939539686191623</v>
          </cell>
        </row>
        <row r="10">
          <cell r="M10" t="str">
            <v>PL 1st-step spin coating</v>
          </cell>
          <cell r="N10">
            <v>8.4576274476780081E-2</v>
          </cell>
          <cell r="O10">
            <v>1.4881863036072136</v>
          </cell>
        </row>
        <row r="11">
          <cell r="M11" t="str">
            <v>PL 2nd-step spin coating</v>
          </cell>
          <cell r="N11">
            <v>4.2288137238390036</v>
          </cell>
          <cell r="O11">
            <v>74.409315180360679</v>
          </cell>
        </row>
        <row r="12">
          <cell r="M12" t="str">
            <v>PL Drying</v>
          </cell>
          <cell r="N12">
            <v>1.7038080013630463</v>
          </cell>
          <cell r="O12">
            <v>29.979846562063884</v>
          </cell>
        </row>
        <row r="13">
          <cell r="M13" t="str">
            <v>HTL spin coating</v>
          </cell>
          <cell r="N13">
            <v>2.2835594108730621</v>
          </cell>
          <cell r="O13">
            <v>40.181030197394769</v>
          </cell>
        </row>
        <row r="14">
          <cell r="M14" t="str">
            <v>Electrode sputtering</v>
          </cell>
          <cell r="N14">
            <v>0.27608000022086421</v>
          </cell>
          <cell r="O14">
            <v>4.8578455077418363</v>
          </cell>
        </row>
        <row r="26">
          <cell r="B26" t="str">
            <v>UV/O₃ cleaning</v>
          </cell>
          <cell r="N26">
            <v>1.6328160013062525E-2</v>
          </cell>
          <cell r="O26">
            <v>0.28730686288644547</v>
          </cell>
        </row>
      </sheetData>
      <sheetData sheetId="3"/>
      <sheetData sheetId="4"/>
      <sheetData sheetId="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TO with TiO2-old"/>
      <sheetName val="ITO-old"/>
    </sheetNames>
    <sheetDataSet>
      <sheetData sheetId="0">
        <row r="28">
          <cell r="Q28">
            <v>6.2954943647999988</v>
          </cell>
          <cell r="R28">
            <v>102.3232979508053</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G59"/>
  <sheetViews>
    <sheetView topLeftCell="A13" zoomScale="85" zoomScaleNormal="85" workbookViewId="0">
      <selection activeCell="F48" sqref="F48:F50"/>
    </sheetView>
  </sheetViews>
  <sheetFormatPr defaultColWidth="9.140625" defaultRowHeight="15"/>
  <cols>
    <col min="1" max="1" width="26.5703125" style="27" customWidth="1"/>
    <col min="2" max="4" width="9.140625" style="27"/>
    <col min="5" max="5" width="10.7109375" style="27" customWidth="1"/>
    <col min="6" max="6" width="13.28515625" style="22" customWidth="1"/>
    <col min="7" max="7" width="42.7109375" style="27" customWidth="1"/>
    <col min="8" max="8" width="27.7109375" style="27" customWidth="1"/>
    <col min="9" max="9" width="26" style="27" customWidth="1"/>
    <col min="10" max="10" width="30.7109375" style="22" customWidth="1"/>
    <col min="11" max="11" width="23" style="22" customWidth="1"/>
    <col min="12" max="32" width="17.85546875" style="27" customWidth="1"/>
    <col min="33" max="33" width="11.7109375" style="27" customWidth="1"/>
    <col min="34" max="16384" width="9.140625" style="27"/>
  </cols>
  <sheetData>
    <row r="1" spans="1:33" s="26" customFormat="1" ht="32.25" customHeight="1">
      <c r="A1" s="28" t="s">
        <v>204</v>
      </c>
      <c r="B1" s="28" t="s">
        <v>0</v>
      </c>
      <c r="C1" s="28" t="s">
        <v>1</v>
      </c>
      <c r="D1" s="28" t="s">
        <v>2</v>
      </c>
      <c r="E1" s="28" t="s">
        <v>3</v>
      </c>
      <c r="F1" s="29" t="s">
        <v>4</v>
      </c>
      <c r="G1" s="134" t="s">
        <v>5</v>
      </c>
      <c r="H1" s="134"/>
      <c r="I1" s="135"/>
      <c r="J1" s="135"/>
      <c r="K1" s="135"/>
      <c r="L1" s="135" t="s">
        <v>6</v>
      </c>
      <c r="M1" s="135"/>
      <c r="N1" s="135"/>
      <c r="O1" s="135"/>
      <c r="P1" s="135"/>
      <c r="Q1" s="135"/>
      <c r="R1" s="135"/>
      <c r="S1" s="135"/>
      <c r="T1" s="135"/>
      <c r="U1" s="135"/>
      <c r="V1" s="135"/>
      <c r="W1" s="135"/>
      <c r="X1" s="135"/>
      <c r="Y1" s="135"/>
      <c r="Z1" s="135"/>
      <c r="AA1" s="135"/>
      <c r="AB1" s="135"/>
      <c r="AC1" s="135"/>
      <c r="AD1" s="136" t="s">
        <v>7</v>
      </c>
      <c r="AE1" s="136"/>
      <c r="AF1" s="136"/>
    </row>
    <row r="2" spans="1:33">
      <c r="A2" s="30" t="s">
        <v>8</v>
      </c>
      <c r="I2" s="80"/>
      <c r="J2" s="84" t="s">
        <v>9</v>
      </c>
      <c r="K2" s="84" t="s">
        <v>10</v>
      </c>
      <c r="L2" s="85" t="s">
        <v>11</v>
      </c>
      <c r="M2" s="85" t="s">
        <v>12</v>
      </c>
      <c r="N2" s="85" t="s">
        <v>13</v>
      </c>
      <c r="O2" s="85" t="s">
        <v>14</v>
      </c>
      <c r="P2" s="85" t="s">
        <v>15</v>
      </c>
      <c r="Q2" s="85" t="s">
        <v>16</v>
      </c>
      <c r="R2" s="85" t="s">
        <v>17</v>
      </c>
      <c r="S2" s="85" t="s">
        <v>18</v>
      </c>
      <c r="T2" s="85" t="s">
        <v>19</v>
      </c>
      <c r="U2" s="85" t="s">
        <v>20</v>
      </c>
      <c r="V2" s="85" t="s">
        <v>21</v>
      </c>
      <c r="W2" s="85" t="s">
        <v>22</v>
      </c>
      <c r="X2" s="85" t="s">
        <v>23</v>
      </c>
      <c r="Y2" s="85" t="s">
        <v>24</v>
      </c>
      <c r="Z2" s="85" t="s">
        <v>25</v>
      </c>
      <c r="AA2" s="85" t="s">
        <v>26</v>
      </c>
      <c r="AB2" s="85" t="s">
        <v>27</v>
      </c>
      <c r="AC2" s="85" t="s">
        <v>28</v>
      </c>
      <c r="AD2" s="86" t="s">
        <v>29</v>
      </c>
      <c r="AE2" s="86" t="s">
        <v>30</v>
      </c>
      <c r="AF2" s="86" t="s">
        <v>31</v>
      </c>
    </row>
    <row r="3" spans="1:33">
      <c r="A3" s="82" t="s">
        <v>32</v>
      </c>
      <c r="B3" s="27" t="s">
        <v>33</v>
      </c>
      <c r="C3" s="27">
        <v>1</v>
      </c>
      <c r="D3" s="27" t="s">
        <v>33</v>
      </c>
      <c r="E3" s="27">
        <v>1</v>
      </c>
      <c r="F3" s="22">
        <f>5.04/E3</f>
        <v>5.04</v>
      </c>
      <c r="G3" s="27" t="s">
        <v>34</v>
      </c>
      <c r="I3" s="31" t="s">
        <v>32</v>
      </c>
      <c r="J3" s="22">
        <f>F3*'[1]Jian''s'!$D$3</f>
        <v>3.4780676817599994</v>
      </c>
      <c r="K3" s="22">
        <f>$F$3*'[2]FTO glass'!M41</f>
        <v>85.029036949120112</v>
      </c>
      <c r="L3" s="22">
        <f>$F$3*'[2]FTO glass'!N41</f>
        <v>6.2012667171672007</v>
      </c>
      <c r="M3" s="22">
        <f>$F$3*'[2]FTO glass'!O41</f>
        <v>3.5862291309599996</v>
      </c>
      <c r="N3" s="22">
        <f>$F$3*'[2]FTO glass'!P41</f>
        <v>0.83657114503199992</v>
      </c>
      <c r="O3" s="22">
        <f>$F$3*'[2]FTO glass'!Q41</f>
        <v>9.6806916922641872E-2</v>
      </c>
      <c r="P3" s="22">
        <f>$F$3*'[2]FTO glass'!R41</f>
        <v>2.0273180159735998E-3</v>
      </c>
      <c r="Q3" s="22">
        <f>$F$3*'[2]FTO glass'!S41</f>
        <v>124.88415725309692</v>
      </c>
      <c r="R3" s="22">
        <f>$F$3*'[2]FTO glass'!T41</f>
        <v>0.21998732374079996</v>
      </c>
      <c r="S3" s="22">
        <f>$F$3*'[2]FTO glass'!U41</f>
        <v>88.426822169151336</v>
      </c>
      <c r="T3" s="22">
        <f>$F$3*'[2]FTO glass'!V41</f>
        <v>1.0613301240527999E-2</v>
      </c>
      <c r="U3" s="22">
        <f>$F$3*'[2]FTO glass'!W41</f>
        <v>37.727846160631195</v>
      </c>
      <c r="V3" s="22">
        <f>$F$3*'[2]FTO glass'!X41</f>
        <v>2.6633363931215996E-3</v>
      </c>
      <c r="W3" s="22">
        <f>$F$3*'[2]FTO glass'!Y41</f>
        <v>2.2588717898879995E-7</v>
      </c>
      <c r="X3" s="22">
        <f>$F$3*'[2]FTO glass'!Z41</f>
        <v>3.1256384650847999E-2</v>
      </c>
      <c r="Y3" s="22">
        <f>$F$3*'[2]FTO glass'!AA41</f>
        <v>4.8130512783804966E-2</v>
      </c>
      <c r="Z3" s="22">
        <f>$F$3*'[2]FTO glass'!AB41</f>
        <v>6.2621029628639996E-2</v>
      </c>
      <c r="AA3" s="22">
        <f>$F$3*'[2]FTO glass'!AC41</f>
        <v>7.4279348593848408E-3</v>
      </c>
      <c r="AB3" s="22">
        <f>$F$3*'[2]FTO glass'!AD41</f>
        <v>0.14772324234023998</v>
      </c>
      <c r="AC3" s="22">
        <f>$F$3*'[2]FTO glass'!AE41</f>
        <v>7.7349191552639985E-3</v>
      </c>
      <c r="AD3" s="22">
        <f>$F$3*'[2]FTO glass'!AF41</f>
        <v>0.50998414695703564</v>
      </c>
      <c r="AE3" s="22">
        <f>$F$3*'[2]FTO glass'!AG41</f>
        <v>1.0265223189718116</v>
      </c>
      <c r="AF3" s="22">
        <f>$F$3*'[2]FTO glass'!AH41</f>
        <v>1.8519365587967997</v>
      </c>
    </row>
    <row r="4" spans="1:33">
      <c r="A4" s="82" t="s">
        <v>35</v>
      </c>
      <c r="B4" s="27">
        <v>10</v>
      </c>
      <c r="C4" s="27">
        <v>1</v>
      </c>
      <c r="D4" s="27">
        <v>7130</v>
      </c>
      <c r="E4" s="27">
        <v>1</v>
      </c>
      <c r="F4" s="22">
        <f>B4/1000000000*C4*D4</f>
        <v>7.1299999999999998E-5</v>
      </c>
      <c r="G4" s="27" t="s">
        <v>36</v>
      </c>
      <c r="I4" s="31" t="s">
        <v>35</v>
      </c>
      <c r="J4" s="22">
        <f>F4*[1]production!$D$73</f>
        <v>3.6278153E-4</v>
      </c>
      <c r="K4" s="22">
        <f>$F$4*[1]production!M73</f>
        <v>4.1800508549599998E-3</v>
      </c>
      <c r="L4" s="22">
        <f>$F$4*[1]production!N73</f>
        <v>1.2207273E-5</v>
      </c>
      <c r="M4" s="22">
        <f>$F$4*[1]production!O73</f>
        <v>3.3021881999999999E-4</v>
      </c>
      <c r="N4" s="22">
        <f>$F$4*[1]production!P73</f>
        <v>8.5189240000000004E-5</v>
      </c>
      <c r="O4" s="22">
        <f>$F$4*[1]production!Q73</f>
        <v>1.3711703000000001E-5</v>
      </c>
      <c r="P4" s="22">
        <f>$F$4*[1]production!R73</f>
        <v>4.0563995999999999E-7</v>
      </c>
      <c r="Q4" s="22">
        <f>$F$4*[1]production!S73</f>
        <v>2.8965624999999998E-2</v>
      </c>
      <c r="R4" s="22">
        <f>$F$4*[1]production!T73</f>
        <v>1.2262174E-5</v>
      </c>
      <c r="S4" s="22">
        <f>$F$4*[1]production!U73</f>
        <v>1.6804697E-2</v>
      </c>
      <c r="T4" s="22">
        <f>$F$4*[1]production!V73</f>
        <v>6.1901234E-7</v>
      </c>
      <c r="U4" s="22">
        <f>$F$4*[1]production!W73</f>
        <v>1.9441371000000001E-4</v>
      </c>
      <c r="V4" s="22">
        <f>$F$4*[1]production!X73</f>
        <v>4.9790216000000001E-8</v>
      </c>
      <c r="W4" s="22">
        <f>$F$4*[1]production!Y73</f>
        <v>1.4361246000000001E-11</v>
      </c>
      <c r="X4" s="22">
        <f>$F$4*[1]production!Z73</f>
        <v>1.4094584000000001E-6</v>
      </c>
      <c r="Y4" s="22">
        <f>$F$4*[1]production!AA73</f>
        <v>1.7670279E-6</v>
      </c>
      <c r="Z4" s="22">
        <f>$F$4*[1]production!AB73</f>
        <v>3.7589360000000003E-6</v>
      </c>
      <c r="AA4" s="22">
        <f>$F$4*[1]production!AC73</f>
        <v>4.9284699E-6</v>
      </c>
      <c r="AB4" s="22">
        <f>$F$4*[1]production!AD73</f>
        <v>3.9873811999999997E-6</v>
      </c>
      <c r="AC4" s="22">
        <f>$F$4*[1]production!AE73</f>
        <v>5.1543482999999994E-6</v>
      </c>
      <c r="AD4" s="22">
        <f>$F$4*[1]production!AF73</f>
        <v>2.2775359E-5</v>
      </c>
      <c r="AE4" s="22">
        <f>$F$4*[1]production!AG73</f>
        <v>2.1250252E-4</v>
      </c>
      <c r="AF4" s="22">
        <f>$F$4*[1]production!AH73</f>
        <v>1.9241731000000001E-5</v>
      </c>
    </row>
    <row r="5" spans="1:33">
      <c r="A5" s="82" t="s">
        <v>37</v>
      </c>
      <c r="B5" s="27" t="s">
        <v>33</v>
      </c>
      <c r="C5" s="27" t="s">
        <v>33</v>
      </c>
      <c r="D5" s="27" t="s">
        <v>33</v>
      </c>
      <c r="E5" s="27">
        <v>1</v>
      </c>
      <c r="F5" s="22">
        <f>F4*0.7/65*2*36.5/0.3</f>
        <v>1.8684256410256408E-4</v>
      </c>
      <c r="G5" s="27" t="s">
        <v>38</v>
      </c>
      <c r="I5" s="31" t="s">
        <v>37</v>
      </c>
      <c r="J5" s="22">
        <f>F5*[1]production!$D$15</f>
        <v>3.2090210384615382E-4</v>
      </c>
      <c r="K5" s="22">
        <f>$F$5*[1]production!M15</f>
        <v>4.6518874375235586E-3</v>
      </c>
      <c r="L5" s="22">
        <f>$F$5*[1]production!N15</f>
        <v>1.8796361948717947E-5</v>
      </c>
      <c r="M5" s="22">
        <f>$F$5*[1]production!O15</f>
        <v>2.9506177723076916E-4</v>
      </c>
      <c r="N5" s="22">
        <f>$F$5*[1]production!P15</f>
        <v>8.9540561994871782E-5</v>
      </c>
      <c r="O5" s="22">
        <f>$F$5*[1]production!Q15</f>
        <v>4.997664904615384E-6</v>
      </c>
      <c r="P5" s="22">
        <f>$F$5*[1]production!R15</f>
        <v>1.7851312259487177E-7</v>
      </c>
      <c r="Q5" s="22">
        <f>$F$5*[1]production!S15</f>
        <v>7.5703001697435893E-3</v>
      </c>
      <c r="R5" s="22">
        <f>$F$5*[1]production!T15</f>
        <v>3.2680632887179484E-5</v>
      </c>
      <c r="S5" s="22">
        <f>$F$5*[1]production!U15</f>
        <v>5.8025826707692307E-3</v>
      </c>
      <c r="T5" s="22">
        <f>$F$5*[1]production!V15</f>
        <v>3.2392895338461535E-7</v>
      </c>
      <c r="U5" s="22">
        <f>$F$5*[1]production!W15</f>
        <v>2.2215580871794871E-5</v>
      </c>
      <c r="V5" s="22">
        <f>$F$5*[1]production!X15</f>
        <v>4.0731678974358973E-8</v>
      </c>
      <c r="W5" s="22">
        <f>$F$5*[1]production!Y15</f>
        <v>1.3746754811282051E-10</v>
      </c>
      <c r="X5" s="22">
        <f>$F$5*[1]production!Z15</f>
        <v>1.0496815251282049E-6</v>
      </c>
      <c r="Y5" s="22">
        <f>$F$5*[1]production!AA15</f>
        <v>8.8064505738461527E-7</v>
      </c>
      <c r="Z5" s="22">
        <f>$F$5*[1]production!AB15</f>
        <v>1.6810412334871791E-6</v>
      </c>
      <c r="AA5" s="22">
        <f>$F$5*[1]production!AC15</f>
        <v>4.0647599820512815E-7</v>
      </c>
      <c r="AB5" s="22">
        <f>$F$5*[1]production!AD15</f>
        <v>2.9919099789743586E-6</v>
      </c>
      <c r="AC5" s="22">
        <f>$F$5*[1]production!AE15</f>
        <v>1.1360962110256409E-6</v>
      </c>
      <c r="AD5" s="22">
        <f>$F$5*[1]production!AF15</f>
        <v>1.4226753358461537E-5</v>
      </c>
      <c r="AE5" s="22">
        <f>$F$5*[1]production!AG15</f>
        <v>6.4427052953846154E-5</v>
      </c>
      <c r="AF5" s="22">
        <f>$F$5*[1]production!AH15</f>
        <v>1.1767157844615382E-5</v>
      </c>
    </row>
    <row r="6" spans="1:33">
      <c r="A6" s="83" t="s">
        <v>39</v>
      </c>
      <c r="B6" s="83" t="s">
        <v>33</v>
      </c>
      <c r="C6" s="83" t="s">
        <v>33</v>
      </c>
      <c r="D6" s="83" t="s">
        <v>33</v>
      </c>
      <c r="E6" s="83">
        <v>1</v>
      </c>
      <c r="F6" s="113">
        <f>0.02577/E6</f>
        <v>2.5770000000000001E-2</v>
      </c>
      <c r="G6" s="138" t="s">
        <v>40</v>
      </c>
      <c r="I6" s="31" t="s">
        <v>39</v>
      </c>
      <c r="J6" s="22">
        <f>F6*2*[1]production!$D$54</f>
        <v>7.2135383999999997E-2</v>
      </c>
      <c r="K6" s="22">
        <f>$F$6*2*[1]production!M54</f>
        <v>2.1431605553400002</v>
      </c>
      <c r="L6" s="22">
        <f>$F$6*2*[1]production!N54</f>
        <v>5.7487716000000001E-2</v>
      </c>
      <c r="M6" s="22">
        <f>$F$6*2*[1]production!O54</f>
        <v>6.2811798000000002E-2</v>
      </c>
      <c r="N6" s="22">
        <f>$F$6*2*[1]production!P54</f>
        <v>1.7668427400000002E-2</v>
      </c>
      <c r="O6" s="22">
        <f>$F$6*2*[1]production!Q54</f>
        <v>1.7588540399999999E-3</v>
      </c>
      <c r="P6" s="22">
        <f>$F$6*2*[1]production!R54</f>
        <v>2.9260804200000004E-5</v>
      </c>
      <c r="Q6" s="22">
        <f>$F$6*2*[1]production!S54</f>
        <v>0.86164572000000006</v>
      </c>
      <c r="R6" s="22">
        <f>$F$6*2*[1]production!T54</f>
        <v>4.4866600800000005E-3</v>
      </c>
      <c r="S6" s="22">
        <f>$F$6*2*[1]production!U54</f>
        <v>0.69228528</v>
      </c>
      <c r="T6" s="22">
        <f>$F$6*2*[1]production!V54</f>
        <v>3.2167144799999999E-4</v>
      </c>
      <c r="U6" s="22">
        <f>$F$6*2*[1]production!W54</f>
        <v>2.8069714800000004E-3</v>
      </c>
      <c r="V6" s="22">
        <f>$F$6*2*[1]production!X54</f>
        <v>5.4158232E-5</v>
      </c>
      <c r="W6" s="22">
        <f>$F$6*2*[1]production!Y54</f>
        <v>4.5857715000000005E-9</v>
      </c>
      <c r="X6" s="22">
        <f>$F$6*2*[1]production!Z54</f>
        <v>2.0186671800000004E-4</v>
      </c>
      <c r="Y6" s="22">
        <f>$F$6*2*[1]production!AA54</f>
        <v>2.1187578599999999E-4</v>
      </c>
      <c r="Z6" s="22">
        <f>$F$6*2*[1]production!AB54</f>
        <v>6.630621E-4</v>
      </c>
      <c r="AA6" s="22">
        <f>$F$6*2*[1]production!AC54</f>
        <v>4.2334956000000004E-4</v>
      </c>
      <c r="AB6" s="22">
        <f>$F$6*2*[1]production!AD54</f>
        <v>3.08100966E-3</v>
      </c>
      <c r="AC6" s="22">
        <f>$F$6*2*[1]production!AE54</f>
        <v>1.9259982600000003E-2</v>
      </c>
      <c r="AD6" s="22">
        <f>$F$6*2*[1]production!AF54</f>
        <v>1.7598333000000001E-2</v>
      </c>
      <c r="AE6" s="22">
        <f>$F$6*2*[1]production!AG54</f>
        <v>8.4973997999999995E-3</v>
      </c>
      <c r="AF6" s="22">
        <f>$F$6*2*[1]production!AH54</f>
        <v>2.24879328E-3</v>
      </c>
    </row>
    <row r="7" spans="1:33">
      <c r="A7" s="83" t="s">
        <v>41</v>
      </c>
      <c r="B7" s="83" t="s">
        <v>33</v>
      </c>
      <c r="C7" s="83" t="s">
        <v>33</v>
      </c>
      <c r="D7" s="83" t="s">
        <v>33</v>
      </c>
      <c r="E7" s="83">
        <v>1</v>
      </c>
      <c r="F7" s="113">
        <f>0.03266/E7</f>
        <v>3.2660000000000002E-2</v>
      </c>
      <c r="G7" s="138"/>
      <c r="I7" s="31" t="s">
        <v>41</v>
      </c>
      <c r="J7" s="22">
        <f>F7*2*[1]production!$D$74</f>
        <v>1.13833164E-4</v>
      </c>
      <c r="K7" s="22">
        <f>$F$7*2*[1]production!M74</f>
        <v>1.5662186060912001E-3</v>
      </c>
      <c r="L7" s="22">
        <f>$F$7*2*[1]production!N74</f>
        <v>5.2403623200000004E-6</v>
      </c>
      <c r="M7" s="22">
        <f>$F$7*2*[1]production!O74</f>
        <v>1.0470796000000001E-4</v>
      </c>
      <c r="N7" s="22">
        <f>$F$7*2*[1]production!P74</f>
        <v>3.01183988E-5</v>
      </c>
      <c r="O7" s="22">
        <f>$F$7*2*[1]production!Q74</f>
        <v>1.5695742800000001E-6</v>
      </c>
      <c r="P7" s="22">
        <f>$F$7*2*[1]production!R74</f>
        <v>5.5623246000000007E-8</v>
      </c>
      <c r="Q7" s="22">
        <f>$F$7*2*[1]production!S74</f>
        <v>2.08122584E-3</v>
      </c>
      <c r="R7" s="22">
        <f>$F$7*2*[1]production!T74</f>
        <v>1.1359148000000001E-5</v>
      </c>
      <c r="S7" s="22">
        <f>$F$7*2*[1]production!U74</f>
        <v>1.78735116E-3</v>
      </c>
      <c r="T7" s="22">
        <f>$F$7*2*[1]production!V74</f>
        <v>1.1213484400000001E-7</v>
      </c>
      <c r="U7" s="22">
        <f>$F$7*2*[1]production!W74</f>
        <v>7.4830592000000006E-6</v>
      </c>
      <c r="V7" s="22">
        <f>$F$7*2*[1]production!X74</f>
        <v>1.44442116E-8</v>
      </c>
      <c r="W7" s="22">
        <f>$F$7*2*[1]production!Y74</f>
        <v>4.7707768400000007E-11</v>
      </c>
      <c r="X7" s="22">
        <f>$F$7*2*[1]production!Z74</f>
        <v>3.7251996000000002E-7</v>
      </c>
      <c r="Y7" s="22">
        <f>$F$7*2*[1]production!AA74</f>
        <v>3.2035540800000001E-7</v>
      </c>
      <c r="Z7" s="22">
        <f>$F$7*2*[1]production!AB74</f>
        <v>5.7643593600000002E-7</v>
      </c>
      <c r="AA7" s="22">
        <f>$F$7*2*[1]production!AC74</f>
        <v>9.3087532000000003E-8</v>
      </c>
      <c r="AB7" s="22">
        <f>$F$7*2*[1]production!AD74</f>
        <v>9.9691384000000016E-7</v>
      </c>
      <c r="AC7" s="22">
        <f>$F$7*2*[1]production!AE74</f>
        <v>8.5549604000000003E-5</v>
      </c>
      <c r="AD7" s="22">
        <f>$F$7*2*[1]production!AF74</f>
        <v>4.9059892400000001E-6</v>
      </c>
      <c r="AE7" s="22">
        <f>$F$7*2*[1]production!AG74</f>
        <v>1.8738348400000001E-5</v>
      </c>
      <c r="AF7" s="22">
        <f>$F$7*2*[1]production!AH74</f>
        <v>3.9587839200000002E-6</v>
      </c>
    </row>
    <row r="8" spans="1:33">
      <c r="A8" s="115" t="s">
        <v>61</v>
      </c>
      <c r="B8" s="115"/>
      <c r="C8" s="115"/>
      <c r="D8" s="115"/>
      <c r="E8" s="115"/>
      <c r="F8" s="114">
        <f>0.0000147*10000</f>
        <v>0.14699999999999999</v>
      </c>
      <c r="G8" s="138"/>
      <c r="H8" s="87" t="s">
        <v>201</v>
      </c>
      <c r="I8" s="83" t="str">
        <f>A8</f>
        <v>Acetone</v>
      </c>
      <c r="J8" s="113">
        <f>$F$8*[3]production!D67</f>
        <v>0.34079009999999993</v>
      </c>
      <c r="K8" s="113">
        <f>$F$8*[3]production!M67</f>
        <v>9.9018946488503996</v>
      </c>
      <c r="L8" s="113">
        <f>$F$8*[3]production!N67</f>
        <v>5.6080499999999999E-5</v>
      </c>
      <c r="M8" s="113">
        <f>$F$8*[3]production!O67</f>
        <v>0.28373939999999997</v>
      </c>
      <c r="N8" s="113">
        <f>$F$8*[3]production!P67</f>
        <v>0.2269533</v>
      </c>
      <c r="O8" s="113">
        <f>$F$8*[3]production!Q67</f>
        <v>2.3971289999999996E-3</v>
      </c>
      <c r="P8" s="113">
        <f>$F$8*[3]production!R67</f>
        <v>2.2865850000000001E-5</v>
      </c>
      <c r="Q8" s="113">
        <f>$F$8*[3]production!S67</f>
        <v>0.15627569999999999</v>
      </c>
      <c r="R8" s="113">
        <f>$F$8*[3]production!T67</f>
        <v>4.5440640000000003E-5</v>
      </c>
      <c r="S8" s="113">
        <f>$F$8*[3]production!U67</f>
        <v>0.30793560000000003</v>
      </c>
      <c r="T8" s="113">
        <f>$F$8*[3]production!V67</f>
        <v>2.6558490000000001E-4</v>
      </c>
      <c r="U8" s="113">
        <f>$F$8*[3]production!W67</f>
        <v>1.8285329999999999E-4</v>
      </c>
      <c r="V8" s="113">
        <f>$F$8*[3]production!X67</f>
        <v>-2.7587490000000001E-8</v>
      </c>
      <c r="W8" s="113">
        <f>$F$8*[3]production!Y67</f>
        <v>1.4048349E-10</v>
      </c>
      <c r="X8" s="113">
        <f>$F$8*[3]production!Z67</f>
        <v>4.1117369999999994E-4</v>
      </c>
      <c r="Y8" s="113">
        <f>$F$8*[3]production!AA67</f>
        <v>1.3320110999999999E-3</v>
      </c>
      <c r="Z8" s="113">
        <f>$F$8*[3]production!AB67</f>
        <v>1.494696E-3</v>
      </c>
      <c r="AA8" s="113">
        <f>$F$8*[3]production!AC67</f>
        <v>2.6371799999999997E-5</v>
      </c>
      <c r="AB8" s="113">
        <f>$F$8*[3]production!AD67</f>
        <v>2.4241769999999997E-5</v>
      </c>
      <c r="AC8" s="113">
        <f>$F$8*[3]production!AE67</f>
        <v>2.0306579999999998E-5</v>
      </c>
      <c r="AD8" s="113">
        <f>$F$8*[3]production!AF67</f>
        <v>7.8511229999999998E-3</v>
      </c>
      <c r="AE8" s="113">
        <f>$F$8*[3]production!AG67</f>
        <v>1.2213201E-2</v>
      </c>
      <c r="AF8" s="113">
        <f>$F$8*[3]production!AH67</f>
        <v>2.7224399999999999E-2</v>
      </c>
      <c r="AG8" s="22"/>
    </row>
    <row r="9" spans="1:33">
      <c r="A9" s="30" t="s">
        <v>42</v>
      </c>
      <c r="I9" s="31" t="s">
        <v>189</v>
      </c>
      <c r="J9" s="22">
        <f>F10*'[1]Jian''s'!$D$6</f>
        <v>2.655962414144445E-2</v>
      </c>
      <c r="K9" s="22">
        <f>$F$10*'[2]BL-TiO2 ink'!M14</f>
        <v>0.71984448963916647</v>
      </c>
      <c r="L9" s="22">
        <f>$F$10*'[2]BL-TiO2 ink'!N14</f>
        <v>1.5087326723561504E-2</v>
      </c>
      <c r="M9" s="22">
        <f>$F$10*'[2]BL-TiO2 ink'!O14</f>
        <v>2.2978453813409835E-2</v>
      </c>
      <c r="N9" s="22">
        <f>$F$10*'[2]BL-TiO2 ink'!P14</f>
        <v>8.2535757885646363E-3</v>
      </c>
      <c r="O9" s="22">
        <f>$F$10*'[2]BL-TiO2 ink'!Q14</f>
        <v>5.3350785249293444E-4</v>
      </c>
      <c r="P9" s="22">
        <f>$F$10*'[2]BL-TiO2 ink'!R14</f>
        <v>9.907081116739448E-6</v>
      </c>
      <c r="Q9" s="22">
        <f>$F$10*'[2]BL-TiO2 ink'!S14</f>
        <v>0.32406080465819326</v>
      </c>
      <c r="R9" s="22">
        <f>$F$10*'[2]BL-TiO2 ink'!T14</f>
        <v>1.6079762024314831E-3</v>
      </c>
      <c r="S9" s="22">
        <f>$F$10*'[2]BL-TiO2 ink'!U14</f>
        <v>0.26690160093359211</v>
      </c>
      <c r="T9" s="22">
        <f>$F$10*'[2]BL-TiO2 ink'!V14</f>
        <v>8.903825927548644E-5</v>
      </c>
      <c r="U9" s="22">
        <f>$F$10*'[2]BL-TiO2 ink'!W14</f>
        <v>1.0087027638630334E-3</v>
      </c>
      <c r="V9" s="22">
        <f>$F$10*'[2]BL-TiO2 ink'!X14</f>
        <v>1.5621727173906578E-5</v>
      </c>
      <c r="W9" s="22">
        <f>$F$10*'[2]BL-TiO2 ink'!Y14</f>
        <v>2.0991657374020233E-9</v>
      </c>
      <c r="X9" s="22">
        <f>$F$10*'[2]BL-TiO2 ink'!Z14</f>
        <v>6.6873790244614044E-5</v>
      </c>
      <c r="Y9" s="22">
        <f>$F$10*'[2]BL-TiO2 ink'!AA14</f>
        <v>8.4699593401596913E-5</v>
      </c>
      <c r="Z9" s="22">
        <f>$F$10*'[2]BL-TiO2 ink'!AB14</f>
        <v>2.0692829073974689E-4</v>
      </c>
      <c r="AA9" s="22">
        <f>$F$10*'[2]BL-TiO2 ink'!AC14</f>
        <v>1.131205102678167E-4</v>
      </c>
      <c r="AB9" s="22">
        <f>$F$10*'[2]BL-TiO2 ink'!AD14</f>
        <v>8.6384672758405608E-4</v>
      </c>
      <c r="AC9" s="22">
        <f>$F$10*'[2]BL-TiO2 ink'!AE14</f>
        <v>4.9955597251091473E-3</v>
      </c>
      <c r="AD9" s="22">
        <f>$F$10*'[2]BL-TiO2 ink'!AF14</f>
        <v>4.8094327879705653E-3</v>
      </c>
      <c r="AE9" s="22">
        <f>$F$10*'[2]BL-TiO2 ink'!AG14</f>
        <v>3.1540820412704102E-3</v>
      </c>
      <c r="AF9" s="22">
        <f>$F$10*'[2]BL-TiO2 ink'!AH14</f>
        <v>1.0470549874488806E-3</v>
      </c>
    </row>
    <row r="10" spans="1:33">
      <c r="A10" s="82" t="s">
        <v>43</v>
      </c>
      <c r="B10" s="27">
        <v>70</v>
      </c>
      <c r="C10" s="27">
        <v>0.8</v>
      </c>
      <c r="D10" s="27">
        <v>4230</v>
      </c>
      <c r="E10" s="27">
        <v>0.8</v>
      </c>
      <c r="F10" s="22">
        <f>B10/1000000000*C10*D10/E10/80*190/0.0481*1</f>
        <v>1.4620322245322245E-2</v>
      </c>
      <c r="H10" s="27" t="s">
        <v>44</v>
      </c>
      <c r="I10" s="31" t="s">
        <v>45</v>
      </c>
      <c r="J10" s="22">
        <f>(F14+F15)*[4]inventory!$H$28</f>
        <v>1.4886340397970569E-2</v>
      </c>
      <c r="K10" s="22">
        <f>($F$14+$F$15)*[4]inventory!I28</f>
        <v>0.23984137863979263</v>
      </c>
      <c r="L10" s="22">
        <f>($F$14+$F$15)*[4]inventory!J28</f>
        <v>3.0339759519275753E-3</v>
      </c>
      <c r="M10" s="22">
        <f>($F$14+$F$15)*[4]inventory!K28</f>
        <v>1.3367159318557116E-2</v>
      </c>
      <c r="N10" s="22">
        <f>($F$14+$F$15)*[4]inventory!L28</f>
        <v>4.4107577414760641E-3</v>
      </c>
      <c r="O10" s="22">
        <f>($F$14+$F$15)*[4]inventory!M28</f>
        <v>3.2086280125572842E-4</v>
      </c>
      <c r="P10" s="22">
        <f>($F$14+$F$15)*[4]inventory!N28</f>
        <v>8.1173843526552431E-6</v>
      </c>
      <c r="Q10" s="22">
        <f>($F$14+$F$15)*[4]inventory!O28</f>
        <v>0.36391619426684052</v>
      </c>
      <c r="R10" s="22">
        <f>($F$14+$F$15)*[4]inventory!P28</f>
        <v>1.2454967225994514E-3</v>
      </c>
      <c r="S10" s="22">
        <f>($F$14+$F$15)*[4]inventory!Q28</f>
        <v>0.29248095742532831</v>
      </c>
      <c r="T10" s="22">
        <f>($F$14+$F$15)*[4]inventory!R28</f>
        <v>3.0570218374266905E-5</v>
      </c>
      <c r="U10" s="22">
        <f>($F$14+$F$15)*[4]inventory!S28</f>
        <v>0.5652679052686449</v>
      </c>
      <c r="V10" s="22">
        <f>($F$14+$F$15)*[4]inventory!T28</f>
        <v>3.3653806879464561E-5</v>
      </c>
      <c r="W10" s="22">
        <f>($F$14+$F$15)*[4]inventory!U28</f>
        <v>1.4752299848634508E-9</v>
      </c>
      <c r="X10" s="22">
        <f>($F$14+$F$15)*[4]inventory!V28</f>
        <v>1.3949357205079072E-4</v>
      </c>
      <c r="Y10" s="22">
        <f>($F$14+$F$15)*[4]inventory!W28</f>
        <v>9.6578424469363178E-5</v>
      </c>
      <c r="Z10" s="22">
        <f>($F$14+$F$15)*[4]inventory!X28</f>
        <v>2.1387406562902985E-4</v>
      </c>
      <c r="AA10" s="22">
        <f>($F$14+$F$15)*[4]inventory!Y28</f>
        <v>1.1858395598215414E-5</v>
      </c>
      <c r="AB10" s="22">
        <f>($F$14+$F$15)*[4]inventory!Z28</f>
        <v>5.9042221600402766E-4</v>
      </c>
      <c r="AC10" s="22">
        <f>($F$14+$F$15)*[4]inventory!AA28</f>
        <v>1.5587593302957269E-4</v>
      </c>
      <c r="AD10" s="22">
        <f>($F$14+$F$15)*[4]inventory!AB28</f>
        <v>3.1823311992706361E-3</v>
      </c>
      <c r="AE10" s="22">
        <f>($F$14+$F$15)*[4]inventory!AC28</f>
        <v>3.292751722666134E-3</v>
      </c>
      <c r="AF10" s="22">
        <f>($F$14+$F$15)*[4]inventory!AD28</f>
        <v>2.6773228322618275E-2</v>
      </c>
    </row>
    <row r="11" spans="1:33">
      <c r="A11" s="82" t="s">
        <v>39</v>
      </c>
      <c r="B11" s="27" t="s">
        <v>33</v>
      </c>
      <c r="C11" s="27" t="s">
        <v>33</v>
      </c>
      <c r="D11" s="27" t="s">
        <v>33</v>
      </c>
      <c r="E11" s="27">
        <v>1</v>
      </c>
      <c r="F11" s="22">
        <f>F6</f>
        <v>2.5770000000000001E-2</v>
      </c>
      <c r="G11" s="137" t="s">
        <v>40</v>
      </c>
      <c r="I11" s="31" t="s">
        <v>190</v>
      </c>
      <c r="J11" s="22">
        <f>F17*'[1]Jian''s'!$D$4</f>
        <v>5.2781509508930801E-3</v>
      </c>
      <c r="K11" s="22">
        <f>$F$17*[2]PbI2!M18</f>
        <v>6.2763408474757407E-2</v>
      </c>
      <c r="L11" s="22">
        <f>$F$17*[2]PbI2!N18</f>
        <v>1.2106335109794645E-3</v>
      </c>
      <c r="M11" s="22">
        <f>$F$17*[2]PbI2!O18</f>
        <v>4.5077126461260083E-3</v>
      </c>
      <c r="N11" s="22">
        <f>$F$17*[2]PbI2!P18</f>
        <v>1.1964688239053702E-3</v>
      </c>
      <c r="O11" s="22">
        <f>$F$17*[2]PbI2!Q18</f>
        <v>8.2411582884732838E-5</v>
      </c>
      <c r="P11" s="22">
        <f>$F$17*[2]PbI2!R18</f>
        <v>2.2879926747205936E-6</v>
      </c>
      <c r="Q11" s="22">
        <f>$F$17*[2]PbI2!S18</f>
        <v>0.18032843421363032</v>
      </c>
      <c r="R11" s="22">
        <f>$F$17*[2]PbI2!T18</f>
        <v>2.215749148077011E-4</v>
      </c>
      <c r="S11" s="22">
        <f>$F$17*[2]PbI2!U18</f>
        <v>9.0436178450540652E-2</v>
      </c>
      <c r="T11" s="22">
        <f>$F$17*[2]PbI2!V18</f>
        <v>5.9654708589068714E-6</v>
      </c>
      <c r="U11" s="22">
        <f>$F$17*[2]PbI2!W18</f>
        <v>7.311010493393121E-4</v>
      </c>
      <c r="V11" s="22">
        <f>$F$17*[2]PbI2!X18</f>
        <v>7.6684383368077222E-7</v>
      </c>
      <c r="W11" s="22">
        <f>$F$17*[2]PbI2!Y18</f>
        <v>5.1606939490045714E-10</v>
      </c>
      <c r="X11" s="22">
        <f>$F$17*[2]PbI2!Z18</f>
        <v>1.2775400933451851E-5</v>
      </c>
      <c r="Y11" s="22">
        <f>$F$17*[2]PbI2!AA18</f>
        <v>1.798193703421002E-5</v>
      </c>
      <c r="Z11" s="22">
        <f>$F$17*[2]PbI2!AB18</f>
        <v>3.6142098918870911E-5</v>
      </c>
      <c r="AA11" s="22">
        <f>$F$17*[2]PbI2!AC18</f>
        <v>6.2177286961417735E-6</v>
      </c>
      <c r="AB11" s="22">
        <f>$F$17*[2]PbI2!AD18</f>
        <v>4.6493413868285282E-5</v>
      </c>
      <c r="AC11" s="22">
        <f>$F$17*[2]PbI2!AE18</f>
        <v>1.3576347175451414E-5</v>
      </c>
      <c r="AD11" s="22">
        <f>$F$17*[2]PbI2!AF18</f>
        <v>2.2109326838835278E-4</v>
      </c>
      <c r="AE11" s="22">
        <f>$F$17*[2]PbI2!AG18</f>
        <v>1.4114758621976476E-3</v>
      </c>
      <c r="AF11" s="22">
        <f>$F$17*[2]PbI2!AH18</f>
        <v>1.7740297149692987E-4</v>
      </c>
    </row>
    <row r="12" spans="1:33">
      <c r="A12" s="82" t="s">
        <v>41</v>
      </c>
      <c r="B12" s="27" t="s">
        <v>33</v>
      </c>
      <c r="C12" s="27" t="s">
        <v>33</v>
      </c>
      <c r="D12" s="27" t="s">
        <v>33</v>
      </c>
      <c r="E12" s="27">
        <v>1</v>
      </c>
      <c r="F12" s="22">
        <f>F7</f>
        <v>3.2660000000000002E-2</v>
      </c>
      <c r="G12" s="137"/>
      <c r="I12" s="31" t="s">
        <v>47</v>
      </c>
      <c r="J12" s="22">
        <f>F18*[1]production!$D$75</f>
        <v>6.7902299613866682E-3</v>
      </c>
      <c r="K12" s="22">
        <f>$F$18*[1]production!M75</f>
        <v>0.1846893663970838</v>
      </c>
      <c r="L12" s="22">
        <f>$F$18*[1]production!N75</f>
        <v>2.7636036593159423E-4</v>
      </c>
      <c r="M12" s="22">
        <f>$F$18*[1]production!O75</f>
        <v>6.1461406242133343E-3</v>
      </c>
      <c r="N12" s="22">
        <f>$F$18*[1]production!P75</f>
        <v>4.132946133704349E-3</v>
      </c>
      <c r="O12" s="22">
        <f>$F$18*[1]production!Q75</f>
        <v>8.6482164833947845E-5</v>
      </c>
      <c r="P12" s="22">
        <f>$F$18*[1]production!R75</f>
        <v>2.3329846090944932E-6</v>
      </c>
      <c r="Q12" s="22">
        <f>$F$18*[1]production!S75</f>
        <v>0.14087615012507829</v>
      </c>
      <c r="R12" s="22">
        <f>$F$18*[1]production!T75</f>
        <v>6.0830132241808702E-4</v>
      </c>
      <c r="S12" s="22">
        <f>$F$18*[1]production!U75</f>
        <v>9.1518117573379729E-2</v>
      </c>
      <c r="T12" s="22">
        <f>$F$18*[1]production!V75</f>
        <v>2.9658011962620293E-5</v>
      </c>
      <c r="U12" s="22">
        <f>$F$18*[1]production!W75</f>
        <v>3.9575658757194209E-4</v>
      </c>
      <c r="V12" s="22">
        <f>$F$18*[1]production!X75</f>
        <v>2.5951057118608701E-6</v>
      </c>
      <c r="W12" s="22">
        <f>$F$18*[1]production!Y75</f>
        <v>1.2351374190562322E-9</v>
      </c>
      <c r="X12" s="22">
        <f>$F$18*[1]production!Z75</f>
        <v>1.7129596266703772E-5</v>
      </c>
      <c r="Y12" s="22">
        <f>$F$18*[1]production!AA75</f>
        <v>2.0778170131737975E-5</v>
      </c>
      <c r="Z12" s="22">
        <f>$F$18*[1]production!AB75</f>
        <v>4.3643341601391314E-5</v>
      </c>
      <c r="AA12" s="22">
        <f>$F$18*[1]production!AC75</f>
        <v>4.3643341601391314E-5</v>
      </c>
      <c r="AB12" s="22">
        <f>$F$18*[1]production!AD75</f>
        <v>5.2450325869078271E-5</v>
      </c>
      <c r="AC12" s="22">
        <f>$F$18*[1]production!AE75</f>
        <v>1.8357495393651018E-5</v>
      </c>
      <c r="AD12" s="22">
        <f>$F$18*[1]production!AF75</f>
        <v>2.7346504908800002E-4</v>
      </c>
      <c r="AE12" s="22">
        <f>$F$18*[1]production!AG75</f>
        <v>1.214490487466667E-3</v>
      </c>
      <c r="AF12" s="22">
        <f>$F$18*[1]production!AH75</f>
        <v>5.138950076326958E-4</v>
      </c>
    </row>
    <row r="13" spans="1:33">
      <c r="A13" s="30" t="s">
        <v>48</v>
      </c>
      <c r="I13" s="31" t="s">
        <v>191</v>
      </c>
      <c r="J13" s="22">
        <f>F19*'[1]Jian''s'!$D$5</f>
        <v>6.4442149153297573E-2</v>
      </c>
      <c r="K13" s="22">
        <f>$F$19*[2]CH3NH3I!M17</f>
        <v>1.3688443144771683</v>
      </c>
      <c r="L13" s="22">
        <f>$F$19*[2]CH3NH3I!N17</f>
        <v>6.4370896490620871E-3</v>
      </c>
      <c r="M13" s="22">
        <f>$F$19*[2]CH3NH3I!O17</f>
        <v>5.8972107459167561E-2</v>
      </c>
      <c r="N13" s="22">
        <f>$F$19*[2]CH3NH3I!P17</f>
        <v>2.7197501932536679E-2</v>
      </c>
      <c r="O13" s="22">
        <f>$F$19*[2]CH3NH3I!Q17</f>
        <v>2.2230101973150155E-3</v>
      </c>
      <c r="P13" s="22">
        <f>$F$19*[2]CH3NH3I!R17</f>
        <v>5.2332392075582598E-5</v>
      </c>
      <c r="Q13" s="22">
        <f>$F$19*[2]CH3NH3I!S17</f>
        <v>2.6080050960772811</v>
      </c>
      <c r="R13" s="22">
        <f>$F$19*[2]CH3NH3I!T17</f>
        <v>6.3046787897588566E-3</v>
      </c>
      <c r="S13" s="22">
        <f>$F$19*[2]CH3NH3I!U17</f>
        <v>1.9838558224704119</v>
      </c>
      <c r="T13" s="22">
        <f>$F$19*[2]CH3NH3I!V17</f>
        <v>8.3770089149672039E-5</v>
      </c>
      <c r="U13" s="22">
        <f>$F$19*[2]CH3NH3I!W17</f>
        <v>4.71104950005009E-3</v>
      </c>
      <c r="V13" s="22">
        <f>$F$19*[2]CH3NH3I!X17</f>
        <v>1.2438661225521767E-5</v>
      </c>
      <c r="W13" s="22">
        <f>$F$19*[2]CH3NH3I!Y17</f>
        <v>2.1321998623698516E-8</v>
      </c>
      <c r="X13" s="22">
        <f>$F$19*[2]CH3NH3I!Z17</f>
        <v>1.9246950781214077E-4</v>
      </c>
      <c r="Y13" s="22">
        <f>$F$19*[2]CH3NH3I!AA17</f>
        <v>2.5917274906428147E-4</v>
      </c>
      <c r="Z13" s="22">
        <f>$F$19*[2]CH3NH3I!AB17</f>
        <v>4.8842986205958265E-4</v>
      </c>
      <c r="AA13" s="22">
        <f>$F$19*[2]CH3NH3I!AC17</f>
        <v>9.2666426109519411E-5</v>
      </c>
      <c r="AB13" s="22">
        <f>$F$19*[2]CH3NH3I!AD17</f>
        <v>8.9026676118611828E-4</v>
      </c>
      <c r="AC13" s="22">
        <f>$F$19*[2]CH3NH3I!AE17</f>
        <v>1.1563402092158476E-3</v>
      </c>
      <c r="AD13" s="22">
        <f>$F$19*[2]CH3NH3I!AF17</f>
        <v>3.6929946908737035E-3</v>
      </c>
      <c r="AE13" s="22">
        <f>$F$19*[2]CH3NH3I!AG17</f>
        <v>2.0353102715649378E-2</v>
      </c>
      <c r="AF13" s="22">
        <f>$F$19*[2]CH3NH3I!AH17</f>
        <v>3.4798613757080505E-3</v>
      </c>
    </row>
    <row r="14" spans="1:33">
      <c r="A14" s="82" t="s">
        <v>45</v>
      </c>
      <c r="B14" s="27">
        <v>120</v>
      </c>
      <c r="C14" s="27">
        <v>0.8</v>
      </c>
      <c r="D14" s="27">
        <v>7240</v>
      </c>
      <c r="E14" s="27">
        <v>0.6</v>
      </c>
      <c r="F14" s="22">
        <f>B14*C14/1000000000*D14/E14</f>
        <v>1.1584E-3</v>
      </c>
      <c r="I14" s="31" t="s">
        <v>50</v>
      </c>
      <c r="J14" s="22">
        <f>F20*[1]production!$D$76</f>
        <v>5.7089582270140764E-2</v>
      </c>
      <c r="K14" s="22">
        <f>$F$20*[1]production!M76</f>
        <v>1.8870770104736083</v>
      </c>
      <c r="L14" s="22">
        <f>$F$20*[1]production!N76</f>
        <v>1.1480755323949286E-3</v>
      </c>
      <c r="M14" s="22">
        <f>$F$20*[1]production!O76</f>
        <v>4.9739622907723532E-2</v>
      </c>
      <c r="N14" s="22">
        <f>$F$20*[1]production!P76</f>
        <v>4.3189999401018267E-2</v>
      </c>
      <c r="O14" s="22">
        <f>$F$20*[1]production!Q76</f>
        <v>2.8999669521812915E-4</v>
      </c>
      <c r="P14" s="22">
        <f>$F$20*[1]production!R76</f>
        <v>8.215009875212139E-6</v>
      </c>
      <c r="Q14" s="22">
        <f>$F$20*[1]production!S76</f>
        <v>0.47795056883298392</v>
      </c>
      <c r="R14" s="22">
        <f>$F$20*[1]production!T76</f>
        <v>1.1527962634188544E-3</v>
      </c>
      <c r="S14" s="22">
        <f>$F$20*[1]production!U76</f>
        <v>0.3558680877175468</v>
      </c>
      <c r="T14" s="22">
        <f>$F$20*[1]production!V76</f>
        <v>3.4970925320288842E-5</v>
      </c>
      <c r="U14" s="22">
        <f>$F$20*[1]production!W76</f>
        <v>2.0193786690625936E-3</v>
      </c>
      <c r="V14" s="22">
        <f>$F$20*[1]production!X76</f>
        <v>4.5984922272137369E-6</v>
      </c>
      <c r="W14" s="22">
        <f>$F$20*[1]production!Y76</f>
        <v>2.0233490852217895E-9</v>
      </c>
      <c r="X14" s="22">
        <f>$F$20*[1]production!Z76</f>
        <v>7.5347243978569764E-5</v>
      </c>
      <c r="Y14" s="22">
        <f>$F$20*[1]production!AA76</f>
        <v>2.4587818117200756E-4</v>
      </c>
      <c r="Z14" s="22">
        <f>$F$20*[1]production!AB76</f>
        <v>2.114199710092842E-4</v>
      </c>
      <c r="AA14" s="22">
        <f>$F$20*[1]production!AC76</f>
        <v>1.6384062964959568E-5</v>
      </c>
      <c r="AB14" s="22">
        <f>$F$20*[1]production!AD76</f>
        <v>1.6280269408671926E-4</v>
      </c>
      <c r="AC14" s="22">
        <f>$F$20*[1]production!AE76</f>
        <v>1.3213044767894578E-4</v>
      </c>
      <c r="AD14" s="22">
        <f>$F$20*[1]production!AF76</f>
        <v>1.7153135701307777E-3</v>
      </c>
      <c r="AE14" s="22">
        <f>$F$20*[1]production!AG76</f>
        <v>5.1790483537985429E-3</v>
      </c>
      <c r="AF14" s="22">
        <f>$F$20*[1]production!AH76</f>
        <v>5.2725250806961495E-3</v>
      </c>
      <c r="AG14" s="22"/>
    </row>
    <row r="15" spans="1:33">
      <c r="A15" s="82" t="s">
        <v>51</v>
      </c>
      <c r="B15" s="27" t="s">
        <v>33</v>
      </c>
      <c r="C15" s="27" t="s">
        <v>33</v>
      </c>
      <c r="D15" s="27" t="s">
        <v>33</v>
      </c>
      <c r="E15" s="27">
        <v>0.6</v>
      </c>
      <c r="F15" s="22">
        <f>F14/'[5]5% La-doped BSO'!$E$16*'[5]5% La-doped BSO'!$E$17</f>
        <v>7.7200000000000001E-4</v>
      </c>
      <c r="G15" s="26" t="s">
        <v>52</v>
      </c>
      <c r="I15" s="31" t="s">
        <v>74</v>
      </c>
      <c r="J15" s="22">
        <f>$F$21*[1]production!D70</f>
        <v>1.3551209999999999E-3</v>
      </c>
      <c r="K15" s="22">
        <f>$F$21*[1]production!M70</f>
        <v>5.4955341728023827E-2</v>
      </c>
      <c r="L15" s="22">
        <f>$F$21*[1]production!N70</f>
        <v>1.3573752E-7</v>
      </c>
      <c r="M15" s="22">
        <f>$F$21*[1]production!O70</f>
        <v>1.1111471999999999E-3</v>
      </c>
      <c r="N15" s="22">
        <f>$F$21*[1]production!P70</f>
        <v>1.2774378E-3</v>
      </c>
      <c r="O15" s="22">
        <f>$F$21*[1]production!Q70</f>
        <v>7.6738169999999995E-7</v>
      </c>
      <c r="P15" s="22">
        <f>$F$21*[1]production!R70</f>
        <v>8.9500409999999989E-9</v>
      </c>
      <c r="Q15" s="22">
        <f>$F$21*[1]production!S70</f>
        <v>4.4592410999999993E-4</v>
      </c>
      <c r="R15" s="22">
        <f>$F$21*[1]production!T70</f>
        <v>1.1454803999999999E-7</v>
      </c>
      <c r="S15" s="22">
        <f>$F$21*[1]production!U70</f>
        <v>1.1459139E-3</v>
      </c>
      <c r="T15" s="22">
        <f>$F$21*[1]production!V70</f>
        <v>7.0486232999999996E-7</v>
      </c>
      <c r="U15" s="22">
        <f>$F$21*[1]production!W70</f>
        <v>6.4451045999999997E-7</v>
      </c>
      <c r="V15" s="22">
        <f>$F$21*[1]production!X70</f>
        <v>-1.3157592E-10</v>
      </c>
      <c r="W15" s="22">
        <f>$F$21*[1]production!Y70</f>
        <v>3.6024716999999995E-13</v>
      </c>
      <c r="X15" s="22">
        <f>$F$21*[1]production!Z70</f>
        <v>1.0251407999999999E-6</v>
      </c>
      <c r="Y15" s="22">
        <f>$F$21*[1]production!AA70</f>
        <v>3.7846283999999994E-6</v>
      </c>
      <c r="Z15" s="22">
        <f>$F$21*[1]production!AB70</f>
        <v>3.2528972999999998E-6</v>
      </c>
      <c r="AA15" s="22">
        <f>$F$21*[1]production!AC70</f>
        <v>1.9635815999999996E-7</v>
      </c>
      <c r="AB15" s="22">
        <f>$F$21*[1]production!AD70</f>
        <v>6.6745994999999989E-8</v>
      </c>
      <c r="AC15" s="22">
        <f>$F$21*[1]production!AE70</f>
        <v>1.8624027000000001E-7</v>
      </c>
      <c r="AD15" s="22">
        <f>$F$21*[1]production!AF70</f>
        <v>3.0666656999999998E-5</v>
      </c>
      <c r="AE15" s="22">
        <f>$F$21*[1]production!AG70</f>
        <v>4.4451089999999998E-5</v>
      </c>
      <c r="AF15" s="22">
        <f>$F$21*[1]production!AH70</f>
        <v>1.5321623999999998E-4</v>
      </c>
    </row>
    <row r="16" spans="1:33">
      <c r="A16" s="30" t="s">
        <v>54</v>
      </c>
      <c r="I16" s="31" t="s">
        <v>53</v>
      </c>
      <c r="J16" s="22">
        <f>F23*[6]Inventory!$AP$84</f>
        <v>0.194226136277663</v>
      </c>
      <c r="K16" s="22">
        <f>$F$23*[6]Inventory!AQ84</f>
        <v>3.2878661442403283</v>
      </c>
      <c r="L16" s="22">
        <f>$F$23*[6]Inventory!AR84</f>
        <v>1.0481475625709552E-2</v>
      </c>
      <c r="M16" s="22">
        <f>$F$23*[6]Inventory!AS84</f>
        <v>0.17395021294165905</v>
      </c>
      <c r="N16" s="22">
        <f>$F$23*[6]Inventory!AT84</f>
        <v>7.1535587853100824E-2</v>
      </c>
      <c r="O16" s="22">
        <f>$F$23*[6]Inventory!AU84</f>
        <v>4.9485822638220944E-3</v>
      </c>
      <c r="P16" s="22">
        <f>$F$23*[6]Inventory!AV84</f>
        <v>1.0211204210343115E-4</v>
      </c>
      <c r="Q16" s="22">
        <f>$F$23*[6]Inventory!AW84</f>
        <v>5.2188762835723228</v>
      </c>
      <c r="R16" s="22">
        <f>$F$23*[6]Inventory!AX84</f>
        <v>9.433599721817898E-3</v>
      </c>
      <c r="S16" s="22">
        <f>$F$23*[6]Inventory!AY84</f>
        <v>3.9362015552436818</v>
      </c>
      <c r="T16" s="22">
        <f>$F$23*[6]Inventory!AZ84</f>
        <v>2.071232000780253E-4</v>
      </c>
      <c r="U16" s="22">
        <f>$F$23*[6]Inventory!BA84</f>
        <v>1.2097229641745273E-2</v>
      </c>
      <c r="V16" s="22">
        <f>$F$23*[6]Inventory!BB84</f>
        <v>2.7298950104205477E-5</v>
      </c>
      <c r="W16" s="22">
        <f>$F$23*[6]Inventory!BC84</f>
        <v>2.9587308119673263E-8</v>
      </c>
      <c r="X16" s="22">
        <f>$F$23*[6]Inventory!BD84</f>
        <v>5.271713214713619E-4</v>
      </c>
      <c r="Y16" s="22">
        <f>$F$23*[6]Inventory!BE84</f>
        <v>6.2193745752386095E-4</v>
      </c>
      <c r="Z16" s="22">
        <f>$F$23*[6]Inventory!BF84</f>
        <v>1.7197764273420425E-3</v>
      </c>
      <c r="AA16" s="22">
        <f>$F$23*[6]Inventory!BG84</f>
        <v>5.1235257566999116E-4</v>
      </c>
      <c r="AB16" s="22">
        <f>$F$23*[6]Inventory!BH84</f>
        <v>1.2156135063403916E-3</v>
      </c>
      <c r="AC16" s="22">
        <f>$F$23*[6]Inventory!BI84</f>
        <v>3.9165855065028809E-4</v>
      </c>
      <c r="AD16" s="22">
        <f>$F$23*[6]Inventory!BJ84</f>
        <v>7.3771372811601427E-3</v>
      </c>
      <c r="AE16" s="22">
        <f>$F$23*[6]Inventory!BK84</f>
        <v>4.2955594818262124E-2</v>
      </c>
      <c r="AF16" s="22">
        <f>$F$23*[6]Inventory!BL84</f>
        <v>9.1050545168319414E-3</v>
      </c>
      <c r="AG16" s="22"/>
    </row>
    <row r="17" spans="1:33">
      <c r="A17" s="31" t="s">
        <v>46</v>
      </c>
      <c r="B17" s="27">
        <f>440*96/300</f>
        <v>140.80000000000001</v>
      </c>
      <c r="C17" s="27">
        <v>0.8</v>
      </c>
      <c r="D17" s="27">
        <v>6160</v>
      </c>
      <c r="E17" s="27">
        <v>0.6</v>
      </c>
      <c r="F17" s="22">
        <f>B17*C17*D17/1000000000/E17</f>
        <v>1.1564373333333336E-3</v>
      </c>
      <c r="I17" s="52" t="str">
        <f>A25</f>
        <v>Cu</v>
      </c>
      <c r="J17" s="53">
        <f>$F$25*[3]production!D133</f>
        <v>7.2295014400000001E-3</v>
      </c>
      <c r="K17" s="53">
        <f>$F$25*[3]production!M133</f>
        <v>0.103960138283008</v>
      </c>
      <c r="L17" s="53">
        <f>$F$25*[3]production!N133</f>
        <v>5.2869734399999999E-4</v>
      </c>
      <c r="M17" s="53">
        <f>$F$25*[3]production!O133</f>
        <v>6.5984307199999995E-3</v>
      </c>
      <c r="N17" s="53">
        <f>$F$25*[3]production!P133</f>
        <v>1.9158630399999999E-3</v>
      </c>
      <c r="O17" s="53">
        <f>$F$25*[3]production!Q133</f>
        <v>7.1140966399999995E-3</v>
      </c>
      <c r="P17" s="53">
        <f>$F$25*[3]production!R133</f>
        <v>2.0959231999999998E-4</v>
      </c>
      <c r="Q17" s="53">
        <f>$F$25*[3]production!S133</f>
        <v>17.904230399999999</v>
      </c>
      <c r="R17" s="53">
        <f>$F$25*[3]production!T133</f>
        <v>6.6877440000000005E-4</v>
      </c>
      <c r="S17" s="53">
        <f>$F$25*[3]production!U133</f>
        <v>9.36155136</v>
      </c>
      <c r="T17" s="53">
        <f>$F$25*[3]production!V133</f>
        <v>4.3071078400000001E-5</v>
      </c>
      <c r="U17" s="53">
        <f>$F$25*[3]production!W133</f>
        <v>6.8633600000000003E-2</v>
      </c>
      <c r="V17" s="53">
        <f>$F$25*[3]production!X133</f>
        <v>2.8534374399999995E-6</v>
      </c>
      <c r="W17" s="53">
        <f>$F$25*[3]production!Y133</f>
        <v>4.3019468800000001E-10</v>
      </c>
      <c r="X17" s="53">
        <f>$F$25*[3]production!Z133</f>
        <v>2.0845977599999999E-4</v>
      </c>
      <c r="Y17" s="53">
        <f>$F$25*[3]production!AA133</f>
        <v>1.3396848639999999E-4</v>
      </c>
      <c r="Z17" s="53">
        <f>$F$25*[3]production!AB133</f>
        <v>6.9865062399999999E-4</v>
      </c>
      <c r="AA17" s="53">
        <f>$F$25*[3]production!AC133</f>
        <v>8.8196505599999996E-4</v>
      </c>
      <c r="AB17" s="53">
        <f>$F$25*[3]production!AD133</f>
        <v>6.2549401599999992E-4</v>
      </c>
      <c r="AC17" s="53">
        <f>$F$25*[3]production!AE133</f>
        <v>2.3164108799999999E-4</v>
      </c>
      <c r="AD17" s="53">
        <f>$F$25*[3]production!AF133</f>
        <v>3.3034444799999998E-3</v>
      </c>
      <c r="AE17" s="53">
        <f>$F$25*[3]production!AG133</f>
        <v>0.12301148159999999</v>
      </c>
      <c r="AF17" s="53">
        <f>$F$25*[3]production!AH133</f>
        <v>3.4155519999999997E-3</v>
      </c>
    </row>
    <row r="18" spans="1:33">
      <c r="A18" s="31" t="s">
        <v>47</v>
      </c>
      <c r="B18" s="27" t="s">
        <v>33</v>
      </c>
      <c r="C18" s="27" t="s">
        <v>33</v>
      </c>
      <c r="D18" s="27" t="s">
        <v>33</v>
      </c>
      <c r="E18" s="27">
        <v>0.6</v>
      </c>
      <c r="F18" s="22">
        <f>F17/0.46*0.944</f>
        <v>2.3732105275362323E-3</v>
      </c>
      <c r="G18" s="27" t="s">
        <v>56</v>
      </c>
      <c r="I18" s="117" t="s">
        <v>202</v>
      </c>
      <c r="J18" s="118">
        <f>$F$26*[3]production!D46</f>
        <v>0.29058656969696967</v>
      </c>
      <c r="K18" s="118">
        <f>$F$26*[3]production!M46</f>
        <v>4.3659558183030303</v>
      </c>
      <c r="L18" s="118">
        <f>$F$26*[3]production!N46</f>
        <v>1.5204004848484845E-2</v>
      </c>
      <c r="M18" s="118">
        <f>$F$26*[3]production!O46</f>
        <v>0.26877852121212115</v>
      </c>
      <c r="N18" s="118">
        <f>$F$26*[3]production!P46</f>
        <v>7.7184489696969685E-2</v>
      </c>
      <c r="O18" s="118">
        <f>$F$26*[3]production!Q46</f>
        <v>3.8203549090909082E-3</v>
      </c>
      <c r="P18" s="118">
        <f>$F$26*[3]production!R46</f>
        <v>1.5748935757575755E-4</v>
      </c>
      <c r="Q18" s="118">
        <f>$F$26*[3]production!S46</f>
        <v>5.0588833939393929</v>
      </c>
      <c r="R18" s="118">
        <f>$F$26*[3]production!T46</f>
        <v>4.4774075151515144E-2</v>
      </c>
      <c r="S18" s="118">
        <f>$F$26*[3]production!U46</f>
        <v>4.3602041212121208</v>
      </c>
      <c r="T18" s="118">
        <f>$F$26*[3]production!V46</f>
        <v>2.6226962424242417E-4</v>
      </c>
      <c r="U18" s="118">
        <f>$F$26*[3]production!W46</f>
        <v>3.5047490909090903E-3</v>
      </c>
      <c r="V18" s="118">
        <f>$F$26*[3]production!X46</f>
        <v>3.1948736969696965E-5</v>
      </c>
      <c r="W18" s="118">
        <f>$F$26*[3]production!Y46</f>
        <v>1.6083030303030301E-8</v>
      </c>
      <c r="X18" s="118">
        <f>$F$26*[3]production!Z46</f>
        <v>9.0081187878787868E-4</v>
      </c>
      <c r="Y18" s="118">
        <f>$F$26*[3]production!AA46</f>
        <v>7.1664901818181801E-4</v>
      </c>
      <c r="Z18" s="118">
        <f>$F$26*[3]production!AB46</f>
        <v>1.4193071515151512E-3</v>
      </c>
      <c r="AA18" s="118">
        <f>$F$26*[3]production!AC46</f>
        <v>9.7240974545454532E-5</v>
      </c>
      <c r="AB18" s="118">
        <f>$F$26*[3]production!AD46</f>
        <v>1.7287500606060604E-3</v>
      </c>
      <c r="AC18" s="118">
        <f>$F$26*[3]production!AE46</f>
        <v>1.1379757575757574E-3</v>
      </c>
      <c r="AD18" s="118">
        <f>$F$26*[3]production!AF46</f>
        <v>1.1503015757575756E-2</v>
      </c>
      <c r="AE18" s="118">
        <f>$F$26*[3]production!AG46</f>
        <v>4.5996926060606055E-2</v>
      </c>
      <c r="AF18" s="118">
        <f>$F$26*[3]production!AH46</f>
        <v>9.4180063030303018E-3</v>
      </c>
      <c r="AG18" s="119"/>
    </row>
    <row r="19" spans="1:33">
      <c r="A19" s="31" t="s">
        <v>49</v>
      </c>
      <c r="B19" s="27">
        <f>440/300*204</f>
        <v>299.2</v>
      </c>
      <c r="C19" s="27">
        <v>0.8</v>
      </c>
      <c r="D19" s="27">
        <v>1000</v>
      </c>
      <c r="E19" s="27">
        <v>0.6</v>
      </c>
      <c r="F19" s="22">
        <f>B19*C19*D19/1000000000/E19</f>
        <v>3.9893333333333334E-4</v>
      </c>
      <c r="I19" s="117" t="s">
        <v>203</v>
      </c>
      <c r="J19" s="118">
        <f>$F$27*[3]production!D91</f>
        <v>1.2806957575757575E-4</v>
      </c>
      <c r="K19" s="118">
        <f>$F$27*[3]production!M91</f>
        <v>1.7448388645818179E-3</v>
      </c>
      <c r="L19" s="118">
        <f>$F$27*[3]production!N91</f>
        <v>5.0365023030303021E-6</v>
      </c>
      <c r="M19" s="118">
        <f>$F$27*[3]production!O91</f>
        <v>1.1821973333333331E-4</v>
      </c>
      <c r="N19" s="118">
        <f>$F$27*[3]production!P91</f>
        <v>3.3462433939393932E-5</v>
      </c>
      <c r="O19" s="118">
        <f>$F$27*[3]production!Q91</f>
        <v>1.5462414545454542E-6</v>
      </c>
      <c r="P19" s="118">
        <f>$F$27*[3]production!R91</f>
        <v>6.2809774545454535E-8</v>
      </c>
      <c r="Q19" s="118">
        <f>$F$27*[3]production!S91</f>
        <v>2.0907398787878783E-3</v>
      </c>
      <c r="R19" s="118">
        <f>$F$27*[3]production!T91</f>
        <v>1.3000494545454543E-5</v>
      </c>
      <c r="S19" s="118">
        <f>$F$27*[3]production!U91</f>
        <v>1.7876761212121208E-3</v>
      </c>
      <c r="T19" s="118">
        <f>$F$27*[3]production!V91</f>
        <v>1.1685740606060604E-7</v>
      </c>
      <c r="U19" s="118">
        <f>$F$27*[3]production!W91</f>
        <v>1.3077260606060604E-6</v>
      </c>
      <c r="V19" s="118">
        <f>$F$27*[3]production!X91</f>
        <v>1.3889250909090907E-8</v>
      </c>
      <c r="W19" s="118">
        <f>$F$27*[3]production!Y91</f>
        <v>5.8068659393939386E-12</v>
      </c>
      <c r="X19" s="118">
        <f>$F$27*[3]production!Z91</f>
        <v>4.3156581818181813E-7</v>
      </c>
      <c r="Y19" s="118">
        <f>$F$27*[3]production!AA91</f>
        <v>3.2327161212121209E-7</v>
      </c>
      <c r="Z19" s="118">
        <f>$F$27*[3]production!AB91</f>
        <v>6.3258477575757571E-7</v>
      </c>
      <c r="AA19" s="118">
        <f>$F$27*[3]production!AC91</f>
        <v>4.0537886060606053E-8</v>
      </c>
      <c r="AB19" s="118">
        <f>$F$27*[3]production!AD91</f>
        <v>7.6982303030303019E-7</v>
      </c>
      <c r="AC19" s="118">
        <f>$F$27*[3]production!AE91</f>
        <v>4.6972179393939389E-7</v>
      </c>
      <c r="AD19" s="118">
        <f>$F$27*[3]production!AF91</f>
        <v>4.8958366060606059E-6</v>
      </c>
      <c r="AE19" s="118">
        <f>$F$27*[3]production!AG91</f>
        <v>1.9418569696969696E-5</v>
      </c>
      <c r="AF19" s="118">
        <f>$F$27*[3]production!AH91</f>
        <v>4.0733585454545447E-6</v>
      </c>
      <c r="AG19" s="119"/>
    </row>
    <row r="20" spans="1:33">
      <c r="A20" s="31" t="s">
        <v>50</v>
      </c>
      <c r="B20" s="27" t="s">
        <v>33</v>
      </c>
      <c r="C20" s="27" t="s">
        <v>33</v>
      </c>
      <c r="D20" s="27" t="s">
        <v>33</v>
      </c>
      <c r="E20" s="27">
        <v>0.6</v>
      </c>
      <c r="F20" s="22">
        <f>F19*1000/159/0.063*0.785</f>
        <v>3.1263119363748294E-2</v>
      </c>
      <c r="G20" s="27" t="s">
        <v>58</v>
      </c>
      <c r="I20" s="30" t="s">
        <v>55</v>
      </c>
      <c r="J20" s="22">
        <f>SUM(J21:J40)</f>
        <v>0</v>
      </c>
      <c r="K20" s="22">
        <f t="shared" ref="K20:AF20" si="0">SUM(K21:K40)</f>
        <v>0</v>
      </c>
      <c r="L20" s="22">
        <f t="shared" si="0"/>
        <v>0</v>
      </c>
      <c r="M20" s="22">
        <f t="shared" si="0"/>
        <v>0</v>
      </c>
      <c r="N20" s="22">
        <f t="shared" si="0"/>
        <v>0</v>
      </c>
      <c r="O20" s="22">
        <f t="shared" si="0"/>
        <v>2.8766311844440274E-2</v>
      </c>
      <c r="P20" s="22">
        <f t="shared" si="0"/>
        <v>0</v>
      </c>
      <c r="Q20" s="22">
        <f t="shared" si="0"/>
        <v>4.1552245543121494E-2</v>
      </c>
      <c r="R20" s="22">
        <f t="shared" si="0"/>
        <v>0</v>
      </c>
      <c r="S20" s="22">
        <f t="shared" si="0"/>
        <v>65.577563156317765</v>
      </c>
      <c r="T20" s="22">
        <f t="shared" si="0"/>
        <v>0</v>
      </c>
      <c r="U20" s="22">
        <f t="shared" si="0"/>
        <v>0</v>
      </c>
      <c r="V20" s="22">
        <f t="shared" si="0"/>
        <v>0</v>
      </c>
      <c r="W20" s="22">
        <f t="shared" si="0"/>
        <v>0</v>
      </c>
      <c r="X20" s="22">
        <f t="shared" si="0"/>
        <v>0</v>
      </c>
      <c r="Y20" s="22">
        <f t="shared" si="0"/>
        <v>2.1558294900738295E-2</v>
      </c>
      <c r="Z20" s="22">
        <f t="shared" si="0"/>
        <v>0</v>
      </c>
      <c r="AA20" s="22">
        <f t="shared" si="0"/>
        <v>0.30114287944884338</v>
      </c>
      <c r="AB20" s="22">
        <f t="shared" si="0"/>
        <v>0</v>
      </c>
      <c r="AC20" s="22">
        <f t="shared" si="0"/>
        <v>0</v>
      </c>
      <c r="AD20" s="22">
        <f t="shared" si="0"/>
        <v>8.2794294919128139E-2</v>
      </c>
      <c r="AE20" s="22">
        <f t="shared" si="0"/>
        <v>2.7979059755858012E-4</v>
      </c>
      <c r="AF20" s="22">
        <f t="shared" si="0"/>
        <v>0</v>
      </c>
    </row>
    <row r="21" spans="1:33">
      <c r="A21" s="31" t="s">
        <v>74</v>
      </c>
      <c r="F21" s="22">
        <f>1/1000000*867</f>
        <v>8.6699999999999993E-4</v>
      </c>
      <c r="I21" s="31" t="s">
        <v>192</v>
      </c>
      <c r="J21" s="22">
        <f>$F$30*'[1]direct emissions'!D23</f>
        <v>0</v>
      </c>
      <c r="K21" s="22">
        <f>$F$30*'[1]direct emissions'!M23</f>
        <v>0</v>
      </c>
      <c r="L21" s="22">
        <f>$F$30*'[1]direct emissions'!N23</f>
        <v>0</v>
      </c>
      <c r="M21" s="22">
        <f>$F$30*'[1]direct emissions'!O23</f>
        <v>0</v>
      </c>
      <c r="N21" s="22">
        <f>$F$30*'[1]direct emissions'!P23</f>
        <v>0</v>
      </c>
      <c r="O21" s="22">
        <f>$F$30*'[1]direct emissions'!Q23</f>
        <v>0</v>
      </c>
      <c r="P21" s="22">
        <f>$F$30*'[1]direct emissions'!R23</f>
        <v>0</v>
      </c>
      <c r="Q21" s="22">
        <f>$F$30*'[1]direct emissions'!S23</f>
        <v>0</v>
      </c>
      <c r="R21" s="22">
        <f>$F$30*'[1]direct emissions'!T23</f>
        <v>0</v>
      </c>
      <c r="S21" s="22">
        <f>$F$30*'[1]direct emissions'!U23</f>
        <v>0</v>
      </c>
      <c r="T21" s="22">
        <f>$F$30*'[1]direct emissions'!V23</f>
        <v>0</v>
      </c>
      <c r="U21" s="22">
        <f>$F$30*'[1]direct emissions'!W23</f>
        <v>0</v>
      </c>
      <c r="V21" s="22">
        <f>$F$30*'[1]direct emissions'!X23</f>
        <v>0</v>
      </c>
      <c r="W21" s="22">
        <f>$F$30*'[1]direct emissions'!Y23</f>
        <v>0</v>
      </c>
      <c r="X21" s="22">
        <f>$F$30*'[1]direct emissions'!Z23</f>
        <v>0</v>
      </c>
      <c r="Y21" s="22">
        <f>$F$30*'[1]direct emissions'!AA23</f>
        <v>0</v>
      </c>
      <c r="Z21" s="22">
        <f>$F$30*'[1]direct emissions'!AB23</f>
        <v>0</v>
      </c>
      <c r="AA21" s="22">
        <f>$F$30*'[1]direct emissions'!AC23</f>
        <v>0</v>
      </c>
      <c r="AB21" s="22">
        <f>$F$30*'[1]direct emissions'!AD23</f>
        <v>0</v>
      </c>
      <c r="AC21" s="22">
        <f>$F$30*'[1]direct emissions'!AE23</f>
        <v>0</v>
      </c>
      <c r="AD21" s="22">
        <f>$F$30*'[1]direct emissions'!AF23</f>
        <v>0</v>
      </c>
      <c r="AE21" s="22">
        <f>$F$30*'[1]direct emissions'!AG23</f>
        <v>0</v>
      </c>
      <c r="AF21" s="22">
        <f>$F$30*'[1]direct emissions'!AH23</f>
        <v>0</v>
      </c>
    </row>
    <row r="22" spans="1:33">
      <c r="A22" s="30" t="s">
        <v>60</v>
      </c>
      <c r="I22" s="31" t="s">
        <v>39</v>
      </c>
      <c r="J22" s="22">
        <f>$F$32*'[1]direct emissions'!D15</f>
        <v>0</v>
      </c>
      <c r="K22" s="22">
        <f>$F$32*'[1]direct emissions'!M15</f>
        <v>0</v>
      </c>
      <c r="L22" s="22">
        <f>$F$32*'[1]direct emissions'!N15</f>
        <v>0</v>
      </c>
      <c r="M22" s="22">
        <f>$F$32*'[1]direct emissions'!O15</f>
        <v>0</v>
      </c>
      <c r="N22" s="22">
        <f>$F$32*'[1]direct emissions'!P15</f>
        <v>0</v>
      </c>
      <c r="O22" s="22">
        <f>$F$32*'[1]direct emissions'!Q15</f>
        <v>1.3954309510601173E-7</v>
      </c>
      <c r="P22" s="22">
        <f>$F$32*'[1]direct emissions'!R15</f>
        <v>0</v>
      </c>
      <c r="Q22" s="22">
        <f>$F$32*'[1]direct emissions'!S15</f>
        <v>1.9072491238273536E-4</v>
      </c>
      <c r="R22" s="22">
        <f>$F$32*'[1]direct emissions'!T15</f>
        <v>0</v>
      </c>
      <c r="S22" s="22">
        <f>$F$32*'[1]direct emissions'!U15</f>
        <v>2.3719975841886481E-7</v>
      </c>
      <c r="T22" s="22">
        <f>$F$32*'[1]direct emissions'!V15</f>
        <v>0</v>
      </c>
      <c r="U22" s="22">
        <f>$F$32*'[1]direct emissions'!W15</f>
        <v>0</v>
      </c>
      <c r="V22" s="22">
        <f>$F$32*'[1]direct emissions'!X15</f>
        <v>0</v>
      </c>
      <c r="W22" s="22">
        <f>$F$32*'[1]direct emissions'!Y15</f>
        <v>0</v>
      </c>
      <c r="X22" s="22">
        <f>$F$32*'[1]direct emissions'!Z15</f>
        <v>0</v>
      </c>
      <c r="Y22" s="22">
        <f>$F$32*'[1]direct emissions'!AA15</f>
        <v>8.9473408562538628E-3</v>
      </c>
      <c r="Z22" s="22">
        <f>$F$32*'[1]direct emissions'!AB15</f>
        <v>0</v>
      </c>
      <c r="AA22" s="22">
        <f>$F$32*'[1]direct emissions'!AC15</f>
        <v>4.9357252468364547E-7</v>
      </c>
      <c r="AB22" s="22">
        <f>$F$32*'[1]direct emissions'!AD15</f>
        <v>0</v>
      </c>
      <c r="AC22" s="22">
        <f>$F$32*'[1]direct emissions'!AE15</f>
        <v>0</v>
      </c>
      <c r="AD22" s="22">
        <f>$F$32*'[1]direct emissions'!AF15</f>
        <v>1.0834542115358903E-7</v>
      </c>
      <c r="AE22" s="22">
        <f>$F$32*'[1]direct emissions'!AG15</f>
        <v>4.7068656786616556E-6</v>
      </c>
      <c r="AF22" s="22">
        <f>$F$32*'[1]direct emissions'!AH15</f>
        <v>0</v>
      </c>
    </row>
    <row r="23" spans="1:33">
      <c r="A23" s="31" t="s">
        <v>53</v>
      </c>
      <c r="B23" s="27" t="s">
        <v>33</v>
      </c>
      <c r="C23" s="27">
        <v>0.8</v>
      </c>
      <c r="D23" s="27" t="s">
        <v>33</v>
      </c>
      <c r="E23" s="27">
        <v>0.6</v>
      </c>
      <c r="F23" s="22">
        <f>[7]mix!$E$11/1000</f>
        <v>9.1940000000000008E-3</v>
      </c>
      <c r="I23" s="31" t="s">
        <v>193</v>
      </c>
      <c r="L23" s="22"/>
      <c r="M23" s="22"/>
      <c r="N23" s="22"/>
      <c r="O23" s="22"/>
      <c r="P23" s="22"/>
      <c r="Q23" s="22"/>
      <c r="R23" s="22"/>
      <c r="S23" s="22"/>
      <c r="T23" s="22"/>
      <c r="U23" s="22"/>
      <c r="V23" s="22"/>
      <c r="W23" s="22"/>
      <c r="X23" s="22"/>
      <c r="Y23" s="22"/>
      <c r="Z23" s="22"/>
      <c r="AA23" s="22"/>
      <c r="AB23" s="22"/>
      <c r="AC23" s="22"/>
      <c r="AD23" s="22"/>
      <c r="AE23" s="22"/>
      <c r="AF23" s="22"/>
    </row>
    <row r="24" spans="1:33">
      <c r="A24" s="30" t="s">
        <v>62</v>
      </c>
      <c r="G24" s="27">
        <f>B25/1000000000*C25*D25*1000</f>
        <v>0.71679999999999999</v>
      </c>
      <c r="I24" s="31" t="s">
        <v>50</v>
      </c>
      <c r="J24" s="22">
        <f>$F$34*'[1]direct emissions'!D24</f>
        <v>0</v>
      </c>
      <c r="K24" s="22">
        <f>$F$34*'[1]direct emissions'!M24</f>
        <v>0</v>
      </c>
      <c r="L24" s="22">
        <f>$F$34*'[1]direct emissions'!N24</f>
        <v>0</v>
      </c>
      <c r="M24" s="22">
        <f>$F$34*'[1]direct emissions'!O24</f>
        <v>0</v>
      </c>
      <c r="N24" s="22">
        <f>$F$34*'[1]direct emissions'!P24</f>
        <v>0</v>
      </c>
      <c r="O24" s="22">
        <f>$F$34*'[1]direct emissions'!Q24</f>
        <v>0</v>
      </c>
      <c r="P24" s="22">
        <f>$F$34*'[1]direct emissions'!R24</f>
        <v>0</v>
      </c>
      <c r="Q24" s="22">
        <f>$F$34*'[1]direct emissions'!S24</f>
        <v>0</v>
      </c>
      <c r="R24" s="22">
        <f>$F$34*'[1]direct emissions'!T24</f>
        <v>0</v>
      </c>
      <c r="S24" s="22">
        <f>$F$34*'[1]direct emissions'!U24</f>
        <v>0</v>
      </c>
      <c r="T24" s="22">
        <f>$F$34*'[1]direct emissions'!V24</f>
        <v>0</v>
      </c>
      <c r="U24" s="22">
        <f>$F$34*'[1]direct emissions'!W24</f>
        <v>0</v>
      </c>
      <c r="V24" s="22">
        <f>$F$34*'[1]direct emissions'!X24</f>
        <v>0</v>
      </c>
      <c r="W24" s="22">
        <f>$F$34*'[1]direct emissions'!Y24</f>
        <v>0</v>
      </c>
      <c r="X24" s="22">
        <f>$F$34*'[1]direct emissions'!Z24</f>
        <v>0</v>
      </c>
      <c r="Y24" s="22">
        <f>$F$34*'[1]direct emissions'!AA24</f>
        <v>1.0210443533408126E-2</v>
      </c>
      <c r="Z24" s="22">
        <f>$F$34*'[1]direct emissions'!AB24</f>
        <v>0</v>
      </c>
      <c r="AA24" s="22">
        <f>$F$34*'[1]direct emissions'!AC24</f>
        <v>0</v>
      </c>
      <c r="AB24" s="22">
        <f>$F$34*'[1]direct emissions'!AD24</f>
        <v>0</v>
      </c>
      <c r="AC24" s="22">
        <f>$F$34*'[1]direct emissions'!AE24</f>
        <v>0</v>
      </c>
      <c r="AD24" s="22">
        <f>$F$34*'[1]direct emissions'!AF24</f>
        <v>0</v>
      </c>
      <c r="AE24" s="22">
        <f>$F$34*'[1]direct emissions'!AG24</f>
        <v>3.8849492468498417E-6</v>
      </c>
      <c r="AF24" s="22">
        <f>$F$34*'[1]direct emissions'!AH24</f>
        <v>0</v>
      </c>
    </row>
    <row r="25" spans="1:33">
      <c r="A25" s="52" t="s">
        <v>197</v>
      </c>
      <c r="B25" s="52">
        <v>100</v>
      </c>
      <c r="C25" s="52">
        <v>0.8</v>
      </c>
      <c r="D25" s="52">
        <v>8960</v>
      </c>
      <c r="E25" s="52">
        <v>0.5</v>
      </c>
      <c r="F25" s="53">
        <f>B25*C25*D25/E25/1000000000</f>
        <v>1.4335999999999999E-3</v>
      </c>
      <c r="G25" s="54">
        <f>F25*1000</f>
        <v>1.4336</v>
      </c>
      <c r="I25" s="31" t="s">
        <v>61</v>
      </c>
      <c r="J25" s="22">
        <f>$F$35*'[1]direct emissions'!D25</f>
        <v>0</v>
      </c>
      <c r="K25" s="22">
        <f>$F$35*'[1]direct emissions'!M25</f>
        <v>0</v>
      </c>
      <c r="L25" s="22">
        <f>$F$35*'[1]direct emissions'!N25</f>
        <v>0</v>
      </c>
      <c r="M25" s="22">
        <f>$F$35*'[1]direct emissions'!O25</f>
        <v>0</v>
      </c>
      <c r="N25" s="22">
        <f>$F$35*'[1]direct emissions'!P25</f>
        <v>0</v>
      </c>
      <c r="O25" s="22">
        <f>$F$35*'[1]direct emissions'!Q25</f>
        <v>7.8597631649002247E-9</v>
      </c>
      <c r="P25" s="22">
        <f>$F$35*'[1]direct emissions'!R25</f>
        <v>0</v>
      </c>
      <c r="Q25" s="22">
        <f>$F$35*'[1]direct emissions'!S25</f>
        <v>6.4031921927316536E-5</v>
      </c>
      <c r="R25" s="22">
        <f>$F$35*'[1]direct emissions'!T25</f>
        <v>0</v>
      </c>
      <c r="S25" s="22">
        <f>$F$35*'[1]direct emissions'!U25</f>
        <v>3.2051912302495688E-8</v>
      </c>
      <c r="T25" s="22">
        <f>$F$35*'[1]direct emissions'!V25</f>
        <v>0</v>
      </c>
      <c r="U25" s="22">
        <f>$F$35*'[1]direct emissions'!W25</f>
        <v>0</v>
      </c>
      <c r="V25" s="22">
        <f>$F$35*'[1]direct emissions'!X25</f>
        <v>0</v>
      </c>
      <c r="W25" s="22">
        <f>$F$35*'[1]direct emissions'!Y25</f>
        <v>0</v>
      </c>
      <c r="X25" s="22">
        <f>$F$35*'[1]direct emissions'!Z25</f>
        <v>0</v>
      </c>
      <c r="Y25" s="22">
        <f>$F$35*'[1]direct emissions'!AA25</f>
        <v>6.8251220535764463E-5</v>
      </c>
      <c r="Z25" s="22">
        <f>$F$35*'[1]direct emissions'!AB25</f>
        <v>0</v>
      </c>
      <c r="AA25" s="22">
        <f>$F$35*'[1]direct emissions'!AC25</f>
        <v>1.3044417358846941E-8</v>
      </c>
      <c r="AB25" s="22">
        <f>$F$35*'[1]direct emissions'!AD25</f>
        <v>0</v>
      </c>
      <c r="AC25" s="22">
        <f>$F$35*'[1]direct emissions'!AE25</f>
        <v>0</v>
      </c>
      <c r="AD25" s="22">
        <f>$F$35*'[1]direct emissions'!AF25</f>
        <v>2.8752430106165565E-9</v>
      </c>
      <c r="AE25" s="22">
        <f>$F$35*'[1]direct emissions'!AG25</f>
        <v>4.6325993121757666E-7</v>
      </c>
      <c r="AF25" s="22">
        <f>$F$35*'[1]direct emissions'!AH25</f>
        <v>0</v>
      </c>
    </row>
    <row r="26" spans="1:33">
      <c r="A26" s="117" t="s">
        <v>202</v>
      </c>
      <c r="B26" s="117"/>
      <c r="C26" s="117"/>
      <c r="D26" s="117"/>
      <c r="E26" s="117"/>
      <c r="F26" s="118">
        <f>20/10*10000/1000*1.784/1000*'energy consumption'!D20/60</f>
        <v>0.1081212121212121</v>
      </c>
      <c r="G26" s="54"/>
      <c r="H26" s="119"/>
      <c r="I26" s="31" t="s">
        <v>63</v>
      </c>
      <c r="J26" s="22">
        <f>$F$36*'[1]direct emissions'!D26</f>
        <v>0</v>
      </c>
      <c r="K26" s="22">
        <f>$F$36*'[1]direct emissions'!M26</f>
        <v>0</v>
      </c>
      <c r="L26" s="22">
        <f>$F$36*'[1]direct emissions'!N26</f>
        <v>0</v>
      </c>
      <c r="M26" s="22">
        <f>$F$36*'[1]direct emissions'!O26</f>
        <v>0</v>
      </c>
      <c r="N26" s="22">
        <f>$F$36*'[1]direct emissions'!P26</f>
        <v>0</v>
      </c>
      <c r="O26" s="22">
        <f>$F$36*'[1]direct emissions'!Q26</f>
        <v>4.1834551422404723E-9</v>
      </c>
      <c r="P26" s="22">
        <f>$F$36*'[1]direct emissions'!R26</f>
        <v>0</v>
      </c>
      <c r="Q26" s="22">
        <f>$F$36*'[1]direct emissions'!S26</f>
        <v>0</v>
      </c>
      <c r="R26" s="22">
        <f>$F$36*'[1]direct emissions'!T26</f>
        <v>0</v>
      </c>
      <c r="S26" s="22">
        <f>$F$36*'[1]direct emissions'!U26</f>
        <v>2.4344008689823667E-10</v>
      </c>
      <c r="T26" s="22">
        <f>$F$36*'[1]direct emissions'!V26</f>
        <v>0</v>
      </c>
      <c r="U26" s="22">
        <f>$F$36*'[1]direct emissions'!W26</f>
        <v>0</v>
      </c>
      <c r="V26" s="22">
        <f>$F$36*'[1]direct emissions'!X26</f>
        <v>0</v>
      </c>
      <c r="W26" s="22">
        <f>$F$36*'[1]direct emissions'!Y26</f>
        <v>0</v>
      </c>
      <c r="X26" s="22">
        <f>$F$36*'[1]direct emissions'!Z26</f>
        <v>0</v>
      </c>
      <c r="Y26" s="22">
        <f>$F$36*'[1]direct emissions'!AA26</f>
        <v>0</v>
      </c>
      <c r="Z26" s="22">
        <f>$F$36*'[1]direct emissions'!AB26</f>
        <v>0</v>
      </c>
      <c r="AA26" s="22">
        <f>$F$36*'[1]direct emissions'!AC26</f>
        <v>9.8485148475337783E-8</v>
      </c>
      <c r="AB26" s="22">
        <f>$F$36*'[1]direct emissions'!AD26</f>
        <v>0</v>
      </c>
      <c r="AC26" s="22">
        <f>$F$36*'[1]direct emissions'!AE26</f>
        <v>0</v>
      </c>
      <c r="AD26" s="22">
        <f>$F$36*'[1]direct emissions'!AF26</f>
        <v>0</v>
      </c>
      <c r="AE26" s="22">
        <f>$F$36*'[1]direct emissions'!AG26</f>
        <v>0</v>
      </c>
      <c r="AF26" s="22">
        <f>$F$36*'[1]direct emissions'!AH26</f>
        <v>0</v>
      </c>
    </row>
    <row r="27" spans="1:33">
      <c r="A27" s="117" t="s">
        <v>203</v>
      </c>
      <c r="B27" s="117"/>
      <c r="C27" s="117"/>
      <c r="D27" s="117"/>
      <c r="E27" s="117"/>
      <c r="F27" s="118">
        <f>F26*0.1/100</f>
        <v>1.0812121212121211E-4</v>
      </c>
      <c r="G27" s="54"/>
      <c r="H27" s="119"/>
      <c r="I27" s="31" t="s">
        <v>45</v>
      </c>
      <c r="L27" s="22"/>
      <c r="M27" s="22"/>
      <c r="N27" s="22"/>
      <c r="O27" s="22"/>
      <c r="P27" s="22"/>
      <c r="Q27" s="22"/>
      <c r="R27" s="22"/>
      <c r="S27" s="22"/>
      <c r="T27" s="22"/>
      <c r="U27" s="22"/>
      <c r="V27" s="22"/>
      <c r="W27" s="22"/>
      <c r="X27" s="22"/>
      <c r="Y27" s="22"/>
      <c r="Z27" s="22"/>
      <c r="AA27" s="22"/>
      <c r="AB27" s="22"/>
      <c r="AC27" s="22"/>
      <c r="AD27" s="22"/>
      <c r="AE27" s="22"/>
      <c r="AF27" s="22"/>
    </row>
    <row r="28" spans="1:33">
      <c r="A28" s="30" t="s">
        <v>55</v>
      </c>
      <c r="H28" s="27" t="s">
        <v>64</v>
      </c>
      <c r="I28" s="31" t="s">
        <v>51</v>
      </c>
      <c r="J28" s="22">
        <f>$F$38*'[1]direct emissions'!D27</f>
        <v>0</v>
      </c>
      <c r="K28" s="22">
        <f>$F$38*'[1]direct emissions'!M27</f>
        <v>0</v>
      </c>
      <c r="L28" s="22">
        <f>$F$38*'[1]direct emissions'!N27</f>
        <v>0</v>
      </c>
      <c r="M28" s="22">
        <f>$F$38*'[1]direct emissions'!O27</f>
        <v>0</v>
      </c>
      <c r="N28" s="22">
        <f>$F$38*'[1]direct emissions'!P27</f>
        <v>0</v>
      </c>
      <c r="O28" s="22">
        <f>$F$38*'[1]direct emissions'!Q27</f>
        <v>5.8364481116375654E-11</v>
      </c>
      <c r="P28" s="22">
        <f>$F$38*'[1]direct emissions'!R27</f>
        <v>0</v>
      </c>
      <c r="Q28" s="22">
        <f>$F$38*'[1]direct emissions'!S27</f>
        <v>1.8120576590328751E-3</v>
      </c>
      <c r="R28" s="22">
        <f>$F$38*'[1]direct emissions'!T27</f>
        <v>0</v>
      </c>
      <c r="S28" s="22">
        <f>$F$38*'[1]direct emissions'!U27</f>
        <v>7.8617762759886276E-10</v>
      </c>
      <c r="T28" s="22">
        <f>$F$38*'[1]direct emissions'!V27</f>
        <v>0</v>
      </c>
      <c r="U28" s="22">
        <f>$F$38*'[1]direct emissions'!W27</f>
        <v>0</v>
      </c>
      <c r="V28" s="22">
        <f>$F$38*'[1]direct emissions'!X27</f>
        <v>0</v>
      </c>
      <c r="W28" s="22">
        <f>$F$38*'[1]direct emissions'!Y27</f>
        <v>0</v>
      </c>
      <c r="X28" s="22">
        <f>$F$38*'[1]direct emissions'!Z27</f>
        <v>0</v>
      </c>
      <c r="Y28" s="22">
        <f>$F$38*'[1]direct emissions'!AA27</f>
        <v>0</v>
      </c>
      <c r="Z28" s="22">
        <f>$F$38*'[1]direct emissions'!AB27</f>
        <v>0</v>
      </c>
      <c r="AA28" s="22">
        <f>$F$38*'[1]direct emissions'!AC27</f>
        <v>9.8218775742284787E-11</v>
      </c>
      <c r="AB28" s="22">
        <f>$F$38*'[1]direct emissions'!AD27</f>
        <v>0</v>
      </c>
      <c r="AC28" s="22">
        <f>$F$38*'[1]direct emissions'!AE27</f>
        <v>0</v>
      </c>
      <c r="AD28" s="22">
        <f>$F$38*'[1]direct emissions'!AF27</f>
        <v>0</v>
      </c>
      <c r="AE28" s="22">
        <f>$F$38*'[1]direct emissions'!AG27</f>
        <v>1.9152419248542002E-7</v>
      </c>
      <c r="AF28" s="22">
        <f>$F$38*'[1]direct emissions'!AH27</f>
        <v>0</v>
      </c>
    </row>
    <row r="29" spans="1:33">
      <c r="A29" s="31" t="s">
        <v>65</v>
      </c>
      <c r="F29" s="22">
        <f>F30/2*(65+35.5*2)</f>
        <v>1.0442707692307691E-4</v>
      </c>
      <c r="G29" s="27" t="s">
        <v>66</v>
      </c>
      <c r="H29" s="27" t="s">
        <v>67</v>
      </c>
      <c r="I29" s="31" t="s">
        <v>190</v>
      </c>
      <c r="L29" s="22"/>
      <c r="M29" s="22"/>
      <c r="N29" s="22"/>
      <c r="O29" s="22"/>
      <c r="P29" s="22"/>
      <c r="Q29" s="22"/>
      <c r="R29" s="22"/>
      <c r="S29" s="22"/>
      <c r="T29" s="22"/>
      <c r="U29" s="22"/>
      <c r="V29" s="22"/>
      <c r="W29" s="22"/>
      <c r="X29" s="22"/>
      <c r="Y29" s="22"/>
      <c r="Z29" s="22"/>
      <c r="AA29" s="22"/>
      <c r="AB29" s="22"/>
      <c r="AC29" s="22"/>
      <c r="AD29" s="22"/>
      <c r="AE29" s="22"/>
      <c r="AF29" s="22"/>
      <c r="AG29" s="22"/>
    </row>
    <row r="30" spans="1:33">
      <c r="A30" s="31" t="s">
        <v>57</v>
      </c>
      <c r="F30" s="22">
        <f>F4*0.7/65*2</f>
        <v>1.5356923076923075E-6</v>
      </c>
      <c r="G30" s="27" t="s">
        <v>66</v>
      </c>
      <c r="H30" s="27" t="s">
        <v>68</v>
      </c>
      <c r="I30" s="31" t="s">
        <v>47</v>
      </c>
      <c r="J30" s="22">
        <f>$F$40*'[1]direct emissions'!D28</f>
        <v>0</v>
      </c>
      <c r="K30" s="22">
        <f>$F$40*'[1]direct emissions'!M28</f>
        <v>0</v>
      </c>
      <c r="L30" s="22">
        <f>$F$40*'[1]direct emissions'!N28</f>
        <v>0</v>
      </c>
      <c r="M30" s="22">
        <f>$F$40*'[1]direct emissions'!O28</f>
        <v>0</v>
      </c>
      <c r="N30" s="22">
        <f>$F$40*'[1]direct emissions'!P28</f>
        <v>0</v>
      </c>
      <c r="O30" s="22">
        <f>$F$40*'[1]direct emissions'!Q28</f>
        <v>0</v>
      </c>
      <c r="P30" s="22">
        <f>$F$40*'[1]direct emissions'!R28</f>
        <v>0</v>
      </c>
      <c r="Q30" s="22">
        <f>$F$40*'[1]direct emissions'!S28</f>
        <v>0</v>
      </c>
      <c r="R30" s="22">
        <f>$F$40*'[1]direct emissions'!T28</f>
        <v>0</v>
      </c>
      <c r="S30" s="22">
        <f>$F$40*'[1]direct emissions'!U28</f>
        <v>0</v>
      </c>
      <c r="T30" s="22">
        <f>$F$40*'[1]direct emissions'!V28</f>
        <v>0</v>
      </c>
      <c r="U30" s="22">
        <f>$F$40*'[1]direct emissions'!W28</f>
        <v>0</v>
      </c>
      <c r="V30" s="22">
        <f>$F$40*'[1]direct emissions'!X28</f>
        <v>0</v>
      </c>
      <c r="W30" s="22">
        <f>$F$40*'[1]direct emissions'!Y28</f>
        <v>0</v>
      </c>
      <c r="X30" s="22">
        <f>$F$40*'[1]direct emissions'!Z28</f>
        <v>0</v>
      </c>
      <c r="Y30" s="22">
        <f>$F$40*'[1]direct emissions'!AA28</f>
        <v>0</v>
      </c>
      <c r="Z30" s="22">
        <f>$F$40*'[1]direct emissions'!AB28</f>
        <v>0</v>
      </c>
      <c r="AA30" s="22">
        <f>$F$40*'[1]direct emissions'!AC28</f>
        <v>0</v>
      </c>
      <c r="AB30" s="22">
        <f>$F$40*'[1]direct emissions'!AD28</f>
        <v>0</v>
      </c>
      <c r="AC30" s="22">
        <f>$F$40*'[1]direct emissions'!AE28</f>
        <v>0</v>
      </c>
      <c r="AD30" s="22">
        <f>$F$40*'[1]direct emissions'!AF28</f>
        <v>0</v>
      </c>
      <c r="AE30" s="22">
        <f>$F$40*'[1]direct emissions'!AG28</f>
        <v>0</v>
      </c>
      <c r="AF30" s="22">
        <f>$F$40*'[1]direct emissions'!AH28</f>
        <v>0</v>
      </c>
    </row>
    <row r="31" spans="1:33">
      <c r="A31" s="77" t="s">
        <v>39</v>
      </c>
      <c r="B31" s="77"/>
      <c r="C31" s="77"/>
      <c r="D31" s="77"/>
      <c r="E31" s="77"/>
      <c r="F31" s="78">
        <f>F6+F11</f>
        <v>5.1540000000000002E-2</v>
      </c>
      <c r="G31" s="77" t="s">
        <v>69</v>
      </c>
      <c r="H31" s="51" t="s">
        <v>67</v>
      </c>
      <c r="I31" s="31" t="s">
        <v>191</v>
      </c>
      <c r="L31" s="22"/>
      <c r="M31" s="22"/>
      <c r="N31" s="22"/>
      <c r="O31" s="22"/>
      <c r="P31" s="22"/>
      <c r="Q31" s="22"/>
      <c r="R31" s="22"/>
      <c r="S31" s="22"/>
      <c r="T31" s="22"/>
      <c r="U31" s="22"/>
      <c r="V31" s="22"/>
      <c r="W31" s="22"/>
      <c r="X31" s="22"/>
      <c r="Y31" s="22"/>
      <c r="Z31" s="22"/>
      <c r="AA31" s="22"/>
      <c r="AB31" s="22"/>
      <c r="AC31" s="22"/>
      <c r="AD31" s="22"/>
      <c r="AE31" s="22"/>
      <c r="AF31" s="22"/>
    </row>
    <row r="32" spans="1:33">
      <c r="A32" s="77" t="s">
        <v>39</v>
      </c>
      <c r="B32" s="77"/>
      <c r="C32" s="77"/>
      <c r="D32" s="77"/>
      <c r="E32" s="77"/>
      <c r="F32" s="78">
        <f>F10/1*0.908</f>
        <v>1.3275252598752599E-2</v>
      </c>
      <c r="G32" s="77" t="s">
        <v>71</v>
      </c>
      <c r="H32" s="51" t="s">
        <v>68</v>
      </c>
      <c r="I32" s="31" t="s">
        <v>74</v>
      </c>
      <c r="J32" s="22">
        <f>$F$42*'[1]direct emissions'!D29</f>
        <v>0</v>
      </c>
      <c r="K32" s="22">
        <f>$F$42*'[1]direct emissions'!M29</f>
        <v>0</v>
      </c>
      <c r="L32" s="22">
        <f>$F$42*'[1]direct emissions'!N29</f>
        <v>0</v>
      </c>
      <c r="M32" s="22">
        <f>$F$42*'[1]direct emissions'!O29</f>
        <v>0</v>
      </c>
      <c r="N32" s="22">
        <f>$F$42*'[1]direct emissions'!P29</f>
        <v>0</v>
      </c>
      <c r="O32" s="22">
        <f>$F$42*'[1]direct emissions'!Q29</f>
        <v>1.0188186879276932E-8</v>
      </c>
      <c r="P32" s="22">
        <f>$F$42*'[1]direct emissions'!R29</f>
        <v>0</v>
      </c>
      <c r="Q32" s="22">
        <f>$F$42*'[1]direct emissions'!S29</f>
        <v>7.1053501936735937E-4</v>
      </c>
      <c r="R32" s="22">
        <f>$F$42*'[1]direct emissions'!T29</f>
        <v>0</v>
      </c>
      <c r="S32" s="22">
        <f>$F$42*'[1]direct emissions'!U29</f>
        <v>7.8663305329850342E-8</v>
      </c>
      <c r="T32" s="22">
        <f>$F$42*'[1]direct emissions'!V29</f>
        <v>0</v>
      </c>
      <c r="U32" s="22">
        <f>$F$42*'[1]direct emissions'!W29</f>
        <v>0</v>
      </c>
      <c r="V32" s="22">
        <f>$F$42*'[1]direct emissions'!X29</f>
        <v>0</v>
      </c>
      <c r="W32" s="22">
        <f>$F$42*'[1]direct emissions'!Y29</f>
        <v>0</v>
      </c>
      <c r="X32" s="22">
        <f>$F$42*'[1]direct emissions'!Z29</f>
        <v>0</v>
      </c>
      <c r="Y32" s="22">
        <f>$F$42*'[1]direct emissions'!AA29</f>
        <v>9.3290371621621623E-4</v>
      </c>
      <c r="Z32" s="22">
        <f>$F$42*'[1]direct emissions'!AB29</f>
        <v>0</v>
      </c>
      <c r="AA32" s="22">
        <f>$F$42*'[1]direct emissions'!AC29</f>
        <v>1.1710919806537932E-8</v>
      </c>
      <c r="AB32" s="22">
        <f>$F$42*'[1]direct emissions'!AD29</f>
        <v>0</v>
      </c>
      <c r="AC32" s="22">
        <f>$F$42*'[1]direct emissions'!AE29</f>
        <v>0</v>
      </c>
      <c r="AD32" s="22">
        <f>$F$42*'[1]direct emissions'!AF29</f>
        <v>2.5980148482961495E-9</v>
      </c>
      <c r="AE32" s="22">
        <f>$F$42*'[1]direct emissions'!AG29</f>
        <v>5.2073927657585691E-6</v>
      </c>
      <c r="AF32" s="22">
        <f>$F$42*'[1]direct emissions'!AH29</f>
        <v>0</v>
      </c>
    </row>
    <row r="33" spans="1:32">
      <c r="A33" s="31" t="s">
        <v>59</v>
      </c>
      <c r="F33" s="22">
        <f>F10/1*0.0481*0.2</f>
        <v>1.4064749999999999E-4</v>
      </c>
      <c r="G33" s="27" t="s">
        <v>73</v>
      </c>
      <c r="H33" s="27" t="s">
        <v>68</v>
      </c>
      <c r="I33" s="31" t="s">
        <v>70</v>
      </c>
      <c r="L33" s="22"/>
      <c r="M33" s="22"/>
      <c r="N33" s="22"/>
      <c r="O33" s="22"/>
      <c r="P33" s="22"/>
      <c r="Q33" s="22"/>
      <c r="R33" s="22"/>
      <c r="S33" s="22"/>
      <c r="T33" s="22"/>
      <c r="U33" s="22"/>
      <c r="V33" s="22"/>
      <c r="W33" s="22"/>
      <c r="X33" s="22"/>
      <c r="Y33" s="22"/>
      <c r="Z33" s="22"/>
      <c r="AA33" s="22"/>
      <c r="AB33" s="22"/>
      <c r="AC33" s="22"/>
      <c r="AD33" s="22"/>
      <c r="AE33" s="22"/>
      <c r="AF33" s="22"/>
    </row>
    <row r="34" spans="1:32">
      <c r="A34" s="31" t="s">
        <v>50</v>
      </c>
      <c r="F34" s="22">
        <f>F10/1*0.0608+F20</f>
        <v>3.2152034956263884E-2</v>
      </c>
      <c r="G34" s="27" t="s">
        <v>75</v>
      </c>
      <c r="H34" s="27" t="s">
        <v>68</v>
      </c>
      <c r="I34" s="31" t="s">
        <v>72</v>
      </c>
      <c r="L34" s="22"/>
      <c r="M34" s="22"/>
      <c r="N34" s="22"/>
      <c r="O34" s="22"/>
      <c r="P34" s="22"/>
      <c r="Q34" s="22"/>
      <c r="R34" s="22"/>
      <c r="S34" s="22"/>
      <c r="T34" s="22"/>
      <c r="U34" s="22"/>
      <c r="V34" s="22"/>
      <c r="W34" s="22"/>
      <c r="X34" s="22"/>
      <c r="Y34" s="22"/>
      <c r="Z34" s="22"/>
      <c r="AA34" s="22"/>
      <c r="AB34" s="22"/>
      <c r="AC34" s="22"/>
      <c r="AD34" s="22"/>
      <c r="AE34" s="22"/>
      <c r="AF34" s="22"/>
    </row>
    <row r="35" spans="1:32">
      <c r="A35" s="31" t="s">
        <v>61</v>
      </c>
      <c r="F35" s="22">
        <f>F10/1*0.0294</f>
        <v>4.2983747401247399E-4</v>
      </c>
      <c r="G35" s="27" t="s">
        <v>71</v>
      </c>
      <c r="H35" s="27" t="s">
        <v>68</v>
      </c>
      <c r="I35" s="31" t="s">
        <v>74</v>
      </c>
      <c r="J35" s="22">
        <f>$F$45*'[1]direct emissions'!D29</f>
        <v>0</v>
      </c>
      <c r="K35" s="22">
        <f>$F$45*'[1]direct emissions'!M29</f>
        <v>0</v>
      </c>
      <c r="L35" s="22">
        <f>$F$45*'[1]direct emissions'!N29</f>
        <v>0</v>
      </c>
      <c r="M35" s="22">
        <f>$F$45*'[1]direct emissions'!O29</f>
        <v>0</v>
      </c>
      <c r="N35" s="22">
        <f>$F$45*'[1]direct emissions'!P29</f>
        <v>0</v>
      </c>
      <c r="O35" s="22">
        <f>$F$45*'[1]direct emissions'!Q29</f>
        <v>1.52822803189154E-8</v>
      </c>
      <c r="P35" s="22">
        <f>$F$45*'[1]direct emissions'!R29</f>
        <v>0</v>
      </c>
      <c r="Q35" s="22">
        <f>$F$45*'[1]direct emissions'!S29</f>
        <v>1.0658025290510391E-3</v>
      </c>
      <c r="R35" s="22">
        <f>$F$45*'[1]direct emissions'!T29</f>
        <v>0</v>
      </c>
      <c r="S35" s="22">
        <f>$F$45*'[1]direct emissions'!U29</f>
        <v>1.1799495799477553E-7</v>
      </c>
      <c r="T35" s="22">
        <f>$F$45*'[1]direct emissions'!V29</f>
        <v>0</v>
      </c>
      <c r="U35" s="22">
        <f>$F$45*'[1]direct emissions'!W29</f>
        <v>0</v>
      </c>
      <c r="V35" s="22">
        <f>$F$45*'[1]direct emissions'!X29</f>
        <v>0</v>
      </c>
      <c r="W35" s="22">
        <f>$F$45*'[1]direct emissions'!Y29</f>
        <v>0</v>
      </c>
      <c r="X35" s="22">
        <f>$F$45*'[1]direct emissions'!Z29</f>
        <v>0</v>
      </c>
      <c r="Y35" s="22">
        <f>$F$45*'[1]direct emissions'!AA29</f>
        <v>1.3993555743243243E-3</v>
      </c>
      <c r="Z35" s="22">
        <f>$F$45*'[1]direct emissions'!AB29</f>
        <v>0</v>
      </c>
      <c r="AA35" s="22">
        <f>$F$45*'[1]direct emissions'!AC29</f>
        <v>1.7566379709806901E-8</v>
      </c>
      <c r="AB35" s="22">
        <f>$F$45*'[1]direct emissions'!AD29</f>
        <v>0</v>
      </c>
      <c r="AC35" s="22">
        <f>$F$45*'[1]direct emissions'!AE29</f>
        <v>0</v>
      </c>
      <c r="AD35" s="22">
        <f>$F$45*'[1]direct emissions'!AF29</f>
        <v>3.8970222724442247E-9</v>
      </c>
      <c r="AE35" s="22">
        <f>$F$45*'[1]direct emissions'!AG29</f>
        <v>7.8110891486378553E-6</v>
      </c>
      <c r="AF35" s="22">
        <f>$F$45*'[1]direct emissions'!AH29</f>
        <v>0</v>
      </c>
    </row>
    <row r="36" spans="1:32">
      <c r="A36" s="31" t="s">
        <v>63</v>
      </c>
      <c r="F36" s="22">
        <f>F10/1*0.0518</f>
        <v>7.5733269230769229E-4</v>
      </c>
      <c r="G36" s="27" t="s">
        <v>71</v>
      </c>
      <c r="H36" s="27" t="s">
        <v>68</v>
      </c>
      <c r="I36" s="31" t="s">
        <v>76</v>
      </c>
      <c r="J36" s="22">
        <f>$F$46*'[1]direct emissions'!D30</f>
        <v>0</v>
      </c>
      <c r="K36" s="22">
        <f>$F$46*'[1]direct emissions'!M30</f>
        <v>0</v>
      </c>
      <c r="L36" s="22">
        <f>$F$46*'[1]direct emissions'!N30</f>
        <v>0</v>
      </c>
      <c r="M36" s="22">
        <f>$F$46*'[1]direct emissions'!O30</f>
        <v>0</v>
      </c>
      <c r="N36" s="22">
        <f>$F$46*'[1]direct emissions'!P30</f>
        <v>0</v>
      </c>
      <c r="O36" s="22">
        <f>$F$46*'[1]direct emissions'!Q30</f>
        <v>1.33645962958021E-7</v>
      </c>
      <c r="P36" s="22">
        <f>$F$46*'[1]direct emissions'!R30</f>
        <v>0</v>
      </c>
      <c r="Q36" s="22">
        <f>$F$46*'[1]direct emissions'!S30</f>
        <v>3.7005785674960938E-4</v>
      </c>
      <c r="R36" s="22">
        <f>$F$46*'[1]direct emissions'!T30</f>
        <v>0</v>
      </c>
      <c r="S36" s="22">
        <f>$F$46*'[1]direct emissions'!U30</f>
        <v>1.3677975021045674E-6</v>
      </c>
      <c r="T36" s="22">
        <f>$F$46*'[1]direct emissions'!V30</f>
        <v>0</v>
      </c>
      <c r="U36" s="22">
        <f>$F$46*'[1]direct emissions'!W30</f>
        <v>0</v>
      </c>
      <c r="V36" s="22">
        <f>$F$46*'[1]direct emissions'!X30</f>
        <v>0</v>
      </c>
      <c r="W36" s="22">
        <f>$F$46*'[1]direct emissions'!Y30</f>
        <v>0</v>
      </c>
      <c r="X36" s="22">
        <f>$F$46*'[1]direct emissions'!Z30</f>
        <v>0</v>
      </c>
      <c r="Y36" s="22">
        <f>$F$46*'[1]direct emissions'!AA30</f>
        <v>0</v>
      </c>
      <c r="Z36" s="22">
        <f>$F$46*'[1]direct emissions'!AB30</f>
        <v>0</v>
      </c>
      <c r="AA36" s="22">
        <f>$F$46*'[1]direct emissions'!AC30</f>
        <v>2.9113972776042379E-7</v>
      </c>
      <c r="AB36" s="22">
        <f>$F$46*'[1]direct emissions'!AD30</f>
        <v>0</v>
      </c>
      <c r="AC36" s="22">
        <f>$F$46*'[1]direct emissions'!AE30</f>
        <v>0</v>
      </c>
      <c r="AD36" s="22">
        <f>$F$46*'[1]direct emissions'!AF30</f>
        <v>6.4287663670278593E-8</v>
      </c>
      <c r="AE36" s="22">
        <f>$F$46*'[1]direct emissions'!AG30</f>
        <v>2.5272243875580001E-6</v>
      </c>
      <c r="AF36" s="22">
        <f>$F$46*'[1]direct emissions'!AH30</f>
        <v>0</v>
      </c>
    </row>
    <row r="37" spans="1:32">
      <c r="A37" s="31" t="s">
        <v>45</v>
      </c>
      <c r="F37" s="22">
        <f>F14*0.7</f>
        <v>8.1087999999999993E-4</v>
      </c>
      <c r="G37" s="27" t="s">
        <v>78</v>
      </c>
      <c r="H37" s="27" t="s">
        <v>68</v>
      </c>
      <c r="I37" s="31" t="s">
        <v>77</v>
      </c>
      <c r="J37" s="22">
        <f>$F$47*'[1]direct emissions'!D31</f>
        <v>0</v>
      </c>
      <c r="K37" s="22">
        <f>$F$47*'[1]direct emissions'!M31</f>
        <v>0</v>
      </c>
      <c r="L37" s="22">
        <f>$F$47*'[1]direct emissions'!N31</f>
        <v>0</v>
      </c>
      <c r="M37" s="22">
        <f>$F$47*'[1]direct emissions'!O31</f>
        <v>0</v>
      </c>
      <c r="N37" s="22">
        <f>$F$47*'[1]direct emissions'!P31</f>
        <v>0</v>
      </c>
      <c r="O37" s="22">
        <f>$F$47*'[1]direct emissions'!Q31</f>
        <v>5.0114369552631201E-6</v>
      </c>
      <c r="P37" s="22">
        <f>$F$47*'[1]direct emissions'!R31</f>
        <v>0</v>
      </c>
      <c r="Q37" s="22">
        <f>$F$47*'[1]direct emissions'!S31</f>
        <v>0</v>
      </c>
      <c r="R37" s="22">
        <f>$F$47*'[1]direct emissions'!T31</f>
        <v>0</v>
      </c>
      <c r="S37" s="22">
        <f>$F$47*'[1]direct emissions'!U31</f>
        <v>5.7080510643920495E-5</v>
      </c>
      <c r="T37" s="22">
        <f>$F$47*'[1]direct emissions'!V31</f>
        <v>0</v>
      </c>
      <c r="U37" s="22">
        <f>$F$47*'[1]direct emissions'!W31</f>
        <v>0</v>
      </c>
      <c r="V37" s="22">
        <f>$F$47*'[1]direct emissions'!X31</f>
        <v>0</v>
      </c>
      <c r="W37" s="22">
        <f>$F$47*'[1]direct emissions'!Y31</f>
        <v>0</v>
      </c>
      <c r="X37" s="22">
        <f>$F$47*'[1]direct emissions'!Z31</f>
        <v>0</v>
      </c>
      <c r="Y37" s="22">
        <f>$F$47*'[1]direct emissions'!AA31</f>
        <v>0</v>
      </c>
      <c r="Z37" s="22">
        <f>$F$47*'[1]direct emissions'!AB31</f>
        <v>0</v>
      </c>
      <c r="AA37" s="22">
        <f>$F$47*'[1]direct emissions'!AC31</f>
        <v>2.9681988412281205E-6</v>
      </c>
      <c r="AB37" s="22">
        <f>$F$47*'[1]direct emissions'!AD31</f>
        <v>0</v>
      </c>
      <c r="AC37" s="22">
        <f>$F$47*'[1]direct emissions'!AE31</f>
        <v>0</v>
      </c>
      <c r="AD37" s="22">
        <f>$F$47*'[1]direct emissions'!AF31</f>
        <v>0</v>
      </c>
      <c r="AE37" s="22">
        <f>$F$47*'[1]direct emissions'!AG31</f>
        <v>0</v>
      </c>
      <c r="AF37" s="22">
        <f>$F$47*'[1]direct emissions'!AH31</f>
        <v>0</v>
      </c>
    </row>
    <row r="38" spans="1:32">
      <c r="A38" s="31" t="s">
        <v>51</v>
      </c>
      <c r="F38" s="22">
        <f>F15</f>
        <v>7.7200000000000001E-4</v>
      </c>
      <c r="G38" s="27" t="s">
        <v>79</v>
      </c>
      <c r="H38" s="27" t="s">
        <v>68</v>
      </c>
      <c r="I38" s="121" t="s">
        <v>197</v>
      </c>
      <c r="J38" s="122">
        <f>$F$48*'[3]direct emissions'!D39</f>
        <v>0</v>
      </c>
      <c r="K38" s="122">
        <f>$F$48*'[3]direct emissions'!M39</f>
        <v>0</v>
      </c>
      <c r="L38" s="122">
        <f>$F$48*'[3]direct emissions'!N39</f>
        <v>0</v>
      </c>
      <c r="M38" s="122">
        <f>$F$48*'[3]direct emissions'!O39</f>
        <v>0</v>
      </c>
      <c r="N38" s="122">
        <f>$F$48*'[3]direct emissions'!P39</f>
        <v>0</v>
      </c>
      <c r="O38" s="122">
        <f>$F$48*'[3]direct emissions'!Q39</f>
        <v>2.876098964637696E-2</v>
      </c>
      <c r="P38" s="122">
        <f>$F$48*'[3]direct emissions'!R39</f>
        <v>0</v>
      </c>
      <c r="Q38" s="122">
        <f>$F$48*'[3]direct emissions'!S39</f>
        <v>3.7339035644610559E-2</v>
      </c>
      <c r="R38" s="122">
        <f>$F$48*'[3]direct emissions'!T39</f>
        <v>0</v>
      </c>
      <c r="S38" s="122">
        <f>$F$48*'[3]direct emissions'!U39</f>
        <v>65.577504241070073</v>
      </c>
      <c r="T38" s="122">
        <f>$F$48*'[3]direct emissions'!V39</f>
        <v>0</v>
      </c>
      <c r="U38" s="122">
        <f>$F$48*'[3]direct emissions'!W39</f>
        <v>0</v>
      </c>
      <c r="V38" s="122">
        <f>$F$48*'[3]direct emissions'!X39</f>
        <v>0</v>
      </c>
      <c r="W38" s="122">
        <f>$F$48*'[3]direct emissions'!Y39</f>
        <v>0</v>
      </c>
      <c r="X38" s="122">
        <f>$F$48*'[3]direct emissions'!Z39</f>
        <v>0</v>
      </c>
      <c r="Y38" s="122">
        <f>$F$48*'[3]direct emissions'!AA39</f>
        <v>0</v>
      </c>
      <c r="Z38" s="122">
        <f>$F$48*'[3]direct emissions'!AB39</f>
        <v>0</v>
      </c>
      <c r="AA38" s="122">
        <f>$F$48*'[3]direct emissions'!AC39</f>
        <v>0.30113898563266556</v>
      </c>
      <c r="AB38" s="122">
        <f>$F$48*'[3]direct emissions'!AD39</f>
        <v>0</v>
      </c>
      <c r="AC38" s="122">
        <f>$F$48*'[3]direct emissions'!AE39</f>
        <v>0</v>
      </c>
      <c r="AD38" s="122">
        <f>$F$48*'[3]direct emissions'!AF39</f>
        <v>8.2794112915763191E-2</v>
      </c>
      <c r="AE38" s="122">
        <f>$F$48*'[3]direct emissions'!AG39</f>
        <v>2.549982922074112E-4</v>
      </c>
      <c r="AF38" s="122">
        <f>$F$48*'[3]direct emissions'!AH39</f>
        <v>0</v>
      </c>
    </row>
    <row r="39" spans="1:32">
      <c r="A39" s="31" t="s">
        <v>46</v>
      </c>
      <c r="F39" s="22">
        <f>F17*0.7</f>
        <v>8.095061333333334E-4</v>
      </c>
      <c r="G39" s="27" t="s">
        <v>80</v>
      </c>
      <c r="H39" s="27" t="s">
        <v>68</v>
      </c>
      <c r="I39" s="121" t="s">
        <v>202</v>
      </c>
      <c r="J39" s="122"/>
      <c r="K39" s="122"/>
      <c r="L39" s="122"/>
      <c r="M39" s="122"/>
      <c r="N39" s="122"/>
      <c r="O39" s="122"/>
      <c r="P39" s="122"/>
      <c r="Q39" s="122"/>
      <c r="R39" s="122"/>
      <c r="S39" s="122"/>
      <c r="T39" s="122"/>
      <c r="U39" s="122"/>
      <c r="V39" s="122"/>
      <c r="W39" s="122"/>
      <c r="X39" s="122"/>
      <c r="Y39" s="122"/>
      <c r="Z39" s="122"/>
      <c r="AA39" s="122"/>
      <c r="AB39" s="122"/>
      <c r="AC39" s="122"/>
      <c r="AD39" s="122"/>
      <c r="AE39" s="122"/>
      <c r="AF39" s="122"/>
    </row>
    <row r="40" spans="1:32">
      <c r="A40" s="31" t="s">
        <v>47</v>
      </c>
      <c r="F40" s="22">
        <f>F18</f>
        <v>2.3732105275362323E-3</v>
      </c>
      <c r="G40" s="27" t="s">
        <v>56</v>
      </c>
      <c r="H40" s="27" t="s">
        <v>68</v>
      </c>
      <c r="I40" s="121" t="s">
        <v>203</v>
      </c>
      <c r="J40" s="122"/>
      <c r="K40" s="122"/>
      <c r="L40" s="122"/>
      <c r="M40" s="122"/>
      <c r="N40" s="122"/>
      <c r="O40" s="122"/>
      <c r="P40" s="122"/>
      <c r="Q40" s="122"/>
      <c r="R40" s="122"/>
      <c r="S40" s="122"/>
      <c r="T40" s="122"/>
      <c r="U40" s="122"/>
      <c r="V40" s="122"/>
      <c r="W40" s="122"/>
      <c r="X40" s="122"/>
      <c r="Y40" s="122"/>
      <c r="Z40" s="122"/>
      <c r="AA40" s="122"/>
      <c r="AB40" s="122"/>
      <c r="AC40" s="122"/>
      <c r="AD40" s="122"/>
      <c r="AE40" s="122"/>
      <c r="AF40" s="122"/>
    </row>
    <row r="41" spans="1:32">
      <c r="A41" s="31" t="s">
        <v>49</v>
      </c>
      <c r="F41" s="22">
        <f>F19*0.7</f>
        <v>2.792533333333333E-4</v>
      </c>
      <c r="G41" s="27" t="s">
        <v>181</v>
      </c>
      <c r="H41" s="27" t="s">
        <v>68</v>
      </c>
      <c r="I41" s="31"/>
      <c r="L41" s="22"/>
      <c r="M41" s="22"/>
      <c r="N41" s="22"/>
      <c r="O41" s="22"/>
      <c r="P41" s="22"/>
      <c r="Q41" s="22"/>
      <c r="R41" s="22"/>
      <c r="S41" s="22"/>
      <c r="T41" s="22"/>
      <c r="U41" s="22"/>
      <c r="V41" s="22"/>
      <c r="W41" s="22"/>
      <c r="X41" s="22"/>
      <c r="Y41" s="22"/>
      <c r="Z41" s="22"/>
      <c r="AA41" s="22"/>
      <c r="AB41" s="22"/>
      <c r="AC41" s="22"/>
      <c r="AD41" s="22"/>
      <c r="AE41" s="22"/>
      <c r="AF41" s="22"/>
    </row>
    <row r="42" spans="1:32">
      <c r="A42" s="31" t="s">
        <v>74</v>
      </c>
      <c r="F42" s="22">
        <f>F21</f>
        <v>8.6699999999999993E-4</v>
      </c>
      <c r="H42" s="27" t="s">
        <v>68</v>
      </c>
      <c r="I42" s="31"/>
      <c r="L42" s="22"/>
      <c r="M42" s="22"/>
      <c r="N42" s="22"/>
      <c r="O42" s="22"/>
      <c r="P42" s="22"/>
      <c r="Q42" s="22"/>
      <c r="R42" s="22"/>
      <c r="S42" s="22"/>
      <c r="T42" s="22"/>
      <c r="U42" s="22"/>
      <c r="V42" s="22"/>
      <c r="W42" s="22"/>
      <c r="X42" s="22"/>
      <c r="Y42" s="22"/>
      <c r="Z42" s="22"/>
      <c r="AA42" s="22"/>
      <c r="AB42" s="22"/>
      <c r="AC42" s="22"/>
      <c r="AD42" s="22"/>
      <c r="AE42" s="22"/>
      <c r="AF42" s="22"/>
    </row>
    <row r="43" spans="1:32">
      <c r="A43" s="31" t="s">
        <v>70</v>
      </c>
      <c r="F43" s="22">
        <f>F23/[7]mix!$E$11*[7]mix!$E$5*0.7</f>
        <v>1.0499999999999999E-5</v>
      </c>
      <c r="G43" s="27" t="s">
        <v>81</v>
      </c>
      <c r="H43" s="27" t="s">
        <v>68</v>
      </c>
      <c r="I43" s="23">
        <f>F42+F45</f>
        <v>2.1675000000000002E-3</v>
      </c>
      <c r="L43" s="22"/>
      <c r="M43" s="22"/>
      <c r="N43" s="22"/>
      <c r="O43" s="22"/>
      <c r="P43" s="22"/>
      <c r="Q43" s="22"/>
      <c r="R43" s="22"/>
      <c r="S43" s="22"/>
      <c r="T43" s="22"/>
      <c r="U43" s="22"/>
      <c r="V43" s="22"/>
      <c r="W43" s="22"/>
      <c r="X43" s="22"/>
      <c r="Y43" s="22"/>
      <c r="Z43" s="22"/>
      <c r="AA43" s="22"/>
      <c r="AB43" s="22"/>
      <c r="AC43" s="22"/>
      <c r="AD43" s="22"/>
      <c r="AE43" s="22"/>
      <c r="AF43" s="22"/>
    </row>
    <row r="44" spans="1:32">
      <c r="A44" s="31" t="s">
        <v>72</v>
      </c>
      <c r="F44" s="22">
        <f>F23/[7]mix!$E$11*[7]mix!$E$7*0.7</f>
        <v>1.1900000000000001E-4</v>
      </c>
      <c r="G44" s="27" t="s">
        <v>81</v>
      </c>
      <c r="H44" s="27" t="s">
        <v>68</v>
      </c>
      <c r="I44" s="31"/>
      <c r="L44" s="22"/>
      <c r="M44" s="22"/>
      <c r="N44" s="22"/>
      <c r="O44" s="22"/>
      <c r="P44" s="22"/>
      <c r="Q44" s="22"/>
      <c r="R44" s="22"/>
      <c r="S44" s="22"/>
      <c r="T44" s="22"/>
      <c r="U44" s="22"/>
      <c r="V44" s="22"/>
      <c r="W44" s="22"/>
      <c r="X44" s="22"/>
      <c r="Y44" s="22"/>
      <c r="Z44" s="22"/>
      <c r="AA44" s="22"/>
      <c r="AB44" s="22"/>
      <c r="AC44" s="22"/>
      <c r="AD44" s="22"/>
      <c r="AE44" s="22"/>
      <c r="AF44" s="22"/>
    </row>
    <row r="45" spans="1:32">
      <c r="A45" s="31" t="s">
        <v>74</v>
      </c>
      <c r="F45" s="22">
        <f>F23/[7]mix!$E$11*[7]mix!$E$6</f>
        <v>1.3005E-3</v>
      </c>
      <c r="G45" s="27" t="s">
        <v>82</v>
      </c>
      <c r="H45" s="27" t="s">
        <v>68</v>
      </c>
      <c r="I45" s="31"/>
      <c r="L45" s="22"/>
      <c r="M45" s="22"/>
      <c r="N45" s="22"/>
      <c r="O45" s="22"/>
      <c r="P45" s="22"/>
      <c r="Q45" s="22"/>
      <c r="R45" s="22"/>
      <c r="S45" s="22"/>
      <c r="T45" s="22"/>
      <c r="U45" s="22"/>
      <c r="V45" s="22"/>
      <c r="W45" s="22"/>
      <c r="X45" s="22"/>
      <c r="Y45" s="22"/>
      <c r="Z45" s="22"/>
      <c r="AA45" s="22"/>
      <c r="AB45" s="22"/>
      <c r="AC45" s="22"/>
      <c r="AD45" s="22"/>
      <c r="AE45" s="22"/>
      <c r="AF45" s="22"/>
    </row>
    <row r="46" spans="1:32">
      <c r="A46" s="31" t="s">
        <v>76</v>
      </c>
      <c r="F46" s="22">
        <f>F23/[7]mix!$E$11*[7]mix!$E$8</f>
        <v>7.8600000000000002E-4</v>
      </c>
      <c r="G46" s="27" t="s">
        <v>82</v>
      </c>
      <c r="H46" s="27" t="s">
        <v>68</v>
      </c>
      <c r="I46" s="31"/>
      <c r="L46" s="22"/>
      <c r="M46" s="22"/>
      <c r="N46" s="22"/>
      <c r="O46" s="22"/>
      <c r="P46" s="22"/>
      <c r="Q46" s="22"/>
      <c r="R46" s="22"/>
      <c r="S46" s="22"/>
      <c r="T46" s="22"/>
      <c r="U46" s="22"/>
      <c r="V46" s="22"/>
      <c r="W46" s="22"/>
      <c r="X46" s="22"/>
      <c r="Y46" s="22"/>
      <c r="Z46" s="22"/>
      <c r="AA46" s="22"/>
      <c r="AB46" s="22"/>
      <c r="AC46" s="22"/>
      <c r="AD46" s="22"/>
      <c r="AE46" s="22"/>
      <c r="AF46" s="22"/>
    </row>
    <row r="47" spans="1:32">
      <c r="A47" s="31" t="s">
        <v>77</v>
      </c>
      <c r="F47" s="22">
        <f>F23/[7]mix!$E$11*[7]mix!$E$9</f>
        <v>6.9225000000000007E-3</v>
      </c>
      <c r="G47" s="27" t="s">
        <v>82</v>
      </c>
      <c r="H47" s="27" t="s">
        <v>68</v>
      </c>
    </row>
    <row r="48" spans="1:32">
      <c r="A48" s="52" t="s">
        <v>197</v>
      </c>
      <c r="B48" s="52"/>
      <c r="C48" s="52"/>
      <c r="D48" s="52"/>
      <c r="E48" s="52"/>
      <c r="F48" s="53">
        <f>F25*(1-E25)</f>
        <v>7.1679999999999997E-4</v>
      </c>
      <c r="G48" s="52" t="s">
        <v>200</v>
      </c>
      <c r="H48" s="27" t="s">
        <v>68</v>
      </c>
    </row>
    <row r="49" spans="1:32">
      <c r="A49" s="117" t="str">
        <f>A26</f>
        <v>Ar</v>
      </c>
      <c r="B49" s="117"/>
      <c r="C49" s="117"/>
      <c r="D49" s="117"/>
      <c r="E49" s="117"/>
      <c r="F49" s="118">
        <f t="shared" ref="F49" si="1">F26</f>
        <v>0.1081212121212121</v>
      </c>
      <c r="G49" s="117"/>
      <c r="H49" s="119" t="s">
        <v>68</v>
      </c>
    </row>
    <row r="50" spans="1:32">
      <c r="A50" s="117" t="str">
        <f>A27</f>
        <v>O₂</v>
      </c>
      <c r="B50" s="117"/>
      <c r="C50" s="117"/>
      <c r="D50" s="117"/>
      <c r="E50" s="117"/>
      <c r="F50" s="118">
        <f t="shared" ref="F50" si="2">F27</f>
        <v>1.0812121212121211E-4</v>
      </c>
      <c r="G50" s="117"/>
      <c r="H50" s="119" t="s">
        <v>68</v>
      </c>
    </row>
    <row r="51" spans="1:32">
      <c r="A51" s="30" t="s">
        <v>83</v>
      </c>
      <c r="F51" s="49">
        <f>SUM(F3:F27)-F53-F30-SUM(F32:F50)</f>
        <v>5.0408669473826047</v>
      </c>
      <c r="G51" s="22">
        <f>SUM(F3:F25)-SUM(F30,F32:F48)-F53</f>
        <v>5.0408669473826047</v>
      </c>
      <c r="H51" s="22"/>
      <c r="I51" s="30" t="s">
        <v>86</v>
      </c>
      <c r="J51" s="22">
        <f>$F$53/1000*[1]production!D3</f>
        <v>6.5339114634350754E-4</v>
      </c>
      <c r="K51" s="22">
        <f>$F$53/1000*[1]production!M3</f>
        <v>5.4601869797269286E-3</v>
      </c>
      <c r="L51" s="22">
        <f>$F$53/1000*[1]production!N3</f>
        <v>2.3460630349742766E-5</v>
      </c>
      <c r="M51" s="22">
        <f>$F$53/1000*[1]production!O3</f>
        <v>5.9785303088652291E-4</v>
      </c>
      <c r="N51" s="22">
        <f>$F$53/1000*[1]production!P3</f>
        <v>1.0330775782509537E-4</v>
      </c>
      <c r="O51" s="22">
        <f>$F$53/1000*[1]production!Q3</f>
        <v>9.1350169278510749E-6</v>
      </c>
      <c r="P51" s="22">
        <f>$F$53/1000*[1]production!R3</f>
        <v>3.7123957024098455E-6</v>
      </c>
      <c r="Q51" s="22">
        <f>$F$53/1000*[1]production!S3</f>
        <v>8.433927409534768E-3</v>
      </c>
      <c r="R51" s="22">
        <f>$F$53/1000*[1]production!T3</f>
        <v>4.1880596000024607E-5</v>
      </c>
      <c r="S51" s="22">
        <f>$F$53/1000*[1]production!U3</f>
        <v>8.2026945714153837E-3</v>
      </c>
      <c r="T51" s="22">
        <f>$F$53/1000*[1]production!V3</f>
        <v>3.4407763069476913E-5</v>
      </c>
      <c r="U51" s="22">
        <f>$F$53/1000*[1]production!W3</f>
        <v>4.6104026833255376E-5</v>
      </c>
      <c r="V51" s="22">
        <f>$F$53/1000*[1]production!X3</f>
        <v>4.7946498534252298E-8</v>
      </c>
      <c r="W51" s="22">
        <f>$F$53/1000*[1]production!Y3</f>
        <v>4.8445391301427685E-11</v>
      </c>
      <c r="X51" s="22">
        <f>$F$53/1000*[1]production!Z3</f>
        <v>1.3349209006134153E-6</v>
      </c>
      <c r="Y51" s="22">
        <f>$F$53/1000*[1]production!AA3</f>
        <v>1.569558879842092E-6</v>
      </c>
      <c r="Z51" s="22">
        <f>$F$53/1000*[1]production!AB3</f>
        <v>2.737311108787692E-6</v>
      </c>
      <c r="AA51" s="22">
        <f>$F$53/1000*[1]production!AC3</f>
        <v>3.6466685600676914E-7</v>
      </c>
      <c r="AB51" s="22">
        <f>$F$53/1000*[1]production!AD3</f>
        <v>6.1664729809439987E-6</v>
      </c>
      <c r="AC51" s="22">
        <f>$F$53/1000*[1]production!AE3</f>
        <v>2.8109571839421535E-6</v>
      </c>
      <c r="AD51" s="22">
        <f>$F$53/1000*[1]production!AF3</f>
        <v>2.6779191126953842E-5</v>
      </c>
      <c r="AE51" s="22">
        <f>$F$53/1000*[1]production!AG3</f>
        <v>8.1052916978239985E-5</v>
      </c>
      <c r="AF51" s="22">
        <f>$F$53/1000*[1]production!AH3</f>
        <v>1.4526754315324305E-5</v>
      </c>
    </row>
    <row r="52" spans="1:32">
      <c r="I52" s="30" t="s">
        <v>87</v>
      </c>
      <c r="J52" s="32">
        <f t="shared" ref="J52:AF52" si="3">SUM(J3:J20)+J51</f>
        <v>4.5610155485697126</v>
      </c>
      <c r="K52" s="32">
        <f t="shared" si="3"/>
        <v>109.36749274670936</v>
      </c>
      <c r="L52" s="32">
        <f t="shared" si="3"/>
        <v>6.3122830300866948</v>
      </c>
      <c r="M52" s="32">
        <f t="shared" si="3"/>
        <v>4.5403758991244274</v>
      </c>
      <c r="N52" s="32">
        <f t="shared" si="3"/>
        <v>1.3218291190358353</v>
      </c>
      <c r="O52" s="32">
        <f t="shared" si="3"/>
        <v>0.14918024449626266</v>
      </c>
      <c r="P52" s="32">
        <f t="shared" si="3"/>
        <v>2.6362551664033435E-3</v>
      </c>
      <c r="Q52" s="32">
        <f t="shared" si="3"/>
        <v>158.27034598673382</v>
      </c>
      <c r="R52" s="32">
        <f t="shared" si="3"/>
        <v>0.29064799554304005</v>
      </c>
      <c r="S52" s="32">
        <f t="shared" si="3"/>
        <v>175.77915492191914</v>
      </c>
      <c r="T52" s="32">
        <f t="shared" si="3"/>
        <v>1.2023279025132616E-2</v>
      </c>
      <c r="U52" s="32">
        <f t="shared" si="3"/>
        <v>38.389477626595799</v>
      </c>
      <c r="V52" s="32">
        <f t="shared" si="3"/>
        <v>2.8494094694772481E-3</v>
      </c>
      <c r="W52" s="32">
        <f t="shared" si="3"/>
        <v>3.0563906640156956E-7</v>
      </c>
      <c r="X52" s="32">
        <f t="shared" si="3"/>
        <v>3.4015580443797433E-2</v>
      </c>
      <c r="Y52" s="32">
        <f t="shared" si="3"/>
        <v>7.3438984075179486E-2</v>
      </c>
      <c r="Z52" s="32">
        <f t="shared" si="3"/>
        <v>6.9829598767809156E-2</v>
      </c>
      <c r="AA52" s="32">
        <f t="shared" si="3"/>
        <v>0.31080201433601395</v>
      </c>
      <c r="AB52" s="32">
        <f t="shared" si="3"/>
        <v>0.1570196127388099</v>
      </c>
      <c r="AC52" s="32">
        <f t="shared" si="3"/>
        <v>3.5343630856851563E-2</v>
      </c>
      <c r="AD52" s="32">
        <f t="shared" si="3"/>
        <v>0.65441037574695304</v>
      </c>
      <c r="AE52" s="32">
        <f t="shared" si="3"/>
        <v>1.2945222545293162</v>
      </c>
      <c r="AF52" s="32">
        <f t="shared" si="3"/>
        <v>1.9408191166678881</v>
      </c>
    </row>
    <row r="53" spans="1:32">
      <c r="A53" s="31" t="s">
        <v>84</v>
      </c>
      <c r="F53" s="22">
        <f>F7+F8+F12+F29+F31</f>
        <v>0.26396442707692302</v>
      </c>
      <c r="G53" s="27" t="s">
        <v>85</v>
      </c>
      <c r="H53" s="22"/>
    </row>
    <row r="54" spans="1:32">
      <c r="H54" s="22"/>
    </row>
    <row r="55" spans="1:32">
      <c r="F55" s="22">
        <f>F42+F45</f>
        <v>2.1675000000000002E-3</v>
      </c>
      <c r="I55" s="32">
        <f>SUM(K3:K17)</f>
        <v>104.99433190256201</v>
      </c>
    </row>
    <row r="56" spans="1:32">
      <c r="I56" s="22"/>
    </row>
    <row r="59" spans="1:32">
      <c r="A59" s="47">
        <f>F3/F51</f>
        <v>0.99982801621394612</v>
      </c>
    </row>
  </sheetData>
  <mergeCells count="6">
    <mergeCell ref="G1:H1"/>
    <mergeCell ref="L1:AC1"/>
    <mergeCell ref="AD1:AF1"/>
    <mergeCell ref="G11:G12"/>
    <mergeCell ref="G6:G8"/>
    <mergeCell ref="I1:K1"/>
  </mergeCells>
  <phoneticPr fontId="11" type="noConversion"/>
  <pageMargins left="0.69930555555555596" right="0.69930555555555596"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4:AJ30"/>
  <sheetViews>
    <sheetView workbookViewId="0">
      <selection activeCell="F22" sqref="F22"/>
    </sheetView>
  </sheetViews>
  <sheetFormatPr defaultColWidth="9.140625" defaultRowHeight="15"/>
  <cols>
    <col min="2" max="2" width="32.28515625" style="3" customWidth="1"/>
    <col min="3" max="4" width="23.85546875" style="3" customWidth="1"/>
    <col min="5" max="5" width="30.85546875" style="3" customWidth="1"/>
    <col min="6" max="6" width="13.85546875" style="3" customWidth="1"/>
    <col min="7" max="7" width="16.140625" style="3" customWidth="1"/>
    <col min="8" max="8" width="14.5703125" style="3" customWidth="1"/>
    <col min="9" max="10" width="9.5703125" style="3" customWidth="1"/>
    <col min="11" max="11" width="9.28515625" style="3" customWidth="1"/>
    <col min="13" max="13" width="32.5703125" customWidth="1"/>
    <col min="14" max="14" width="18.42578125" customWidth="1"/>
    <col min="15" max="15" width="22.28515625" customWidth="1"/>
    <col min="16" max="36" width="13.42578125" customWidth="1"/>
  </cols>
  <sheetData>
    <row r="4" spans="1:36">
      <c r="B4" s="139" t="s">
        <v>88</v>
      </c>
      <c r="C4" s="139"/>
      <c r="D4" s="139"/>
      <c r="E4" s="139"/>
      <c r="P4" s="140" t="s">
        <v>6</v>
      </c>
      <c r="Q4" s="140"/>
      <c r="R4" s="140"/>
      <c r="S4" s="140"/>
      <c r="T4" s="140"/>
      <c r="U4" s="140"/>
      <c r="V4" s="140"/>
      <c r="W4" s="140"/>
      <c r="X4" s="140"/>
      <c r="Y4" s="140"/>
      <c r="Z4" s="140"/>
      <c r="AA4" s="140"/>
      <c r="AB4" s="140"/>
      <c r="AC4" s="140"/>
      <c r="AD4" s="140"/>
      <c r="AE4" s="140"/>
      <c r="AF4" s="140"/>
      <c r="AG4" s="140"/>
      <c r="AH4" s="141" t="s">
        <v>7</v>
      </c>
      <c r="AI4" s="141"/>
      <c r="AJ4" s="141"/>
    </row>
    <row r="5" spans="1:36" ht="15.75" thickBot="1">
      <c r="A5" s="50" t="s">
        <v>198</v>
      </c>
      <c r="B5" s="22"/>
      <c r="C5" s="22" t="s">
        <v>89</v>
      </c>
      <c r="D5" s="22" t="s">
        <v>90</v>
      </c>
      <c r="E5" s="22" t="s">
        <v>91</v>
      </c>
      <c r="M5" s="56"/>
      <c r="N5" s="55" t="s">
        <v>9</v>
      </c>
      <c r="O5" s="55" t="s">
        <v>10</v>
      </c>
      <c r="P5" s="56" t="s">
        <v>11</v>
      </c>
      <c r="Q5" s="56" t="s">
        <v>12</v>
      </c>
      <c r="R5" s="56" t="s">
        <v>13</v>
      </c>
      <c r="S5" s="56" t="s">
        <v>14</v>
      </c>
      <c r="T5" s="56" t="s">
        <v>15</v>
      </c>
      <c r="U5" s="56" t="s">
        <v>16</v>
      </c>
      <c r="V5" s="56" t="s">
        <v>17</v>
      </c>
      <c r="W5" s="56" t="s">
        <v>18</v>
      </c>
      <c r="X5" s="56" t="s">
        <v>19</v>
      </c>
      <c r="Y5" s="56" t="s">
        <v>20</v>
      </c>
      <c r="Z5" s="56" t="s">
        <v>21</v>
      </c>
      <c r="AA5" s="56" t="s">
        <v>22</v>
      </c>
      <c r="AB5" s="56" t="s">
        <v>23</v>
      </c>
      <c r="AC5" s="56" t="s">
        <v>24</v>
      </c>
      <c r="AD5" s="56" t="s">
        <v>25</v>
      </c>
      <c r="AE5" s="56" t="s">
        <v>26</v>
      </c>
      <c r="AF5" s="56" t="s">
        <v>27</v>
      </c>
      <c r="AG5" s="56" t="s">
        <v>28</v>
      </c>
      <c r="AH5" s="57" t="s">
        <v>29</v>
      </c>
      <c r="AI5" s="57" t="s">
        <v>30</v>
      </c>
      <c r="AJ5" s="57" t="s">
        <v>31</v>
      </c>
    </row>
    <row r="6" spans="1:36">
      <c r="B6" s="111" t="s">
        <v>8</v>
      </c>
      <c r="C6" s="89"/>
      <c r="D6" s="89"/>
      <c r="E6" s="89"/>
      <c r="F6" s="90"/>
      <c r="M6" s="23" t="s">
        <v>92</v>
      </c>
      <c r="N6" s="24">
        <f>$F$7*[1]production!D7</f>
        <v>2.8396800022717437</v>
      </c>
      <c r="O6" s="24">
        <f>$F$7*[1]production!M7</f>
        <v>49.96641093677313</v>
      </c>
      <c r="P6" s="24">
        <f>$F$7*[1]production!N7</f>
        <v>3.2510800026008635E-3</v>
      </c>
      <c r="Q6" s="24">
        <f>$F$7*[1]production!O7</f>
        <v>2.6799600021439676</v>
      </c>
      <c r="R6" s="24">
        <f>$F$7*[1]production!P7</f>
        <v>1.1836000009468799</v>
      </c>
      <c r="S6" s="24">
        <f>$F$7*[1]production!Q7</f>
        <v>1.0204000008163197E-2</v>
      </c>
      <c r="T6" s="24">
        <f>$F$7*[1]production!R7</f>
        <v>4.9796000039836795E-5</v>
      </c>
      <c r="U6" s="24">
        <f>$F$7*[1]production!S7</f>
        <v>20.874000016699195</v>
      </c>
      <c r="V6" s="24">
        <f>$F$7*[1]production!T7</f>
        <v>1.6892000013513597E-2</v>
      </c>
      <c r="W6" s="24">
        <f>$F$7*[1]production!U7</f>
        <v>6.2776000050220784</v>
      </c>
      <c r="X6" s="24">
        <f>$F$7*[1]production!V7</f>
        <v>2.4590000019671992E-3</v>
      </c>
      <c r="Y6" s="24">
        <f>$F$7*[1]production!W7</f>
        <v>1.1996000009596797E-2</v>
      </c>
      <c r="Z6" s="24">
        <f>$F$7*[1]production!X7</f>
        <v>4.4140000035311993E-4</v>
      </c>
      <c r="AA6" s="24">
        <f>$F$7*[1]production!Y7</f>
        <v>2.3717600018974076E-7</v>
      </c>
      <c r="AB6" s="24">
        <f>$F$7*[1]production!Z7</f>
        <v>2.9944800023955836E-3</v>
      </c>
      <c r="AC6" s="24">
        <f>$F$7*[1]production!AA7</f>
        <v>8.0544000064435191E-3</v>
      </c>
      <c r="AD6" s="24">
        <f>$F$7*[1]production!AB7</f>
        <v>1.1600000009279998E-2</v>
      </c>
      <c r="AE6" s="24">
        <f>$F$7*[1]production!AC7</f>
        <v>2.0761200016608956E-4</v>
      </c>
      <c r="AF6" s="24">
        <f>$F$7*[1]production!AD7</f>
        <v>1.2804400010243519E-3</v>
      </c>
      <c r="AG6" s="24">
        <f>$F$7*[1]production!AE7</f>
        <v>3.2074400025659512E-4</v>
      </c>
      <c r="AH6" s="24">
        <f>$F$7*[1]production!AF7</f>
        <v>7.8456000062764791E-2</v>
      </c>
      <c r="AI6" s="24">
        <f>$F$7*[1]production!AG7</f>
        <v>0.24192800019354235</v>
      </c>
      <c r="AJ6" s="24">
        <f>$F$7*[1]production!AH7</f>
        <v>0.14248400011398718</v>
      </c>
    </row>
    <row r="7" spans="1:36" ht="15.75" thickBot="1">
      <c r="B7" s="91" t="s">
        <v>92</v>
      </c>
      <c r="C7" s="92">
        <f>120/100*10000</f>
        <v>12000</v>
      </c>
      <c r="D7" s="93">
        <f>20*60</f>
        <v>1200</v>
      </c>
      <c r="E7" s="94">
        <f>C7*D7/1000000</f>
        <v>14.4</v>
      </c>
      <c r="F7" s="147">
        <f>E7*0.277777778</f>
        <v>4.0000000031999994</v>
      </c>
      <c r="M7" s="23" t="s">
        <v>93</v>
      </c>
      <c r="N7" s="24">
        <f>$F$9*[1]production!D7</f>
        <v>4.7504002709876597E-4</v>
      </c>
      <c r="O7" s="24">
        <f>$F$9*[1]production!M7</f>
        <v>8.3587042154200306E-3</v>
      </c>
      <c r="P7" s="24">
        <f>$F$9*[1]production!N7</f>
        <v>5.4386167853429123E-7</v>
      </c>
      <c r="Q7" s="24">
        <f>$F$9*[1]production!O7</f>
        <v>4.4832103301203262E-4</v>
      </c>
      <c r="R7" s="24">
        <f>$F$9*[1]production!P7</f>
        <v>1.9800025921022771E-4</v>
      </c>
      <c r="S7" s="24">
        <f>$F$9*[1]production!Q7</f>
        <v>1.7069910822754E-6</v>
      </c>
      <c r="T7" s="24">
        <f>$F$9*[1]production!R7</f>
        <v>8.3301967790068433E-9</v>
      </c>
      <c r="U7" s="24">
        <f>$F$9*[1]production!S7</f>
        <v>3.4919376569400922E-3</v>
      </c>
      <c r="V7" s="24">
        <f>$F$9*[1]production!T7</f>
        <v>2.825802955879661E-6</v>
      </c>
      <c r="W7" s="24">
        <f>$F$9*[1]production!U7</f>
        <v>1.05015750863309E-3</v>
      </c>
      <c r="X7" s="24">
        <f>$F$9*[1]production!V7</f>
        <v>4.113574158482172E-7</v>
      </c>
      <c r="Y7" s="24">
        <f>$F$9*[1]production!W7</f>
        <v>2.0067684263990296E-6</v>
      </c>
      <c r="Z7" s="24">
        <f>$F$9*[1]production!X7</f>
        <v>7.3840245366166368E-8</v>
      </c>
      <c r="AA7" s="24">
        <f>$F$9*[1]production!Y7</f>
        <v>3.9676334469791286E-11</v>
      </c>
      <c r="AB7" s="24">
        <f>$F$9*[1]production!Z7</f>
        <v>5.0093597178087415E-7</v>
      </c>
      <c r="AC7" s="24">
        <f>$F$9*[1]production!AA7</f>
        <v>1.3473920984985282E-6</v>
      </c>
      <c r="AD7" s="24">
        <f>$F$9*[1]production!AB7</f>
        <v>1.9405229865145666E-6</v>
      </c>
      <c r="AE7" s="24">
        <f>$F$9*[1]production!AC7</f>
        <v>3.4730677437608814E-8</v>
      </c>
      <c r="AF7" s="24">
        <f>$F$9*[1]production!AD7</f>
        <v>2.1420028041833727E-7</v>
      </c>
      <c r="AG7" s="24">
        <f>$F$9*[1]production!AE7</f>
        <v>5.3656129722985189E-8</v>
      </c>
      <c r="AH7" s="24">
        <f>$F$9*[1]production!AF7</f>
        <v>1.3124626847412661E-5</v>
      </c>
      <c r="AI7" s="24">
        <f>$F$9*[1]production!AG7</f>
        <v>4.047127974840484E-5</v>
      </c>
      <c r="AJ7" s="24">
        <f>$F$9*[1]production!AH7</f>
        <v>2.3835644587115652E-5</v>
      </c>
    </row>
    <row r="8" spans="1:36">
      <c r="B8" s="111" t="s">
        <v>42</v>
      </c>
      <c r="C8" s="89"/>
      <c r="D8" s="95"/>
      <c r="E8" s="96"/>
      <c r="F8" s="90"/>
      <c r="I8" s="3" t="s">
        <v>94</v>
      </c>
      <c r="J8" s="3" t="s">
        <v>95</v>
      </c>
      <c r="K8" s="3" t="s">
        <v>96</v>
      </c>
      <c r="L8" s="3"/>
      <c r="M8" s="23" t="s">
        <v>184</v>
      </c>
      <c r="N8" s="24">
        <f>$F$11*[1]production!D7</f>
        <v>2.2835594108730621</v>
      </c>
      <c r="O8" s="24">
        <f>$F$11*[1]production!M7</f>
        <v>40.181030197394769</v>
      </c>
      <c r="P8" s="24">
        <f>$F$11*[1]production!N7</f>
        <v>2.6143911741820188E-3</v>
      </c>
      <c r="Q8" s="24">
        <f>$F$11*[1]production!O7</f>
        <v>2.1551188439413496</v>
      </c>
      <c r="R8" s="24">
        <f>$F$11*[1]production!P7</f>
        <v>0.95180475219368255</v>
      </c>
      <c r="S8" s="24">
        <f>$F$11*[1]production!Q7</f>
        <v>8.2056570559178241E-3</v>
      </c>
      <c r="T8" s="24">
        <f>$F$11*[1]production!R7</f>
        <v>4.0043992430074877E-5</v>
      </c>
      <c r="U8" s="24">
        <f>$F$11*[1]production!S7</f>
        <v>16.786053056176858</v>
      </c>
      <c r="V8" s="24">
        <f>$F$11*[1]production!T7</f>
        <v>1.3583884651956478E-2</v>
      </c>
      <c r="W8" s="24">
        <f>$F$11*[1]production!U7</f>
        <v>5.0481999935544621</v>
      </c>
      <c r="X8" s="24">
        <f>$F$11*[1]production!V7</f>
        <v>1.9774314681009339E-3</v>
      </c>
      <c r="Y8" s="24">
        <f>$F$11*[1]production!W7</f>
        <v>9.6467132538994721E-3</v>
      </c>
      <c r="Z8" s="24">
        <f>$F$11*[1]production!X7</f>
        <v>3.5495658805195291E-4</v>
      </c>
      <c r="AA8" s="24">
        <f>$F$11*[1]production!Y7</f>
        <v>1.9072764777483006E-7</v>
      </c>
      <c r="AB8" s="24">
        <f>$F$11*[1]production!Z7</f>
        <v>2.4080435065469232E-3</v>
      </c>
      <c r="AC8" s="24">
        <f>$F$11*[1]production!AA7</f>
        <v>6.477032946999659E-3</v>
      </c>
      <c r="AD8" s="24">
        <f>$F$11*[1]production!AB7</f>
        <v>9.3282655672919206E-3</v>
      </c>
      <c r="AE8" s="24">
        <f>$F$11*[1]production!AC7</f>
        <v>1.6695343715143193E-4</v>
      </c>
      <c r="AF8" s="24">
        <f>$F$11*[1]production!AD7</f>
        <v>1.029679686464075E-3</v>
      </c>
      <c r="AG8" s="24">
        <f>$F$11*[1]production!AE7</f>
        <v>2.5792975957892065E-4</v>
      </c>
      <c r="AH8" s="24">
        <f>$F$11*[1]production!AF7</f>
        <v>6.3091241667884046E-2</v>
      </c>
      <c r="AI8" s="24">
        <f>$F$11*[1]production!AG7</f>
        <v>0.19454902001412069</v>
      </c>
      <c r="AJ8" s="24">
        <f>$F$11*[1]production!AH7</f>
        <v>0.11458005095603639</v>
      </c>
    </row>
    <row r="9" spans="1:36" ht="15.75" thickBot="1">
      <c r="B9" s="97" t="s">
        <v>93</v>
      </c>
      <c r="C9" s="98">
        <v>130</v>
      </c>
      <c r="D9" s="99">
        <f>K9</f>
        <v>18.530192959850755</v>
      </c>
      <c r="E9" s="100">
        <f>C9*D9/1000000</f>
        <v>2.4089250847805985E-3</v>
      </c>
      <c r="F9" s="148">
        <f t="shared" ref="F9:F20" si="0">E9*0.277777778</f>
        <v>6.6914585741881618E-4</v>
      </c>
      <c r="H9" s="3" t="s">
        <v>93</v>
      </c>
      <c r="I9" s="3">
        <v>130</v>
      </c>
      <c r="J9" s="3">
        <v>1</v>
      </c>
      <c r="K9" s="3">
        <f>'material inventory'!F10/789*1000000/J9</f>
        <v>18.530192959850755</v>
      </c>
      <c r="L9" s="3">
        <f>I9*K9/1000000</f>
        <v>2.4089250847805985E-3</v>
      </c>
      <c r="M9" s="23" t="s">
        <v>98</v>
      </c>
      <c r="N9" s="24">
        <f>$F$12*[1]production!D7</f>
        <v>51.114240040891382</v>
      </c>
      <c r="O9" s="24">
        <f>$F$12*[1]production!M7</f>
        <v>899.39539686191631</v>
      </c>
      <c r="P9" s="24">
        <f>$F$12*[1]production!N7</f>
        <v>5.8519440046815543E-2</v>
      </c>
      <c r="Q9" s="24">
        <f>$F$12*[1]production!O7</f>
        <v>48.239280038591417</v>
      </c>
      <c r="R9" s="24">
        <f>$F$12*[1]production!P7</f>
        <v>21.304800017043839</v>
      </c>
      <c r="S9" s="24">
        <f>$F$12*[1]production!Q7</f>
        <v>0.18367200014693758</v>
      </c>
      <c r="T9" s="24">
        <f>$F$12*[1]production!R7</f>
        <v>8.9632800071706232E-4</v>
      </c>
      <c r="U9" s="24">
        <f>$F$12*[1]production!S7</f>
        <v>375.73200030058553</v>
      </c>
      <c r="V9" s="24">
        <f>$F$12*[1]production!T7</f>
        <v>0.30405600024324475</v>
      </c>
      <c r="W9" s="24">
        <f>$F$12*[1]production!U7</f>
        <v>112.99680009039741</v>
      </c>
      <c r="X9" s="24">
        <f>$F$12*[1]production!V7</f>
        <v>4.4262000035409588E-2</v>
      </c>
      <c r="Y9" s="24">
        <f>$F$12*[1]production!W7</f>
        <v>0.21592800017274236</v>
      </c>
      <c r="Z9" s="24">
        <f>$F$12*[1]production!X7</f>
        <v>7.9452000063561581E-3</v>
      </c>
      <c r="AA9" s="24">
        <f>$F$12*[1]production!Y7</f>
        <v>4.2691680034153339E-6</v>
      </c>
      <c r="AB9" s="24">
        <f>$F$12*[1]production!Z7</f>
        <v>5.39006400431205E-2</v>
      </c>
      <c r="AC9" s="24">
        <f>$F$12*[1]production!AA7</f>
        <v>0.14497920011598334</v>
      </c>
      <c r="AD9" s="24">
        <f>$F$12*[1]production!AB7</f>
        <v>0.20880000016703995</v>
      </c>
      <c r="AE9" s="24">
        <f>$F$12*[1]production!AC7</f>
        <v>3.7370160029896126E-3</v>
      </c>
      <c r="AF9" s="24">
        <f>$F$12*[1]production!AD7</f>
        <v>2.3047920018438334E-2</v>
      </c>
      <c r="AG9" s="24">
        <f>$F$12*[1]production!AE7</f>
        <v>5.7733920046187121E-3</v>
      </c>
      <c r="AH9" s="24">
        <f>$F$12*[1]production!AF7</f>
        <v>1.4122080011297662</v>
      </c>
      <c r="AI9" s="24">
        <f>$F$12*[1]production!AG7</f>
        <v>4.3547040034837625</v>
      </c>
      <c r="AJ9" s="24">
        <f>$F$12*[1]production!AH7</f>
        <v>2.5647120020517691</v>
      </c>
    </row>
    <row r="10" spans="1:36">
      <c r="B10" s="88" t="s">
        <v>48</v>
      </c>
      <c r="C10" s="89"/>
      <c r="D10" s="95"/>
      <c r="E10" s="96"/>
      <c r="F10" s="90"/>
      <c r="M10" s="23" t="s">
        <v>185</v>
      </c>
      <c r="N10" s="24">
        <f>$F$14*[1]production!D7</f>
        <v>8.4576274476780081E-2</v>
      </c>
      <c r="O10" s="24">
        <f>$F$14*[1]production!M7</f>
        <v>1.4881863036072136</v>
      </c>
      <c r="P10" s="24">
        <f>$F$14*[1]production!N7</f>
        <v>9.6829302747482171E-5</v>
      </c>
      <c r="Q10" s="24">
        <f>$F$14*[1]production!O7</f>
        <v>7.9819216442272203E-2</v>
      </c>
      <c r="R10" s="24">
        <f>$F$14*[1]production!P7</f>
        <v>3.525202785902528E-2</v>
      </c>
      <c r="S10" s="24">
        <f>$F$14*[1]production!Q7</f>
        <v>3.039132242932527E-4</v>
      </c>
      <c r="T10" s="24">
        <f>$F$14*[1]production!R7</f>
        <v>1.4831108307435136E-6</v>
      </c>
      <c r="U10" s="24">
        <f>$F$14*[1]production!S7</f>
        <v>0.62170566874729094</v>
      </c>
      <c r="V10" s="24">
        <f>$F$14*[1]production!T7</f>
        <v>5.0310683896135093E-4</v>
      </c>
      <c r="W10" s="24">
        <f>$F$14*[1]production!U7</f>
        <v>0.18697037013164672</v>
      </c>
      <c r="X10" s="24">
        <f>$F$14*[1]production!V7</f>
        <v>7.3238202522256797E-5</v>
      </c>
      <c r="Y10" s="24">
        <f>$F$14*[1]production!W7</f>
        <v>3.5728567607035079E-4</v>
      </c>
      <c r="Z10" s="24">
        <f>$F$14*[1]production!X7</f>
        <v>1.3146540298220478E-5</v>
      </c>
      <c r="AA10" s="24">
        <f>$F$14*[1]production!Y7</f>
        <v>7.0639869546233354E-9</v>
      </c>
      <c r="AB10" s="24">
        <f>$F$14*[1]production!Z7</f>
        <v>8.9186796538774931E-5</v>
      </c>
      <c r="AC10" s="24">
        <f>$F$14*[1]production!AA7</f>
        <v>2.398901091481355E-4</v>
      </c>
      <c r="AD10" s="24">
        <f>$F$14*[1]production!AB7</f>
        <v>3.4549131730710812E-4</v>
      </c>
      <c r="AE10" s="24">
        <f>$F$14*[1]production!AC7</f>
        <v>6.1834606352382193E-6</v>
      </c>
      <c r="AF10" s="24">
        <f>$F$14*[1]production!AD7</f>
        <v>3.8136284683854624E-5</v>
      </c>
      <c r="AG10" s="24">
        <f>$F$14*[1]production!AE7</f>
        <v>9.5529540584785421E-6</v>
      </c>
      <c r="AH10" s="24">
        <f>$F$14*[1]production!AF7</f>
        <v>2.3367126543660756E-3</v>
      </c>
      <c r="AI10" s="24">
        <f>$F$14*[1]production!AG7</f>
        <v>7.2055192597822474E-3</v>
      </c>
      <c r="AJ10" s="24">
        <f>$F$14*[1]production!AH7</f>
        <v>4.24370559096431E-3</v>
      </c>
    </row>
    <row r="11" spans="1:36">
      <c r="B11" s="101" t="s">
        <v>97</v>
      </c>
      <c r="C11" s="102">
        <f>(300+370)*(10000*'material inventory'!C14/100)^2*(3000/9999)^2</f>
        <v>385997.19557914388</v>
      </c>
      <c r="D11" s="103">
        <v>30</v>
      </c>
      <c r="E11" s="104">
        <f>C11*D11/1000000</f>
        <v>11.579915867374316</v>
      </c>
      <c r="F11" s="149">
        <f t="shared" si="0"/>
        <v>3.2166432990661797</v>
      </c>
      <c r="M11" s="23" t="s">
        <v>186</v>
      </c>
      <c r="N11" s="24">
        <f>$F$15*[1]production!D7</f>
        <v>4.2288137238390036</v>
      </c>
      <c r="O11" s="24">
        <f>$F$15*[1]production!M7</f>
        <v>74.409315180360679</v>
      </c>
      <c r="P11" s="24">
        <f>$F$15*[1]production!N7</f>
        <v>4.8414651373741083E-3</v>
      </c>
      <c r="Q11" s="24">
        <f>$F$15*[1]production!O7</f>
        <v>3.9909608221136099</v>
      </c>
      <c r="R11" s="24">
        <f>$F$15*[1]production!P7</f>
        <v>1.7626013929512638</v>
      </c>
      <c r="S11" s="24">
        <f>$F$15*[1]production!Q7</f>
        <v>1.5195661214662636E-2</v>
      </c>
      <c r="T11" s="24">
        <f>$F$15*[1]production!R7</f>
        <v>7.4155541537175682E-5</v>
      </c>
      <c r="U11" s="24">
        <f>$F$15*[1]production!S7</f>
        <v>31.085283437364549</v>
      </c>
      <c r="V11" s="24">
        <f>$F$15*[1]production!T7</f>
        <v>2.5155341948067549E-2</v>
      </c>
      <c r="W11" s="24">
        <f>$F$15*[1]production!U7</f>
        <v>9.3485185065823355</v>
      </c>
      <c r="X11" s="24">
        <f>$F$15*[1]production!V7</f>
        <v>3.6619101261128402E-3</v>
      </c>
      <c r="Y11" s="24">
        <f>$F$15*[1]production!W7</f>
        <v>1.7864283803517539E-2</v>
      </c>
      <c r="Z11" s="24">
        <f>$F$15*[1]production!X7</f>
        <v>6.5732701491102389E-4</v>
      </c>
      <c r="AA11" s="24">
        <f>$F$15*[1]production!Y7</f>
        <v>3.5319934773116675E-7</v>
      </c>
      <c r="AB11" s="24">
        <f>$F$15*[1]production!Z7</f>
        <v>4.4593398269387463E-3</v>
      </c>
      <c r="AC11" s="24">
        <f>$F$15*[1]production!AA7</f>
        <v>1.1994505457406775E-2</v>
      </c>
      <c r="AD11" s="24">
        <f>$F$15*[1]production!AB7</f>
        <v>1.7274565865355408E-2</v>
      </c>
      <c r="AE11" s="24">
        <f>$F$15*[1]production!AC7</f>
        <v>3.0917303176191096E-4</v>
      </c>
      <c r="AF11" s="24">
        <f>$F$15*[1]production!AD7</f>
        <v>1.9068142341927311E-3</v>
      </c>
      <c r="AG11" s="24">
        <f>$F$15*[1]production!AE7</f>
        <v>4.7764770292392712E-4</v>
      </c>
      <c r="AH11" s="24">
        <f>$F$15*[1]production!AF7</f>
        <v>0.11683563271830379</v>
      </c>
      <c r="AI11" s="24">
        <f>$F$15*[1]production!AG7</f>
        <v>0.36027596298911235</v>
      </c>
      <c r="AJ11" s="24">
        <f>$F$15*[1]production!AH7</f>
        <v>0.21218527954821551</v>
      </c>
    </row>
    <row r="12" spans="1:36" ht="15.75" thickBot="1">
      <c r="A12">
        <v>500</v>
      </c>
      <c r="B12" s="97" t="s">
        <v>99</v>
      </c>
      <c r="C12" s="105">
        <f>630/350*A12/100*10000*'material inventory'!C14</f>
        <v>72000</v>
      </c>
      <c r="D12" s="99">
        <v>3600</v>
      </c>
      <c r="E12" s="100">
        <f>C12*D12/1000000</f>
        <v>259.2</v>
      </c>
      <c r="F12" s="148">
        <f t="shared" si="0"/>
        <v>72.000000057599991</v>
      </c>
      <c r="M12" s="23" t="s">
        <v>187</v>
      </c>
      <c r="N12" s="24">
        <f>$F$16*[1]production!D7</f>
        <v>1.7038080013630463</v>
      </c>
      <c r="O12" s="24">
        <f>$F$16*[1]production!M7</f>
        <v>29.979846562063884</v>
      </c>
      <c r="P12" s="24">
        <f>$F$16*[1]production!N7</f>
        <v>1.9506480015605183E-3</v>
      </c>
      <c r="Q12" s="24">
        <f>$F$16*[1]production!O7</f>
        <v>1.6079760012863809</v>
      </c>
      <c r="R12" s="24">
        <f>$F$16*[1]production!P7</f>
        <v>0.710160000568128</v>
      </c>
      <c r="S12" s="24">
        <f>$F$16*[1]production!Q7</f>
        <v>6.1224000048979198E-3</v>
      </c>
      <c r="T12" s="24">
        <f>$F$16*[1]production!R7</f>
        <v>2.9877600023902081E-5</v>
      </c>
      <c r="U12" s="24">
        <f>$F$16*[1]production!S7</f>
        <v>12.524400010019519</v>
      </c>
      <c r="V12" s="24">
        <f>$F$16*[1]production!T7</f>
        <v>1.013520000810816E-2</v>
      </c>
      <c r="W12" s="24">
        <f>$F$16*[1]production!U7</f>
        <v>3.766560003013248</v>
      </c>
      <c r="X12" s="24">
        <f>$F$16*[1]production!V7</f>
        <v>1.4754000011803199E-3</v>
      </c>
      <c r="Y12" s="24">
        <f>$F$16*[1]production!W7</f>
        <v>7.19760000575808E-3</v>
      </c>
      <c r="Z12" s="24">
        <f>$F$16*[1]production!X7</f>
        <v>2.6484000021187199E-4</v>
      </c>
      <c r="AA12" s="24">
        <f>$F$16*[1]production!Y7</f>
        <v>1.4230560011384449E-7</v>
      </c>
      <c r="AB12" s="24">
        <f>$F$16*[1]production!Z7</f>
        <v>1.7966880014373503E-3</v>
      </c>
      <c r="AC12" s="24">
        <f>$F$16*[1]production!AA7</f>
        <v>4.8326400038661123E-3</v>
      </c>
      <c r="AD12" s="24">
        <f>$F$16*[1]production!AB7</f>
        <v>6.9600000055680001E-3</v>
      </c>
      <c r="AE12" s="24">
        <f>$F$16*[1]production!AC7</f>
        <v>1.2456720009965377E-4</v>
      </c>
      <c r="AF12" s="24">
        <f>$F$16*[1]production!AD7</f>
        <v>7.6826400061461128E-4</v>
      </c>
      <c r="AG12" s="24">
        <f>$F$16*[1]production!AE7</f>
        <v>1.9244640015395712E-4</v>
      </c>
      <c r="AH12" s="24">
        <f>$F$16*[1]production!AF7</f>
        <v>4.7073600037658883E-2</v>
      </c>
      <c r="AI12" s="24">
        <f>$F$16*[1]production!AG7</f>
        <v>0.14515680011612545</v>
      </c>
      <c r="AJ12" s="24">
        <f>$F$16*[1]production!AH7</f>
        <v>8.5490400068392328E-2</v>
      </c>
    </row>
    <row r="13" spans="1:36">
      <c r="B13" s="111" t="s">
        <v>54</v>
      </c>
      <c r="C13" s="106"/>
      <c r="D13" s="95"/>
      <c r="E13" s="96"/>
      <c r="F13" s="90"/>
      <c r="M13" s="23" t="s">
        <v>188</v>
      </c>
      <c r="N13" s="24">
        <f>$F$18*[1]production!D7</f>
        <v>2.2835594108730621</v>
      </c>
      <c r="O13" s="24">
        <f>$F$18*[1]production!M7</f>
        <v>40.181030197394769</v>
      </c>
      <c r="P13" s="24">
        <f>$F$18*[1]production!N7</f>
        <v>2.6143911741820188E-3</v>
      </c>
      <c r="Q13" s="24">
        <f>$F$18*[1]production!O7</f>
        <v>2.1551188439413496</v>
      </c>
      <c r="R13" s="24">
        <f>$F$18*[1]production!P7</f>
        <v>0.95180475219368255</v>
      </c>
      <c r="S13" s="24">
        <f>$F$18*[1]production!Q7</f>
        <v>8.2056570559178241E-3</v>
      </c>
      <c r="T13" s="24">
        <f>$F$18*[1]production!R7</f>
        <v>4.0043992430074877E-5</v>
      </c>
      <c r="U13" s="24">
        <f>$F$18*[1]production!S7</f>
        <v>16.786053056176858</v>
      </c>
      <c r="V13" s="24">
        <f>$F$18*[1]production!T7</f>
        <v>1.3583884651956478E-2</v>
      </c>
      <c r="W13" s="24">
        <f>$F$18*[1]production!U7</f>
        <v>5.0481999935544621</v>
      </c>
      <c r="X13" s="24">
        <f>$F$18*[1]production!V7</f>
        <v>1.9774314681009339E-3</v>
      </c>
      <c r="Y13" s="24">
        <f>$F$18*[1]production!W7</f>
        <v>9.6467132538994721E-3</v>
      </c>
      <c r="Z13" s="24">
        <f>$F$18*[1]production!X7</f>
        <v>3.5495658805195291E-4</v>
      </c>
      <c r="AA13" s="24">
        <f>$F$18*[1]production!Y7</f>
        <v>1.9072764777483006E-7</v>
      </c>
      <c r="AB13" s="24">
        <f>$F$18*[1]production!Z7</f>
        <v>2.4080435065469232E-3</v>
      </c>
      <c r="AC13" s="24">
        <f>$F$18*[1]production!AA7</f>
        <v>6.477032946999659E-3</v>
      </c>
      <c r="AD13" s="24">
        <f>$F$18*[1]production!AB7</f>
        <v>9.3282655672919206E-3</v>
      </c>
      <c r="AE13" s="24">
        <f>$F$18*[1]production!AC7</f>
        <v>1.6695343715143193E-4</v>
      </c>
      <c r="AF13" s="24">
        <f>$F$18*[1]production!AD7</f>
        <v>1.029679686464075E-3</v>
      </c>
      <c r="AG13" s="24">
        <f>$F$18*[1]production!AE7</f>
        <v>2.5792975957892065E-4</v>
      </c>
      <c r="AH13" s="24">
        <f>$F$18*[1]production!AF7</f>
        <v>6.3091241667884046E-2</v>
      </c>
      <c r="AI13" s="24">
        <f>$F$18*[1]production!AG7</f>
        <v>0.19454902001412069</v>
      </c>
      <c r="AJ13" s="24">
        <f>$F$18*[1]production!AH7</f>
        <v>0.11458005095603639</v>
      </c>
    </row>
    <row r="14" spans="1:36">
      <c r="B14" s="101" t="s">
        <v>101</v>
      </c>
      <c r="C14" s="102">
        <f>(300+370)*(10000*'material inventory'!C17/100)^2*(1000/9999)^2</f>
        <v>42888.577286571533</v>
      </c>
      <c r="D14" s="103">
        <v>10</v>
      </c>
      <c r="E14" s="104">
        <f>C14*D14/1000000</f>
        <v>0.42888577286571533</v>
      </c>
      <c r="F14" s="149">
        <f t="shared" si="0"/>
        <v>0.11913493700245109</v>
      </c>
      <c r="M14" s="23" t="s">
        <v>205</v>
      </c>
      <c r="N14" s="24">
        <f>$F$20*[1]production!D7</f>
        <v>5.5216000044172793</v>
      </c>
      <c r="O14" s="24">
        <f>$F$20*[1]production!M7</f>
        <v>97.156910154836652</v>
      </c>
      <c r="P14" s="24">
        <f>$F$20*[1]production!N7</f>
        <v>6.3215444495016799E-3</v>
      </c>
      <c r="Q14" s="24">
        <f>$F$20*[1]production!O7</f>
        <v>5.2110333375021591</v>
      </c>
      <c r="R14" s="24">
        <f>$F$20*[1]production!P7</f>
        <v>2.3014444462855996</v>
      </c>
      <c r="S14" s="24">
        <f>$F$20*[1]production!Q7</f>
        <v>1.9841111126983998E-2</v>
      </c>
      <c r="T14" s="24">
        <f>$F$20*[1]production!R7</f>
        <v>9.6825555633015992E-5</v>
      </c>
      <c r="U14" s="24">
        <f>$F$20*[1]production!S7</f>
        <v>40.588333365803997</v>
      </c>
      <c r="V14" s="24">
        <f>$F$20*[1]production!T7</f>
        <v>3.2845555581831998E-2</v>
      </c>
      <c r="W14" s="24">
        <f>$F$20*[1]production!U7</f>
        <v>12.206444454209599</v>
      </c>
      <c r="X14" s="24">
        <f>$F$20*[1]production!V7</f>
        <v>4.7813888927139992E-3</v>
      </c>
      <c r="Y14" s="24">
        <f>$F$20*[1]production!W7</f>
        <v>2.3325555574215999E-2</v>
      </c>
      <c r="Z14" s="24">
        <f>$F$20*[1]production!X7</f>
        <v>8.5827777846439999E-4</v>
      </c>
      <c r="AA14" s="24">
        <f>$F$20*[1]production!Y7</f>
        <v>4.6117555592449599E-7</v>
      </c>
      <c r="AB14" s="24">
        <f>$F$20*[1]production!Z7</f>
        <v>5.8226000046580793E-3</v>
      </c>
      <c r="AC14" s="24">
        <f>$F$20*[1]production!AA7</f>
        <v>1.5661333345862397E-2</v>
      </c>
      <c r="AD14" s="24">
        <f>$F$20*[1]production!AB7</f>
        <v>2.2555555573599999E-2</v>
      </c>
      <c r="AE14" s="24">
        <f>$F$20*[1]production!AC7</f>
        <v>4.0369000032295196E-4</v>
      </c>
      <c r="AF14" s="24">
        <f>$F$20*[1]production!AD7</f>
        <v>2.4897444464362399E-3</v>
      </c>
      <c r="AG14" s="24">
        <f>$F$20*[1]production!AE7</f>
        <v>6.2366888938782388E-4</v>
      </c>
      <c r="AH14" s="24">
        <f>$F$20*[1]production!AF7</f>
        <v>0.152553333455376</v>
      </c>
      <c r="AI14" s="24">
        <f>$F$20*[1]production!AG7</f>
        <v>0.470415555931888</v>
      </c>
      <c r="AJ14" s="24">
        <f>$F$20*[1]production!AH7</f>
        <v>0.27705222244386396</v>
      </c>
    </row>
    <row r="15" spans="1:36">
      <c r="B15" s="101" t="s">
        <v>102</v>
      </c>
      <c r="C15" s="102">
        <f>(300+370)*(10000*'material inventory'!C19/100)^2*(5000/9999)^2</f>
        <v>1072214.4321642884</v>
      </c>
      <c r="D15" s="103">
        <v>20</v>
      </c>
      <c r="E15" s="104">
        <f>C15*D15/1000000</f>
        <v>21.444288643285766</v>
      </c>
      <c r="F15" s="149">
        <f t="shared" si="0"/>
        <v>5.9567468501225544</v>
      </c>
    </row>
    <row r="16" spans="1:36" ht="15.75" thickBot="1">
      <c r="A16">
        <v>100</v>
      </c>
      <c r="B16" s="97" t="s">
        <v>103</v>
      </c>
      <c r="C16" s="105">
        <f>630/350*A16/100*10000*'material inventory'!C17</f>
        <v>14400</v>
      </c>
      <c r="D16" s="99">
        <v>600</v>
      </c>
      <c r="E16" s="100">
        <f>C16*D16/1000000</f>
        <v>8.64</v>
      </c>
      <c r="F16" s="148">
        <f t="shared" si="0"/>
        <v>2.4000000019200001</v>
      </c>
    </row>
    <row r="17" spans="1:36">
      <c r="B17" s="111" t="s">
        <v>104</v>
      </c>
      <c r="C17" s="106"/>
      <c r="D17" s="95"/>
      <c r="E17" s="96"/>
      <c r="F17" s="90"/>
      <c r="M17" s="22"/>
      <c r="N17" s="24"/>
      <c r="O17" s="24"/>
      <c r="P17" s="24"/>
      <c r="Q17" s="24"/>
      <c r="R17" s="24"/>
      <c r="S17" s="24"/>
      <c r="T17" s="24"/>
      <c r="U17" s="24"/>
      <c r="V17" s="24"/>
      <c r="W17" s="24"/>
      <c r="X17" s="24"/>
      <c r="Y17" s="24"/>
      <c r="Z17" s="24"/>
      <c r="AA17" s="24"/>
      <c r="AB17" s="24"/>
      <c r="AC17" s="24"/>
      <c r="AD17" s="24"/>
      <c r="AE17" s="24"/>
      <c r="AF17" s="24"/>
      <c r="AG17" s="24"/>
      <c r="AH17" s="24"/>
      <c r="AI17" s="24"/>
      <c r="AJ17" s="24"/>
    </row>
    <row r="18" spans="1:36" ht="15.75" thickBot="1">
      <c r="B18" s="107" t="s">
        <v>100</v>
      </c>
      <c r="C18" s="108">
        <f>(300+370)*(10000*'material inventory'!C23/100)^2*(3000/9999)^2</f>
        <v>385997.19557914388</v>
      </c>
      <c r="D18" s="109">
        <v>30</v>
      </c>
      <c r="E18" s="110">
        <f>C18*D18/1000000</f>
        <v>11.579915867374316</v>
      </c>
      <c r="F18" s="150">
        <f t="shared" si="0"/>
        <v>3.2166432990661797</v>
      </c>
    </row>
    <row r="19" spans="1:36">
      <c r="B19" s="112" t="s">
        <v>105</v>
      </c>
      <c r="C19" s="89"/>
      <c r="D19" s="89"/>
      <c r="E19" s="96"/>
      <c r="F19" s="90"/>
      <c r="M19" s="13"/>
      <c r="N19" s="24"/>
      <c r="O19" s="24"/>
      <c r="P19" s="24"/>
      <c r="Q19" s="24"/>
      <c r="R19" s="24"/>
      <c r="S19" s="24"/>
      <c r="T19" s="24"/>
      <c r="U19" s="24"/>
      <c r="V19" s="24"/>
      <c r="W19" s="24"/>
      <c r="X19" s="24"/>
      <c r="Y19" s="24"/>
      <c r="Z19" s="24"/>
      <c r="AA19" s="24"/>
      <c r="AB19" s="24"/>
      <c r="AC19" s="24"/>
      <c r="AD19" s="24"/>
      <c r="AE19" s="24"/>
      <c r="AF19" s="24"/>
      <c r="AG19" s="24"/>
      <c r="AH19" s="24"/>
      <c r="AI19" s="24"/>
      <c r="AJ19" s="24"/>
    </row>
    <row r="20" spans="1:36" ht="15.75" thickBot="1">
      <c r="A20">
        <v>150</v>
      </c>
      <c r="B20" s="97" t="s">
        <v>199</v>
      </c>
      <c r="C20" s="98">
        <f>(2.8*10000/240*A20*'material inventory'!C25+57500)</f>
        <v>71500</v>
      </c>
      <c r="D20" s="99">
        <f>'material inventory'!B25/33*60</f>
        <v>181.81818181818181</v>
      </c>
      <c r="E20" s="100">
        <f>(C20*D20+50000*5*60)/1000000</f>
        <v>28</v>
      </c>
      <c r="F20" s="148">
        <f t="shared" si="0"/>
        <v>7.7777777839999995</v>
      </c>
    </row>
    <row r="21" spans="1:36">
      <c r="E21" s="42"/>
      <c r="N21" s="24"/>
      <c r="O21" s="24"/>
      <c r="P21" s="24"/>
      <c r="Q21" s="24"/>
      <c r="R21" s="24"/>
      <c r="S21" s="24"/>
      <c r="T21" s="24"/>
      <c r="U21" s="24"/>
      <c r="V21" s="24"/>
      <c r="W21" s="24"/>
      <c r="X21" s="24"/>
      <c r="Y21" s="24"/>
      <c r="Z21" s="24"/>
      <c r="AA21" s="24"/>
      <c r="AB21" s="24"/>
      <c r="AC21" s="24"/>
      <c r="AD21" s="24"/>
      <c r="AE21" s="24"/>
      <c r="AF21" s="24"/>
      <c r="AG21" s="24"/>
      <c r="AH21" s="24"/>
      <c r="AI21" s="24"/>
      <c r="AJ21" s="24"/>
    </row>
    <row r="22" spans="1:36">
      <c r="B22" s="3" t="s">
        <v>106</v>
      </c>
      <c r="E22" s="42">
        <f>SUM(E7:E21)*0.277777778</f>
        <v>98.687615377834774</v>
      </c>
      <c r="F22" s="3">
        <f>SUM(F7:F21)</f>
        <v>98.687615377834774</v>
      </c>
      <c r="G22" s="3" t="s">
        <v>107</v>
      </c>
      <c r="N22" s="25">
        <f>SUM(N6:N21)</f>
        <v>70.060311909032464</v>
      </c>
      <c r="O22" s="25">
        <f>SUM(O6:O21)</f>
        <v>1232.766485098563</v>
      </c>
      <c r="P22" s="24">
        <f t="shared" ref="P22:AJ22" si="1">SUM(P6:P21)</f>
        <v>8.0210333150642771E-2</v>
      </c>
      <c r="Q22" s="24">
        <f t="shared" si="1"/>
        <v>66.119715426995526</v>
      </c>
      <c r="R22" s="24">
        <f t="shared" si="1"/>
        <v>29.201665390301315</v>
      </c>
      <c r="S22" s="24">
        <f t="shared" si="1"/>
        <v>0.25175210682885651</v>
      </c>
      <c r="T22" s="24">
        <f t="shared" si="1"/>
        <v>1.2285621238386649E-3</v>
      </c>
      <c r="U22" s="24">
        <f t="shared" si="1"/>
        <v>515.00132084923064</v>
      </c>
      <c r="V22" s="24">
        <f t="shared" si="1"/>
        <v>0.41675779974059629</v>
      </c>
      <c r="W22" s="24">
        <f t="shared" si="1"/>
        <v>154.88034357397385</v>
      </c>
      <c r="X22" s="24">
        <f t="shared" si="1"/>
        <v>6.0668211553523921E-2</v>
      </c>
      <c r="Y22" s="24">
        <f t="shared" si="1"/>
        <v>0.29596415851812646</v>
      </c>
      <c r="Z22" s="24">
        <f t="shared" si="1"/>
        <v>1.0890178356944067E-2</v>
      </c>
      <c r="AA22" s="24">
        <f t="shared" si="1"/>
        <v>5.8515834662133345E-6</v>
      </c>
      <c r="AB22" s="24">
        <f t="shared" si="1"/>
        <v>7.3879522624154662E-2</v>
      </c>
      <c r="AC22" s="24">
        <f t="shared" si="1"/>
        <v>0.19871738232480807</v>
      </c>
      <c r="AD22" s="24">
        <f t="shared" si="1"/>
        <v>0.28619408459572082</v>
      </c>
      <c r="AE22" s="24">
        <f t="shared" si="1"/>
        <v>5.1221833009557583E-3</v>
      </c>
      <c r="AF22" s="24">
        <f t="shared" si="1"/>
        <v>3.159089255859869E-2</v>
      </c>
      <c r="AG22" s="24">
        <f t="shared" si="1"/>
        <v>7.9133651266870587E-3</v>
      </c>
      <c r="AH22" s="24">
        <f t="shared" si="1"/>
        <v>1.9356588880208512</v>
      </c>
      <c r="AI22" s="24">
        <f t="shared" si="1"/>
        <v>5.9688243532822023</v>
      </c>
      <c r="AJ22" s="24">
        <f t="shared" si="1"/>
        <v>3.5153515473738524</v>
      </c>
    </row>
    <row r="23" spans="1:36">
      <c r="E23" s="42"/>
      <c r="F23" s="42"/>
    </row>
    <row r="24" spans="1:36">
      <c r="E24" s="42"/>
      <c r="F24" s="42"/>
    </row>
    <row r="25" spans="1:36">
      <c r="E25" s="42"/>
      <c r="F25" s="42"/>
    </row>
    <row r="26" spans="1:36">
      <c r="B26" s="6" t="s">
        <v>108</v>
      </c>
      <c r="C26" s="3">
        <f>230*0.6</f>
        <v>138</v>
      </c>
      <c r="D26" s="120">
        <f>10*60</f>
        <v>600</v>
      </c>
      <c r="E26" s="42">
        <f>C26*D26/1000000</f>
        <v>8.2799999999999999E-2</v>
      </c>
      <c r="F26" s="42">
        <f>E26*0.277777778</f>
        <v>2.3000000018399996E-2</v>
      </c>
      <c r="M26" s="6" t="s">
        <v>108</v>
      </c>
      <c r="N26" s="24">
        <f>N6/F7*F26</f>
        <v>1.6328160013062525E-2</v>
      </c>
      <c r="O26" s="24">
        <f>O6/F7*F26</f>
        <v>0.28730686288644547</v>
      </c>
    </row>
    <row r="30" spans="1:36">
      <c r="Q30" s="25">
        <f>SUM(O6:O14)</f>
        <v>1232.766485098563</v>
      </c>
    </row>
  </sheetData>
  <mergeCells count="3">
    <mergeCell ref="B4:E4"/>
    <mergeCell ref="P4:AG4"/>
    <mergeCell ref="AH4:AJ4"/>
  </mergeCells>
  <phoneticPr fontId="11" type="noConversion"/>
  <pageMargins left="0.69930555555555596" right="0.69930555555555596"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X34"/>
  <sheetViews>
    <sheetView tabSelected="1" topLeftCell="B1" workbookViewId="0">
      <pane ySplit="1" topLeftCell="A14" activePane="bottomLeft" state="frozen"/>
      <selection pane="bottomLeft" activeCell="R1" sqref="R1:R1048576"/>
    </sheetView>
  </sheetViews>
  <sheetFormatPr defaultColWidth="9" defaultRowHeight="15"/>
  <cols>
    <col min="1" max="1" width="26.140625" style="20" customWidth="1"/>
    <col min="2" max="3" width="16.5703125" customWidth="1"/>
    <col min="4" max="6" width="9.28515625" customWidth="1"/>
    <col min="7" max="7" width="20.42578125" customWidth="1"/>
    <col min="8" max="8" width="19" customWidth="1"/>
    <col min="9" max="14" width="9.28515625" customWidth="1"/>
    <col min="15" max="15" width="11" customWidth="1"/>
    <col min="16" max="18" width="9.28515625" customWidth="1"/>
    <col min="19" max="19" width="15.28515625" customWidth="1"/>
    <col min="20" max="24" width="9.28515625" customWidth="1"/>
  </cols>
  <sheetData>
    <row r="1" spans="1:24" s="61" customFormat="1">
      <c r="B1" s="61" t="str">
        <f>'material inventory'!J2</f>
        <v>Carbon footprint</v>
      </c>
      <c r="C1" s="61" t="str">
        <f>'material inventory'!K2</f>
        <v>Primary energy consumption</v>
      </c>
      <c r="D1" s="61" t="str">
        <f>'material inventory'!L2</f>
        <v>agricultural land occupation</v>
      </c>
      <c r="E1" s="61" t="str">
        <f>'material inventory'!M2</f>
        <v>climate change</v>
      </c>
      <c r="F1" s="61" t="str">
        <f>'material inventory'!N2</f>
        <v>fossil depletion</v>
      </c>
      <c r="G1" s="61" t="str">
        <f>'material inventory'!O2</f>
        <v>freshwater ecotoxicity</v>
      </c>
      <c r="H1" s="61" t="str">
        <f>'material inventory'!P2</f>
        <v>freshwater eutrophication</v>
      </c>
      <c r="I1" s="61" t="str">
        <f>'material inventory'!Q2</f>
        <v>human toxicity</v>
      </c>
      <c r="J1" s="61" t="str">
        <f>'material inventory'!R2</f>
        <v>ionising radiation</v>
      </c>
      <c r="K1" s="61" t="str">
        <f>'material inventory'!S2</f>
        <v>marine ecotoxicity</v>
      </c>
      <c r="L1" s="61" t="str">
        <f>'material inventory'!T2</f>
        <v>marine eutrophication</v>
      </c>
      <c r="M1" s="61" t="str">
        <f>'material inventory'!U2</f>
        <v>metal depletion</v>
      </c>
      <c r="N1" s="61" t="str">
        <f>'material inventory'!V2</f>
        <v>natural land transformation</v>
      </c>
      <c r="O1" s="61" t="str">
        <f>'material inventory'!W2</f>
        <v>ozone depletion</v>
      </c>
      <c r="P1" s="61" t="str">
        <f>'material inventory'!X2</f>
        <v>particulate matter formation</v>
      </c>
      <c r="Q1" s="61" t="str">
        <f>'material inventory'!Y2</f>
        <v>photochemical oxidant formation</v>
      </c>
      <c r="R1" s="61" t="str">
        <f>'material inventory'!Z2</f>
        <v>terrestrial acidification</v>
      </c>
      <c r="S1" s="61" t="str">
        <f>'material inventory'!AA2</f>
        <v>terrestrial ecotoxicity</v>
      </c>
      <c r="T1" s="61" t="str">
        <f>'material inventory'!AB2</f>
        <v>urban land occupation</v>
      </c>
      <c r="U1" s="61" t="str">
        <f>'material inventory'!AC2</f>
        <v>water depletion</v>
      </c>
      <c r="V1" s="61" t="str">
        <f>'material inventory'!AD2</f>
        <v>ecosystem quality</v>
      </c>
      <c r="W1" s="61" t="str">
        <f>'material inventory'!AE2</f>
        <v>human health</v>
      </c>
      <c r="X1" s="61" t="str">
        <f>'material inventory'!AF2</f>
        <v>resources</v>
      </c>
    </row>
    <row r="2" spans="1:24">
      <c r="A2" s="60" t="str">
        <f>'material inventory'!I3</f>
        <v>FTO glass</v>
      </c>
      <c r="B2">
        <f>'material inventory'!J3</f>
        <v>3.4780676817599994</v>
      </c>
      <c r="C2">
        <f>'material inventory'!K3</f>
        <v>85.029036949120112</v>
      </c>
      <c r="D2">
        <f>'material inventory'!L3</f>
        <v>6.2012667171672007</v>
      </c>
      <c r="E2">
        <f>'material inventory'!M3</f>
        <v>3.5862291309599996</v>
      </c>
      <c r="F2">
        <f>'material inventory'!N3</f>
        <v>0.83657114503199992</v>
      </c>
      <c r="G2">
        <f>'material inventory'!O3</f>
        <v>9.6806916922641872E-2</v>
      </c>
      <c r="H2">
        <f>'material inventory'!P3</f>
        <v>2.0273180159735998E-3</v>
      </c>
      <c r="I2">
        <f>'material inventory'!Q3</f>
        <v>124.88415725309692</v>
      </c>
      <c r="J2">
        <f>'material inventory'!R3</f>
        <v>0.21998732374079996</v>
      </c>
      <c r="K2">
        <f>'material inventory'!S3</f>
        <v>88.426822169151336</v>
      </c>
      <c r="L2">
        <f>'material inventory'!T3</f>
        <v>1.0613301240527999E-2</v>
      </c>
      <c r="M2">
        <f>'material inventory'!U3</f>
        <v>37.727846160631195</v>
      </c>
      <c r="N2">
        <f>'material inventory'!V3</f>
        <v>2.6633363931215996E-3</v>
      </c>
      <c r="O2">
        <f>'material inventory'!W3</f>
        <v>2.2588717898879995E-7</v>
      </c>
      <c r="P2">
        <f>'material inventory'!X3</f>
        <v>3.1256384650847999E-2</v>
      </c>
      <c r="Q2">
        <f>'material inventory'!Y3</f>
        <v>4.8130512783804966E-2</v>
      </c>
      <c r="R2">
        <f>'material inventory'!Z3</f>
        <v>6.2621029628639996E-2</v>
      </c>
      <c r="S2">
        <f>'material inventory'!AA3</f>
        <v>7.4279348593848408E-3</v>
      </c>
      <c r="T2">
        <f>'material inventory'!AB3</f>
        <v>0.14772324234023998</v>
      </c>
      <c r="U2">
        <f>'material inventory'!AC3</f>
        <v>7.7349191552639985E-3</v>
      </c>
      <c r="V2">
        <f>'material inventory'!AD3</f>
        <v>0.50998414695703564</v>
      </c>
      <c r="W2">
        <f>'material inventory'!AE3</f>
        <v>1.0265223189718116</v>
      </c>
      <c r="X2">
        <f>'material inventory'!AF3</f>
        <v>1.8519365587967997</v>
      </c>
    </row>
    <row r="3" spans="1:24">
      <c r="A3" s="60" t="str">
        <f>'material inventory'!I4</f>
        <v>Zinc powder</v>
      </c>
      <c r="B3">
        <f>'material inventory'!J4</f>
        <v>3.6278153E-4</v>
      </c>
      <c r="C3">
        <f>'material inventory'!K4</f>
        <v>4.1800508549599998E-3</v>
      </c>
      <c r="D3">
        <f>'material inventory'!L4</f>
        <v>1.2207273E-5</v>
      </c>
      <c r="E3">
        <f>'material inventory'!M4</f>
        <v>3.3021881999999999E-4</v>
      </c>
      <c r="F3">
        <f>'material inventory'!N4</f>
        <v>8.5189240000000004E-5</v>
      </c>
      <c r="G3">
        <f>'material inventory'!O4</f>
        <v>1.3711703000000001E-5</v>
      </c>
      <c r="H3">
        <f>'material inventory'!P4</f>
        <v>4.0563995999999999E-7</v>
      </c>
      <c r="I3">
        <f>'material inventory'!Q4</f>
        <v>2.8965624999999998E-2</v>
      </c>
      <c r="J3">
        <f>'material inventory'!R4</f>
        <v>1.2262174E-5</v>
      </c>
      <c r="K3">
        <f>'material inventory'!S4</f>
        <v>1.6804697E-2</v>
      </c>
      <c r="L3">
        <f>'material inventory'!T4</f>
        <v>6.1901234E-7</v>
      </c>
      <c r="M3">
        <f>'material inventory'!U4</f>
        <v>1.9441371000000001E-4</v>
      </c>
      <c r="N3">
        <f>'material inventory'!V4</f>
        <v>4.9790216000000001E-8</v>
      </c>
      <c r="O3">
        <f>'material inventory'!W4</f>
        <v>1.4361246000000001E-11</v>
      </c>
      <c r="P3">
        <f>'material inventory'!X4</f>
        <v>1.4094584000000001E-6</v>
      </c>
      <c r="Q3">
        <f>'material inventory'!Y4</f>
        <v>1.7670279E-6</v>
      </c>
      <c r="R3">
        <f>'material inventory'!Z4</f>
        <v>3.7589360000000003E-6</v>
      </c>
      <c r="S3">
        <f>'material inventory'!AA4</f>
        <v>4.9284699E-6</v>
      </c>
      <c r="T3">
        <f>'material inventory'!AB4</f>
        <v>3.9873811999999997E-6</v>
      </c>
      <c r="U3">
        <f>'material inventory'!AC4</f>
        <v>5.1543482999999994E-6</v>
      </c>
      <c r="V3">
        <f>'material inventory'!AD4</f>
        <v>2.2775359E-5</v>
      </c>
      <c r="W3">
        <f>'material inventory'!AE4</f>
        <v>2.1250252E-4</v>
      </c>
      <c r="X3">
        <f>'material inventory'!AF4</f>
        <v>1.9241731000000001E-5</v>
      </c>
    </row>
    <row r="4" spans="1:24">
      <c r="A4" s="60" t="str">
        <f>'material inventory'!I5</f>
        <v>Dilute HCl</v>
      </c>
      <c r="B4">
        <f>'material inventory'!J5</f>
        <v>3.2090210384615382E-4</v>
      </c>
      <c r="C4">
        <f>'material inventory'!K5</f>
        <v>4.6518874375235586E-3</v>
      </c>
      <c r="D4">
        <f>'material inventory'!L5</f>
        <v>1.8796361948717947E-5</v>
      </c>
      <c r="E4">
        <f>'material inventory'!M5</f>
        <v>2.9506177723076916E-4</v>
      </c>
      <c r="F4">
        <f>'material inventory'!N5</f>
        <v>8.9540561994871782E-5</v>
      </c>
      <c r="G4">
        <f>'material inventory'!O5</f>
        <v>4.997664904615384E-6</v>
      </c>
      <c r="H4">
        <f>'material inventory'!P5</f>
        <v>1.7851312259487177E-7</v>
      </c>
      <c r="I4">
        <f>'material inventory'!Q5</f>
        <v>7.5703001697435893E-3</v>
      </c>
      <c r="J4">
        <f>'material inventory'!R5</f>
        <v>3.2680632887179484E-5</v>
      </c>
      <c r="K4">
        <f>'material inventory'!S5</f>
        <v>5.8025826707692307E-3</v>
      </c>
      <c r="L4">
        <f>'material inventory'!T5</f>
        <v>3.2392895338461535E-7</v>
      </c>
      <c r="M4">
        <f>'material inventory'!U5</f>
        <v>2.2215580871794871E-5</v>
      </c>
      <c r="N4">
        <f>'material inventory'!V5</f>
        <v>4.0731678974358973E-8</v>
      </c>
      <c r="O4">
        <f>'material inventory'!W5</f>
        <v>1.3746754811282051E-10</v>
      </c>
      <c r="P4">
        <f>'material inventory'!X5</f>
        <v>1.0496815251282049E-6</v>
      </c>
      <c r="Q4">
        <f>'material inventory'!Y5</f>
        <v>8.8064505738461527E-7</v>
      </c>
      <c r="R4">
        <f>'material inventory'!Z5</f>
        <v>1.6810412334871791E-6</v>
      </c>
      <c r="S4">
        <f>'material inventory'!AA5</f>
        <v>4.0647599820512815E-7</v>
      </c>
      <c r="T4">
        <f>'material inventory'!AB5</f>
        <v>2.9919099789743586E-6</v>
      </c>
      <c r="U4">
        <f>'material inventory'!AC5</f>
        <v>1.1360962110256409E-6</v>
      </c>
      <c r="V4">
        <f>'material inventory'!AD5</f>
        <v>1.4226753358461537E-5</v>
      </c>
      <c r="W4">
        <f>'material inventory'!AE5</f>
        <v>6.4427052953846154E-5</v>
      </c>
      <c r="X4">
        <f>'material inventory'!AF5</f>
        <v>1.1767157844615382E-5</v>
      </c>
    </row>
    <row r="5" spans="1:24">
      <c r="A5" s="60" t="str">
        <f>'material inventory'!I6</f>
        <v>Ethanol</v>
      </c>
      <c r="B5">
        <f>'material inventory'!J6</f>
        <v>7.2135383999999997E-2</v>
      </c>
      <c r="C5">
        <f>'material inventory'!K6</f>
        <v>2.1431605553400002</v>
      </c>
      <c r="D5">
        <f>'material inventory'!L6</f>
        <v>5.7487716000000001E-2</v>
      </c>
      <c r="E5">
        <f>'material inventory'!M6</f>
        <v>6.2811798000000002E-2</v>
      </c>
      <c r="F5">
        <f>'material inventory'!N6</f>
        <v>1.7668427400000002E-2</v>
      </c>
      <c r="G5">
        <f>'material inventory'!O6</f>
        <v>1.7588540399999999E-3</v>
      </c>
      <c r="H5">
        <f>'material inventory'!P6</f>
        <v>2.9260804200000004E-5</v>
      </c>
      <c r="I5">
        <f>'material inventory'!Q6</f>
        <v>0.86164572000000006</v>
      </c>
      <c r="J5">
        <f>'material inventory'!R6</f>
        <v>4.4866600800000005E-3</v>
      </c>
      <c r="K5">
        <f>'material inventory'!S6</f>
        <v>0.69228528</v>
      </c>
      <c r="L5">
        <f>'material inventory'!T6</f>
        <v>3.2167144799999999E-4</v>
      </c>
      <c r="M5">
        <f>'material inventory'!U6</f>
        <v>2.8069714800000004E-3</v>
      </c>
      <c r="N5">
        <f>'material inventory'!V6</f>
        <v>5.4158232E-5</v>
      </c>
      <c r="O5">
        <f>'material inventory'!W6</f>
        <v>4.5857715000000005E-9</v>
      </c>
      <c r="P5">
        <f>'material inventory'!X6</f>
        <v>2.0186671800000004E-4</v>
      </c>
      <c r="Q5">
        <f>'material inventory'!Y6</f>
        <v>2.1187578599999999E-4</v>
      </c>
      <c r="R5">
        <f>'material inventory'!Z6</f>
        <v>6.630621E-4</v>
      </c>
      <c r="S5">
        <f>'material inventory'!AA6</f>
        <v>4.2334956000000004E-4</v>
      </c>
      <c r="T5">
        <f>'material inventory'!AB6</f>
        <v>3.08100966E-3</v>
      </c>
      <c r="U5">
        <f>'material inventory'!AC6</f>
        <v>1.9259982600000003E-2</v>
      </c>
      <c r="V5">
        <f>'material inventory'!AD6</f>
        <v>1.7598333000000001E-2</v>
      </c>
      <c r="W5">
        <f>'material inventory'!AE6</f>
        <v>8.4973997999999995E-3</v>
      </c>
      <c r="X5">
        <f>'material inventory'!AF6</f>
        <v>2.24879328E-3</v>
      </c>
    </row>
    <row r="6" spans="1:24">
      <c r="A6" s="60" t="str">
        <f>'material inventory'!I7</f>
        <v>Deionized water</v>
      </c>
      <c r="B6">
        <f>'material inventory'!J7</f>
        <v>1.13833164E-4</v>
      </c>
      <c r="C6">
        <f>'material inventory'!K7</f>
        <v>1.5662186060912001E-3</v>
      </c>
      <c r="D6">
        <f>'material inventory'!L7</f>
        <v>5.2403623200000004E-6</v>
      </c>
      <c r="E6">
        <f>'material inventory'!M7</f>
        <v>1.0470796000000001E-4</v>
      </c>
      <c r="F6">
        <f>'material inventory'!N7</f>
        <v>3.01183988E-5</v>
      </c>
      <c r="G6">
        <f>'material inventory'!O7</f>
        <v>1.5695742800000001E-6</v>
      </c>
      <c r="H6">
        <f>'material inventory'!P7</f>
        <v>5.5623246000000007E-8</v>
      </c>
      <c r="I6">
        <f>'material inventory'!Q7</f>
        <v>2.08122584E-3</v>
      </c>
      <c r="J6">
        <f>'material inventory'!R7</f>
        <v>1.1359148000000001E-5</v>
      </c>
      <c r="K6">
        <f>'material inventory'!S7</f>
        <v>1.78735116E-3</v>
      </c>
      <c r="L6">
        <f>'material inventory'!T7</f>
        <v>1.1213484400000001E-7</v>
      </c>
      <c r="M6">
        <f>'material inventory'!U7</f>
        <v>7.4830592000000006E-6</v>
      </c>
      <c r="N6">
        <f>'material inventory'!V7</f>
        <v>1.44442116E-8</v>
      </c>
      <c r="O6">
        <f>'material inventory'!W7</f>
        <v>4.7707768400000007E-11</v>
      </c>
      <c r="P6">
        <f>'material inventory'!X7</f>
        <v>3.7251996000000002E-7</v>
      </c>
      <c r="Q6">
        <f>'material inventory'!Y7</f>
        <v>3.2035540800000001E-7</v>
      </c>
      <c r="R6">
        <f>'material inventory'!Z7</f>
        <v>5.7643593600000002E-7</v>
      </c>
      <c r="S6">
        <f>'material inventory'!AA7</f>
        <v>9.3087532000000003E-8</v>
      </c>
      <c r="T6">
        <f>'material inventory'!AB7</f>
        <v>9.9691384000000016E-7</v>
      </c>
      <c r="U6">
        <f>'material inventory'!AC7</f>
        <v>8.5549604000000003E-5</v>
      </c>
      <c r="V6">
        <f>'material inventory'!AD7</f>
        <v>4.9059892400000001E-6</v>
      </c>
      <c r="W6">
        <f>'material inventory'!AE7</f>
        <v>1.8738348400000001E-5</v>
      </c>
      <c r="X6">
        <f>'material inventory'!AF7</f>
        <v>3.9587839200000002E-6</v>
      </c>
    </row>
    <row r="7" spans="1:24">
      <c r="A7" s="60" t="str">
        <f>'material inventory'!I8</f>
        <v>Acetone</v>
      </c>
      <c r="B7">
        <f>'material inventory'!J8</f>
        <v>0.34079009999999993</v>
      </c>
      <c r="C7">
        <f>'material inventory'!K8</f>
        <v>9.9018946488503996</v>
      </c>
      <c r="D7">
        <f>'material inventory'!L8</f>
        <v>5.6080499999999999E-5</v>
      </c>
      <c r="E7">
        <f>'material inventory'!M8</f>
        <v>0.28373939999999997</v>
      </c>
      <c r="F7">
        <f>'material inventory'!N8</f>
        <v>0.2269533</v>
      </c>
      <c r="G7">
        <f>'material inventory'!O8</f>
        <v>2.3971289999999996E-3</v>
      </c>
      <c r="H7">
        <f>'material inventory'!P8</f>
        <v>2.2865850000000001E-5</v>
      </c>
      <c r="I7">
        <f>'material inventory'!Q8</f>
        <v>0.15627569999999999</v>
      </c>
      <c r="J7">
        <f>'material inventory'!R8</f>
        <v>4.5440640000000003E-5</v>
      </c>
      <c r="K7">
        <f>'material inventory'!S8</f>
        <v>0.30793560000000003</v>
      </c>
      <c r="L7">
        <f>'material inventory'!T8</f>
        <v>2.6558490000000001E-4</v>
      </c>
      <c r="M7">
        <f>'material inventory'!U8</f>
        <v>1.8285329999999999E-4</v>
      </c>
      <c r="N7">
        <f>'material inventory'!V8</f>
        <v>-2.7587490000000001E-8</v>
      </c>
      <c r="O7">
        <f>'material inventory'!W8</f>
        <v>1.4048349E-10</v>
      </c>
      <c r="P7">
        <f>'material inventory'!X8</f>
        <v>4.1117369999999994E-4</v>
      </c>
      <c r="Q7">
        <f>'material inventory'!Y8</f>
        <v>1.3320110999999999E-3</v>
      </c>
      <c r="R7">
        <f>'material inventory'!Z8</f>
        <v>1.494696E-3</v>
      </c>
      <c r="S7">
        <f>'material inventory'!AA8</f>
        <v>2.6371799999999997E-5</v>
      </c>
      <c r="T7">
        <f>'material inventory'!AB8</f>
        <v>2.4241769999999997E-5</v>
      </c>
      <c r="U7">
        <f>'material inventory'!AC8</f>
        <v>2.0306579999999998E-5</v>
      </c>
      <c r="V7">
        <f>'material inventory'!AD8</f>
        <v>7.8511229999999998E-3</v>
      </c>
      <c r="W7">
        <f>'material inventory'!AE8</f>
        <v>1.2213201E-2</v>
      </c>
      <c r="X7">
        <f>'material inventory'!AF8</f>
        <v>2.7224399999999999E-2</v>
      </c>
    </row>
    <row r="8" spans="1:24">
      <c r="A8" s="60" t="str">
        <f>'material inventory'!I9</f>
        <v>BL-TiO₂ ink</v>
      </c>
      <c r="B8">
        <f>'material inventory'!J9</f>
        <v>2.655962414144445E-2</v>
      </c>
      <c r="C8">
        <f>'material inventory'!K9</f>
        <v>0.71984448963916647</v>
      </c>
      <c r="D8">
        <f>'material inventory'!L9</f>
        <v>1.5087326723561504E-2</v>
      </c>
      <c r="E8">
        <f>'material inventory'!M9</f>
        <v>2.2978453813409835E-2</v>
      </c>
      <c r="F8">
        <f>'material inventory'!N9</f>
        <v>8.2535757885646363E-3</v>
      </c>
      <c r="G8">
        <f>'material inventory'!O9</f>
        <v>5.3350785249293444E-4</v>
      </c>
      <c r="H8">
        <f>'material inventory'!P9</f>
        <v>9.907081116739448E-6</v>
      </c>
      <c r="I8">
        <f>'material inventory'!Q9</f>
        <v>0.32406080465819326</v>
      </c>
      <c r="J8">
        <f>'material inventory'!R9</f>
        <v>1.6079762024314831E-3</v>
      </c>
      <c r="K8">
        <f>'material inventory'!S9</f>
        <v>0.26690160093359211</v>
      </c>
      <c r="L8">
        <f>'material inventory'!T9</f>
        <v>8.903825927548644E-5</v>
      </c>
      <c r="M8">
        <f>'material inventory'!U9</f>
        <v>1.0087027638630334E-3</v>
      </c>
      <c r="N8">
        <f>'material inventory'!V9</f>
        <v>1.5621727173906578E-5</v>
      </c>
      <c r="O8">
        <f>'material inventory'!W9</f>
        <v>2.0991657374020233E-9</v>
      </c>
      <c r="P8">
        <f>'material inventory'!X9</f>
        <v>6.6873790244614044E-5</v>
      </c>
      <c r="Q8">
        <f>'material inventory'!Y9</f>
        <v>8.4699593401596913E-5</v>
      </c>
      <c r="R8">
        <f>'material inventory'!Z9</f>
        <v>2.0692829073974689E-4</v>
      </c>
      <c r="S8">
        <f>'material inventory'!AA9</f>
        <v>1.131205102678167E-4</v>
      </c>
      <c r="T8">
        <f>'material inventory'!AB9</f>
        <v>8.6384672758405608E-4</v>
      </c>
      <c r="U8">
        <f>'material inventory'!AC9</f>
        <v>4.9955597251091473E-3</v>
      </c>
      <c r="V8">
        <f>'material inventory'!AD9</f>
        <v>4.8094327879705653E-3</v>
      </c>
      <c r="W8">
        <f>'material inventory'!AE9</f>
        <v>3.1540820412704102E-3</v>
      </c>
      <c r="X8">
        <f>'material inventory'!AF9</f>
        <v>1.0470549874488806E-3</v>
      </c>
    </row>
    <row r="9" spans="1:24">
      <c r="A9" s="60" t="str">
        <f>'material inventory'!I10</f>
        <v>La-doped BSO NPs</v>
      </c>
      <c r="B9">
        <f>'material inventory'!J10</f>
        <v>1.4886340397970569E-2</v>
      </c>
      <c r="C9">
        <f>'material inventory'!K10</f>
        <v>0.23984137863979263</v>
      </c>
      <c r="D9">
        <f>'material inventory'!L10</f>
        <v>3.0339759519275753E-3</v>
      </c>
      <c r="E9">
        <f>'material inventory'!M10</f>
        <v>1.3367159318557116E-2</v>
      </c>
      <c r="F9">
        <f>'material inventory'!N10</f>
        <v>4.4107577414760641E-3</v>
      </c>
      <c r="G9">
        <f>'material inventory'!O10</f>
        <v>3.2086280125572842E-4</v>
      </c>
      <c r="H9">
        <f>'material inventory'!P10</f>
        <v>8.1173843526552431E-6</v>
      </c>
      <c r="I9">
        <f>'material inventory'!Q10</f>
        <v>0.36391619426684052</v>
      </c>
      <c r="J9">
        <f>'material inventory'!R10</f>
        <v>1.2454967225994514E-3</v>
      </c>
      <c r="K9">
        <f>'material inventory'!S10</f>
        <v>0.29248095742532831</v>
      </c>
      <c r="L9">
        <f>'material inventory'!T10</f>
        <v>3.0570218374266905E-5</v>
      </c>
      <c r="M9">
        <f>'material inventory'!U10</f>
        <v>0.5652679052686449</v>
      </c>
      <c r="N9">
        <f>'material inventory'!V10</f>
        <v>3.3653806879464561E-5</v>
      </c>
      <c r="O9">
        <f>'material inventory'!W10</f>
        <v>1.4752299848634508E-9</v>
      </c>
      <c r="P9">
        <f>'material inventory'!X10</f>
        <v>1.3949357205079072E-4</v>
      </c>
      <c r="Q9">
        <f>'material inventory'!Y10</f>
        <v>9.6578424469363178E-5</v>
      </c>
      <c r="R9">
        <f>'material inventory'!Z10</f>
        <v>2.1387406562902985E-4</v>
      </c>
      <c r="S9">
        <f>'material inventory'!AA10</f>
        <v>1.1858395598215414E-5</v>
      </c>
      <c r="T9">
        <f>'material inventory'!AB10</f>
        <v>5.9042221600402766E-4</v>
      </c>
      <c r="U9">
        <f>'material inventory'!AC10</f>
        <v>1.5587593302957269E-4</v>
      </c>
      <c r="V9">
        <f>'material inventory'!AD10</f>
        <v>3.1823311992706361E-3</v>
      </c>
      <c r="W9">
        <f>'material inventory'!AE10</f>
        <v>3.292751722666134E-3</v>
      </c>
      <c r="X9">
        <f>'material inventory'!AF10</f>
        <v>2.6773228322618275E-2</v>
      </c>
    </row>
    <row r="10" spans="1:24">
      <c r="A10" s="60" t="str">
        <f>'material inventory'!I11</f>
        <v>PbI₂</v>
      </c>
      <c r="B10">
        <f>'material inventory'!J11</f>
        <v>5.2781509508930801E-3</v>
      </c>
      <c r="C10">
        <f>'material inventory'!K11</f>
        <v>6.2763408474757407E-2</v>
      </c>
      <c r="D10">
        <f>'material inventory'!L11</f>
        <v>1.2106335109794645E-3</v>
      </c>
      <c r="E10">
        <f>'material inventory'!M11</f>
        <v>4.5077126461260083E-3</v>
      </c>
      <c r="F10">
        <f>'material inventory'!N11</f>
        <v>1.1964688239053702E-3</v>
      </c>
      <c r="G10">
        <f>'material inventory'!O11</f>
        <v>8.2411582884732838E-5</v>
      </c>
      <c r="H10">
        <f>'material inventory'!P11</f>
        <v>2.2879926747205936E-6</v>
      </c>
      <c r="I10">
        <f>'material inventory'!Q11</f>
        <v>0.18032843421363032</v>
      </c>
      <c r="J10">
        <f>'material inventory'!R11</f>
        <v>2.215749148077011E-4</v>
      </c>
      <c r="K10">
        <f>'material inventory'!S11</f>
        <v>9.0436178450540652E-2</v>
      </c>
      <c r="L10">
        <f>'material inventory'!T11</f>
        <v>5.9654708589068714E-6</v>
      </c>
      <c r="M10">
        <f>'material inventory'!U11</f>
        <v>7.311010493393121E-4</v>
      </c>
      <c r="N10">
        <f>'material inventory'!V11</f>
        <v>7.6684383368077222E-7</v>
      </c>
      <c r="O10">
        <f>'material inventory'!W11</f>
        <v>5.1606939490045714E-10</v>
      </c>
      <c r="P10">
        <f>'material inventory'!X11</f>
        <v>1.2775400933451851E-5</v>
      </c>
      <c r="Q10">
        <f>'material inventory'!Y11</f>
        <v>1.798193703421002E-5</v>
      </c>
      <c r="R10">
        <f>'material inventory'!Z11</f>
        <v>3.6142098918870911E-5</v>
      </c>
      <c r="S10">
        <f>'material inventory'!AA11</f>
        <v>6.2177286961417735E-6</v>
      </c>
      <c r="T10">
        <f>'material inventory'!AB11</f>
        <v>4.6493413868285282E-5</v>
      </c>
      <c r="U10">
        <f>'material inventory'!AC11</f>
        <v>1.3576347175451414E-5</v>
      </c>
      <c r="V10">
        <f>'material inventory'!AD11</f>
        <v>2.2109326838835278E-4</v>
      </c>
      <c r="W10">
        <f>'material inventory'!AE11</f>
        <v>1.4114758621976476E-3</v>
      </c>
      <c r="X10">
        <f>'material inventory'!AF11</f>
        <v>1.7740297149692987E-4</v>
      </c>
    </row>
    <row r="11" spans="1:24">
      <c r="A11" s="60" t="str">
        <f>'material inventory'!I12</f>
        <v>Dimethylformamide</v>
      </c>
      <c r="B11">
        <f>'material inventory'!J12</f>
        <v>6.7902299613866682E-3</v>
      </c>
      <c r="C11">
        <f>'material inventory'!K12</f>
        <v>0.1846893663970838</v>
      </c>
      <c r="D11">
        <f>'material inventory'!L12</f>
        <v>2.7636036593159423E-4</v>
      </c>
      <c r="E11">
        <f>'material inventory'!M12</f>
        <v>6.1461406242133343E-3</v>
      </c>
      <c r="F11">
        <f>'material inventory'!N12</f>
        <v>4.132946133704349E-3</v>
      </c>
      <c r="G11">
        <f>'material inventory'!O12</f>
        <v>8.6482164833947845E-5</v>
      </c>
      <c r="H11">
        <f>'material inventory'!P12</f>
        <v>2.3329846090944932E-6</v>
      </c>
      <c r="I11">
        <f>'material inventory'!Q12</f>
        <v>0.14087615012507829</v>
      </c>
      <c r="J11">
        <f>'material inventory'!R12</f>
        <v>6.0830132241808702E-4</v>
      </c>
      <c r="K11">
        <f>'material inventory'!S12</f>
        <v>9.1518117573379729E-2</v>
      </c>
      <c r="L11">
        <f>'material inventory'!T12</f>
        <v>2.9658011962620293E-5</v>
      </c>
      <c r="M11">
        <f>'material inventory'!U12</f>
        <v>3.9575658757194209E-4</v>
      </c>
      <c r="N11">
        <f>'material inventory'!V12</f>
        <v>2.5951057118608701E-6</v>
      </c>
      <c r="O11">
        <f>'material inventory'!W12</f>
        <v>1.2351374190562322E-9</v>
      </c>
      <c r="P11">
        <f>'material inventory'!X12</f>
        <v>1.7129596266703772E-5</v>
      </c>
      <c r="Q11">
        <f>'material inventory'!Y12</f>
        <v>2.0778170131737975E-5</v>
      </c>
      <c r="R11">
        <f>'material inventory'!Z12</f>
        <v>4.3643341601391314E-5</v>
      </c>
      <c r="S11">
        <f>'material inventory'!AA12</f>
        <v>4.3643341601391314E-5</v>
      </c>
      <c r="T11">
        <f>'material inventory'!AB12</f>
        <v>5.2450325869078271E-5</v>
      </c>
      <c r="U11">
        <f>'material inventory'!AC12</f>
        <v>1.8357495393651018E-5</v>
      </c>
      <c r="V11">
        <f>'material inventory'!AD12</f>
        <v>2.7346504908800002E-4</v>
      </c>
      <c r="W11">
        <f>'material inventory'!AE12</f>
        <v>1.214490487466667E-3</v>
      </c>
      <c r="X11">
        <f>'material inventory'!AF12</f>
        <v>5.138950076326958E-4</v>
      </c>
    </row>
    <row r="12" spans="1:24">
      <c r="A12" s="60" t="str">
        <f>'material inventory'!I13</f>
        <v>CH₃NH₃I</v>
      </c>
      <c r="B12">
        <f>'material inventory'!J13</f>
        <v>6.4442149153297573E-2</v>
      </c>
      <c r="C12">
        <f>'material inventory'!K13</f>
        <v>1.3688443144771683</v>
      </c>
      <c r="D12">
        <f>'material inventory'!L13</f>
        <v>6.4370896490620871E-3</v>
      </c>
      <c r="E12">
        <f>'material inventory'!M13</f>
        <v>5.8972107459167561E-2</v>
      </c>
      <c r="F12">
        <f>'material inventory'!N13</f>
        <v>2.7197501932536679E-2</v>
      </c>
      <c r="G12">
        <f>'material inventory'!O13</f>
        <v>2.2230101973150155E-3</v>
      </c>
      <c r="H12">
        <f>'material inventory'!P13</f>
        <v>5.2332392075582598E-5</v>
      </c>
      <c r="I12">
        <f>'material inventory'!Q13</f>
        <v>2.6080050960772811</v>
      </c>
      <c r="J12">
        <f>'material inventory'!R13</f>
        <v>6.3046787897588566E-3</v>
      </c>
      <c r="K12">
        <f>'material inventory'!S13</f>
        <v>1.9838558224704119</v>
      </c>
      <c r="L12">
        <f>'material inventory'!T13</f>
        <v>8.3770089149672039E-5</v>
      </c>
      <c r="M12">
        <f>'material inventory'!U13</f>
        <v>4.71104950005009E-3</v>
      </c>
      <c r="N12">
        <f>'material inventory'!V13</f>
        <v>1.2438661225521767E-5</v>
      </c>
      <c r="O12">
        <f>'material inventory'!W13</f>
        <v>2.1321998623698516E-8</v>
      </c>
      <c r="P12">
        <f>'material inventory'!X13</f>
        <v>1.9246950781214077E-4</v>
      </c>
      <c r="Q12">
        <f>'material inventory'!Y13</f>
        <v>2.5917274906428147E-4</v>
      </c>
      <c r="R12">
        <f>'material inventory'!Z13</f>
        <v>4.8842986205958265E-4</v>
      </c>
      <c r="S12">
        <f>'material inventory'!AA13</f>
        <v>9.2666426109519411E-5</v>
      </c>
      <c r="T12">
        <f>'material inventory'!AB13</f>
        <v>8.9026676118611828E-4</v>
      </c>
      <c r="U12">
        <f>'material inventory'!AC13</f>
        <v>1.1563402092158476E-3</v>
      </c>
      <c r="V12">
        <f>'material inventory'!AD13</f>
        <v>3.6929946908737035E-3</v>
      </c>
      <c r="W12">
        <f>'material inventory'!AE13</f>
        <v>2.0353102715649378E-2</v>
      </c>
      <c r="X12">
        <f>'material inventory'!AF13</f>
        <v>3.4798613757080505E-3</v>
      </c>
    </row>
    <row r="13" spans="1:24">
      <c r="A13" s="60" t="str">
        <f>'material inventory'!I14</f>
        <v>Isopropanol</v>
      </c>
      <c r="B13">
        <f>'material inventory'!J14</f>
        <v>5.7089582270140764E-2</v>
      </c>
      <c r="C13">
        <f>'material inventory'!K14</f>
        <v>1.8870770104736083</v>
      </c>
      <c r="D13">
        <f>'material inventory'!L14</f>
        <v>1.1480755323949286E-3</v>
      </c>
      <c r="E13">
        <f>'material inventory'!M14</f>
        <v>4.9739622907723532E-2</v>
      </c>
      <c r="F13">
        <f>'material inventory'!N14</f>
        <v>4.3189999401018267E-2</v>
      </c>
      <c r="G13">
        <f>'material inventory'!O14</f>
        <v>2.8999669521812915E-4</v>
      </c>
      <c r="H13">
        <f>'material inventory'!P14</f>
        <v>8.215009875212139E-6</v>
      </c>
      <c r="I13">
        <f>'material inventory'!Q14</f>
        <v>0.47795056883298392</v>
      </c>
      <c r="J13">
        <f>'material inventory'!R14</f>
        <v>1.1527962634188544E-3</v>
      </c>
      <c r="K13">
        <f>'material inventory'!S14</f>
        <v>0.3558680877175468</v>
      </c>
      <c r="L13">
        <f>'material inventory'!T14</f>
        <v>3.4970925320288842E-5</v>
      </c>
      <c r="M13">
        <f>'material inventory'!U14</f>
        <v>2.0193786690625936E-3</v>
      </c>
      <c r="N13">
        <f>'material inventory'!V14</f>
        <v>4.5984922272137369E-6</v>
      </c>
      <c r="O13">
        <f>'material inventory'!W14</f>
        <v>2.0233490852217895E-9</v>
      </c>
      <c r="P13">
        <f>'material inventory'!X14</f>
        <v>7.5347243978569764E-5</v>
      </c>
      <c r="Q13">
        <f>'material inventory'!Y14</f>
        <v>2.4587818117200756E-4</v>
      </c>
      <c r="R13">
        <f>'material inventory'!Z14</f>
        <v>2.114199710092842E-4</v>
      </c>
      <c r="S13">
        <f>'material inventory'!AA14</f>
        <v>1.6384062964959568E-5</v>
      </c>
      <c r="T13">
        <f>'material inventory'!AB14</f>
        <v>1.6280269408671926E-4</v>
      </c>
      <c r="U13">
        <f>'material inventory'!AC14</f>
        <v>1.3213044767894578E-4</v>
      </c>
      <c r="V13">
        <f>'material inventory'!AD14</f>
        <v>1.7153135701307777E-3</v>
      </c>
      <c r="W13">
        <f>'material inventory'!AE14</f>
        <v>5.1790483537985429E-3</v>
      </c>
      <c r="X13">
        <f>'material inventory'!AF14</f>
        <v>5.2725250806961495E-3</v>
      </c>
    </row>
    <row r="14" spans="1:24">
      <c r="A14" s="60" t="str">
        <f>'material inventory'!I15</f>
        <v>Toluene</v>
      </c>
      <c r="B14">
        <f>'material inventory'!J15</f>
        <v>1.3551209999999999E-3</v>
      </c>
      <c r="C14">
        <f>'material inventory'!K15</f>
        <v>5.4955341728023827E-2</v>
      </c>
      <c r="D14">
        <f>'material inventory'!L15</f>
        <v>1.3573752E-7</v>
      </c>
      <c r="E14">
        <f>'material inventory'!M15</f>
        <v>1.1111471999999999E-3</v>
      </c>
      <c r="F14">
        <f>'material inventory'!N15</f>
        <v>1.2774378E-3</v>
      </c>
      <c r="G14">
        <f>'material inventory'!O15</f>
        <v>7.6738169999999995E-7</v>
      </c>
      <c r="H14">
        <f>'material inventory'!P15</f>
        <v>8.9500409999999989E-9</v>
      </c>
      <c r="I14">
        <f>'material inventory'!Q15</f>
        <v>4.4592410999999993E-4</v>
      </c>
      <c r="J14">
        <f>'material inventory'!R15</f>
        <v>1.1454803999999999E-7</v>
      </c>
      <c r="K14">
        <f>'material inventory'!S15</f>
        <v>1.1459139E-3</v>
      </c>
      <c r="L14">
        <f>'material inventory'!T15</f>
        <v>7.0486232999999996E-7</v>
      </c>
      <c r="M14">
        <f>'material inventory'!U15</f>
        <v>6.4451045999999997E-7</v>
      </c>
      <c r="N14">
        <f>'material inventory'!V15</f>
        <v>-1.3157592E-10</v>
      </c>
      <c r="O14">
        <f>'material inventory'!W15</f>
        <v>3.6024716999999995E-13</v>
      </c>
      <c r="P14">
        <f>'material inventory'!X15</f>
        <v>1.0251407999999999E-6</v>
      </c>
      <c r="Q14">
        <f>'material inventory'!Y15</f>
        <v>3.7846283999999994E-6</v>
      </c>
      <c r="R14">
        <f>'material inventory'!Z15</f>
        <v>3.2528972999999998E-6</v>
      </c>
      <c r="S14">
        <f>'material inventory'!AA15</f>
        <v>1.9635815999999996E-7</v>
      </c>
      <c r="T14">
        <f>'material inventory'!AB15</f>
        <v>6.6745994999999989E-8</v>
      </c>
      <c r="U14">
        <f>'material inventory'!AC15</f>
        <v>1.8624027000000001E-7</v>
      </c>
      <c r="V14">
        <f>'material inventory'!AD15</f>
        <v>3.0666656999999998E-5</v>
      </c>
      <c r="W14">
        <f>'material inventory'!AE15</f>
        <v>4.4451089999999998E-5</v>
      </c>
      <c r="X14">
        <f>'material inventory'!AF15</f>
        <v>1.5321623999999998E-4</v>
      </c>
    </row>
    <row r="15" spans="1:24">
      <c r="A15" s="60" t="str">
        <f>'material inventory'!I16</f>
        <v>PTAA solution</v>
      </c>
      <c r="B15">
        <f>'material inventory'!J16</f>
        <v>0.194226136277663</v>
      </c>
      <c r="C15">
        <f>'material inventory'!K16</f>
        <v>3.2878661442403283</v>
      </c>
      <c r="D15">
        <f>'material inventory'!L16</f>
        <v>1.0481475625709552E-2</v>
      </c>
      <c r="E15">
        <f>'material inventory'!M16</f>
        <v>0.17395021294165905</v>
      </c>
      <c r="F15">
        <f>'material inventory'!N16</f>
        <v>7.1535587853100824E-2</v>
      </c>
      <c r="G15">
        <f>'material inventory'!O16</f>
        <v>4.9485822638220944E-3</v>
      </c>
      <c r="H15">
        <f>'material inventory'!P16</f>
        <v>1.0211204210343115E-4</v>
      </c>
      <c r="I15">
        <f>'material inventory'!Q16</f>
        <v>5.2188762835723228</v>
      </c>
      <c r="J15">
        <f>'material inventory'!R16</f>
        <v>9.433599721817898E-3</v>
      </c>
      <c r="K15">
        <f>'material inventory'!S16</f>
        <v>3.9362015552436818</v>
      </c>
      <c r="L15">
        <f>'material inventory'!T16</f>
        <v>2.071232000780253E-4</v>
      </c>
      <c r="M15">
        <f>'material inventory'!U16</f>
        <v>1.2097229641745273E-2</v>
      </c>
      <c r="N15">
        <f>'material inventory'!V16</f>
        <v>2.7298950104205477E-5</v>
      </c>
      <c r="O15">
        <f>'material inventory'!W16</f>
        <v>2.9587308119673263E-8</v>
      </c>
      <c r="P15">
        <f>'material inventory'!X16</f>
        <v>5.271713214713619E-4</v>
      </c>
      <c r="Q15">
        <f>'material inventory'!Y16</f>
        <v>6.2193745752386095E-4</v>
      </c>
      <c r="R15">
        <f>'material inventory'!Z16</f>
        <v>1.7197764273420425E-3</v>
      </c>
      <c r="S15">
        <f>'material inventory'!AA16</f>
        <v>5.1235257566999116E-4</v>
      </c>
      <c r="T15">
        <f>'material inventory'!AB16</f>
        <v>1.2156135063403916E-3</v>
      </c>
      <c r="U15">
        <f>'material inventory'!AC16</f>
        <v>3.9165855065028809E-4</v>
      </c>
      <c r="V15">
        <f>'material inventory'!AD16</f>
        <v>7.3771372811601427E-3</v>
      </c>
      <c r="W15">
        <f>'material inventory'!AE16</f>
        <v>4.2955594818262124E-2</v>
      </c>
      <c r="X15">
        <f>'material inventory'!AF16</f>
        <v>9.1050545168319414E-3</v>
      </c>
    </row>
    <row r="16" spans="1:24">
      <c r="A16" s="60" t="str">
        <f>'material inventory'!I17</f>
        <v>Cu</v>
      </c>
      <c r="B16">
        <f>'material inventory'!J17</f>
        <v>7.2295014400000001E-3</v>
      </c>
      <c r="C16">
        <f>'material inventory'!K17</f>
        <v>0.103960138283008</v>
      </c>
      <c r="D16">
        <f>'material inventory'!L17</f>
        <v>5.2869734399999999E-4</v>
      </c>
      <c r="E16">
        <f>'material inventory'!M17</f>
        <v>6.5984307199999995E-3</v>
      </c>
      <c r="F16">
        <f>'material inventory'!N17</f>
        <v>1.9158630399999999E-3</v>
      </c>
      <c r="G16">
        <f>'material inventory'!O17</f>
        <v>7.1140966399999995E-3</v>
      </c>
      <c r="H16">
        <f>'material inventory'!P17</f>
        <v>2.0959231999999998E-4</v>
      </c>
      <c r="I16">
        <f>'material inventory'!Q17</f>
        <v>17.904230399999999</v>
      </c>
      <c r="J16">
        <f>'material inventory'!R17</f>
        <v>6.6877440000000005E-4</v>
      </c>
      <c r="K16">
        <f>'material inventory'!S17</f>
        <v>9.36155136</v>
      </c>
      <c r="L16">
        <f>'material inventory'!T17</f>
        <v>4.3071078400000001E-5</v>
      </c>
      <c r="M16">
        <f>'material inventory'!U17</f>
        <v>6.8633600000000003E-2</v>
      </c>
      <c r="N16">
        <f>'material inventory'!V17</f>
        <v>2.8534374399999995E-6</v>
      </c>
      <c r="O16">
        <f>'material inventory'!W17</f>
        <v>4.3019468800000001E-10</v>
      </c>
      <c r="P16">
        <f>'material inventory'!X17</f>
        <v>2.0845977599999999E-4</v>
      </c>
      <c r="Q16">
        <f>'material inventory'!Y17</f>
        <v>1.3396848639999999E-4</v>
      </c>
      <c r="R16">
        <f>'material inventory'!Z17</f>
        <v>6.9865062399999999E-4</v>
      </c>
      <c r="S16">
        <f>'material inventory'!AA17</f>
        <v>8.8196505599999996E-4</v>
      </c>
      <c r="T16">
        <f>'material inventory'!AB17</f>
        <v>6.2549401599999992E-4</v>
      </c>
      <c r="U16">
        <f>'material inventory'!AC17</f>
        <v>2.3164108799999999E-4</v>
      </c>
      <c r="V16">
        <f>'material inventory'!AD17</f>
        <v>3.3034444799999998E-3</v>
      </c>
      <c r="W16">
        <f>'material inventory'!AE17</f>
        <v>0.12301148159999999</v>
      </c>
      <c r="X16">
        <f>'material inventory'!AF17</f>
        <v>3.4155519999999997E-3</v>
      </c>
    </row>
    <row r="17" spans="1:24">
      <c r="A17" s="60" t="str">
        <f>'material inventory'!I18</f>
        <v>Ar</v>
      </c>
      <c r="B17">
        <f>'material inventory'!J18</f>
        <v>0.29058656969696967</v>
      </c>
      <c r="C17">
        <f>'material inventory'!K18</f>
        <v>4.3659558183030303</v>
      </c>
      <c r="D17">
        <f>'material inventory'!L18</f>
        <v>1.5204004848484845E-2</v>
      </c>
      <c r="E17">
        <f>'material inventory'!M18</f>
        <v>0.26877852121212115</v>
      </c>
      <c r="F17">
        <f>'material inventory'!N18</f>
        <v>7.7184489696969685E-2</v>
      </c>
      <c r="G17">
        <f>'material inventory'!O18</f>
        <v>3.8203549090909082E-3</v>
      </c>
      <c r="H17">
        <f>'material inventory'!P18</f>
        <v>1.5748935757575755E-4</v>
      </c>
      <c r="I17">
        <f>'material inventory'!Q18</f>
        <v>5.0588833939393929</v>
      </c>
      <c r="J17">
        <f>'material inventory'!R18</f>
        <v>4.4774075151515144E-2</v>
      </c>
      <c r="K17">
        <f>'material inventory'!S18</f>
        <v>4.3602041212121208</v>
      </c>
      <c r="L17">
        <f>'material inventory'!T18</f>
        <v>2.6226962424242417E-4</v>
      </c>
      <c r="M17">
        <f>'material inventory'!U18</f>
        <v>3.5047490909090903E-3</v>
      </c>
      <c r="N17">
        <f>'material inventory'!V18</f>
        <v>3.1948736969696965E-5</v>
      </c>
      <c r="O17">
        <f>'material inventory'!W18</f>
        <v>1.6083030303030301E-8</v>
      </c>
      <c r="P17">
        <f>'material inventory'!X18</f>
        <v>9.0081187878787868E-4</v>
      </c>
      <c r="Q17">
        <f>'material inventory'!Y18</f>
        <v>7.1664901818181801E-4</v>
      </c>
      <c r="R17">
        <f>'material inventory'!Z18</f>
        <v>1.4193071515151512E-3</v>
      </c>
      <c r="S17">
        <f>'material inventory'!AA18</f>
        <v>9.7240974545454532E-5</v>
      </c>
      <c r="T17">
        <f>'material inventory'!AB18</f>
        <v>1.7287500606060604E-3</v>
      </c>
      <c r="U17">
        <f>'material inventory'!AC18</f>
        <v>1.1379757575757574E-3</v>
      </c>
      <c r="V17">
        <f>'material inventory'!AD18</f>
        <v>1.1503015757575756E-2</v>
      </c>
      <c r="W17">
        <f>'material inventory'!AE18</f>
        <v>4.5996926060606055E-2</v>
      </c>
      <c r="X17">
        <f>'material inventory'!AF18</f>
        <v>9.4180063030303018E-3</v>
      </c>
    </row>
    <row r="18" spans="1:24">
      <c r="A18" s="60" t="str">
        <f>'material inventory'!I19</f>
        <v>O₂</v>
      </c>
      <c r="B18">
        <f>'material inventory'!J19</f>
        <v>1.2806957575757575E-4</v>
      </c>
      <c r="C18">
        <f>'material inventory'!K19</f>
        <v>1.7448388645818179E-3</v>
      </c>
      <c r="D18">
        <f>'material inventory'!L19</f>
        <v>5.0365023030303021E-6</v>
      </c>
      <c r="E18">
        <f>'material inventory'!M19</f>
        <v>1.1821973333333331E-4</v>
      </c>
      <c r="F18">
        <f>'material inventory'!N19</f>
        <v>3.3462433939393932E-5</v>
      </c>
      <c r="G18">
        <f>'material inventory'!O19</f>
        <v>1.5462414545454542E-6</v>
      </c>
      <c r="H18">
        <f>'material inventory'!P19</f>
        <v>6.2809774545454535E-8</v>
      </c>
      <c r="I18">
        <f>'material inventory'!Q19</f>
        <v>2.0907398787878783E-3</v>
      </c>
      <c r="J18">
        <f>'material inventory'!R19</f>
        <v>1.3000494545454543E-5</v>
      </c>
      <c r="K18">
        <f>'material inventory'!S19</f>
        <v>1.7876761212121208E-3</v>
      </c>
      <c r="L18">
        <f>'material inventory'!T19</f>
        <v>1.1685740606060604E-7</v>
      </c>
      <c r="M18">
        <f>'material inventory'!U19</f>
        <v>1.3077260606060604E-6</v>
      </c>
      <c r="N18">
        <f>'material inventory'!V19</f>
        <v>1.3889250909090907E-8</v>
      </c>
      <c r="O18">
        <f>'material inventory'!W19</f>
        <v>5.8068659393939386E-12</v>
      </c>
      <c r="P18">
        <f>'material inventory'!X19</f>
        <v>4.3156581818181813E-7</v>
      </c>
      <c r="Q18">
        <f>'material inventory'!Y19</f>
        <v>3.2327161212121209E-7</v>
      </c>
      <c r="R18">
        <f>'material inventory'!Z19</f>
        <v>6.3258477575757571E-7</v>
      </c>
      <c r="S18">
        <f>'material inventory'!AA19</f>
        <v>4.0537886060606053E-8</v>
      </c>
      <c r="T18">
        <f>'material inventory'!AB19</f>
        <v>7.6982303030303019E-7</v>
      </c>
      <c r="U18">
        <f>'material inventory'!AC19</f>
        <v>4.6972179393939389E-7</v>
      </c>
      <c r="V18">
        <f>'material inventory'!AD19</f>
        <v>4.8958366060606059E-6</v>
      </c>
      <c r="W18">
        <f>'material inventory'!AE19</f>
        <v>1.9418569696969696E-5</v>
      </c>
      <c r="X18">
        <f>'material inventory'!AF19</f>
        <v>4.0733585454545447E-6</v>
      </c>
    </row>
    <row r="19" spans="1:24">
      <c r="A19" s="81" t="str">
        <f>'energy consumption'!M6</f>
        <v>Sonication</v>
      </c>
      <c r="B19">
        <f>'energy consumption'!N6</f>
        <v>2.8396800022717437</v>
      </c>
      <c r="C19">
        <f>'energy consumption'!O6</f>
        <v>49.96641093677313</v>
      </c>
      <c r="D19">
        <f>'energy consumption'!P6</f>
        <v>3.2510800026008635E-3</v>
      </c>
      <c r="E19">
        <f>'energy consumption'!Q6</f>
        <v>2.6799600021439676</v>
      </c>
      <c r="F19">
        <f>'energy consumption'!R6</f>
        <v>1.1836000009468799</v>
      </c>
      <c r="G19">
        <f>'energy consumption'!S6</f>
        <v>1.0204000008163197E-2</v>
      </c>
      <c r="H19">
        <f>'energy consumption'!T6</f>
        <v>4.9796000039836795E-5</v>
      </c>
      <c r="I19">
        <f>'energy consumption'!U6</f>
        <v>20.874000016699195</v>
      </c>
      <c r="J19">
        <f>'energy consumption'!V6</f>
        <v>1.6892000013513597E-2</v>
      </c>
      <c r="K19">
        <f>'energy consumption'!W6</f>
        <v>6.2776000050220784</v>
      </c>
      <c r="L19">
        <f>'energy consumption'!X6</f>
        <v>2.4590000019671992E-3</v>
      </c>
      <c r="M19">
        <f>'energy consumption'!Y6</f>
        <v>1.1996000009596797E-2</v>
      </c>
      <c r="N19">
        <f>'energy consumption'!Z6</f>
        <v>4.4140000035311993E-4</v>
      </c>
      <c r="O19">
        <f>'energy consumption'!AA6</f>
        <v>2.3717600018974076E-7</v>
      </c>
      <c r="P19">
        <f>'energy consumption'!AB6</f>
        <v>2.9944800023955836E-3</v>
      </c>
      <c r="Q19">
        <f>'energy consumption'!AC6</f>
        <v>8.0544000064435191E-3</v>
      </c>
      <c r="R19">
        <f>'energy consumption'!AD6</f>
        <v>1.1600000009279998E-2</v>
      </c>
      <c r="S19">
        <f>'energy consumption'!AE6</f>
        <v>2.0761200016608956E-4</v>
      </c>
      <c r="T19">
        <f>'energy consumption'!AF6</f>
        <v>1.2804400010243519E-3</v>
      </c>
      <c r="U19">
        <f>'energy consumption'!AG6</f>
        <v>3.2074400025659512E-4</v>
      </c>
      <c r="V19">
        <f>'energy consumption'!AH6</f>
        <v>7.8456000062764791E-2</v>
      </c>
      <c r="W19">
        <f>'energy consumption'!AI6</f>
        <v>0.24192800019354235</v>
      </c>
      <c r="X19">
        <f>'energy consumption'!AJ6</f>
        <v>0.14248400011398718</v>
      </c>
    </row>
    <row r="20" spans="1:24">
      <c r="A20" s="81" t="str">
        <f>'energy consumption'!M7</f>
        <v>Spray pyrolysis</v>
      </c>
      <c r="B20">
        <f>'energy consumption'!N7</f>
        <v>4.7504002709876597E-4</v>
      </c>
      <c r="C20">
        <f>'energy consumption'!O7</f>
        <v>8.3587042154200306E-3</v>
      </c>
      <c r="D20">
        <f>'energy consumption'!P7</f>
        <v>5.4386167853429123E-7</v>
      </c>
      <c r="E20">
        <f>'energy consumption'!Q7</f>
        <v>4.4832103301203262E-4</v>
      </c>
      <c r="F20">
        <f>'energy consumption'!R7</f>
        <v>1.9800025921022771E-4</v>
      </c>
      <c r="G20">
        <f>'energy consumption'!S7</f>
        <v>1.7069910822754E-6</v>
      </c>
      <c r="H20">
        <f>'energy consumption'!T7</f>
        <v>8.3301967790068433E-9</v>
      </c>
      <c r="I20">
        <f>'energy consumption'!U7</f>
        <v>3.4919376569400922E-3</v>
      </c>
      <c r="J20">
        <f>'energy consumption'!V7</f>
        <v>2.825802955879661E-6</v>
      </c>
      <c r="K20">
        <f>'energy consumption'!W7</f>
        <v>1.05015750863309E-3</v>
      </c>
      <c r="L20">
        <f>'energy consumption'!X7</f>
        <v>4.113574158482172E-7</v>
      </c>
      <c r="M20">
        <f>'energy consumption'!Y7</f>
        <v>2.0067684263990296E-6</v>
      </c>
      <c r="N20">
        <f>'energy consumption'!Z7</f>
        <v>7.3840245366166368E-8</v>
      </c>
      <c r="O20">
        <f>'energy consumption'!AA7</f>
        <v>3.9676334469791286E-11</v>
      </c>
      <c r="P20">
        <f>'energy consumption'!AB7</f>
        <v>5.0093597178087415E-7</v>
      </c>
      <c r="Q20">
        <f>'energy consumption'!AC7</f>
        <v>1.3473920984985282E-6</v>
      </c>
      <c r="R20">
        <f>'energy consumption'!AD7</f>
        <v>1.9405229865145666E-6</v>
      </c>
      <c r="S20">
        <f>'energy consumption'!AE7</f>
        <v>3.4730677437608814E-8</v>
      </c>
      <c r="T20">
        <f>'energy consumption'!AF7</f>
        <v>2.1420028041833727E-7</v>
      </c>
      <c r="U20">
        <f>'energy consumption'!AG7</f>
        <v>5.3656129722985189E-8</v>
      </c>
      <c r="V20">
        <f>'energy consumption'!AH7</f>
        <v>1.3124626847412661E-5</v>
      </c>
      <c r="W20">
        <f>'energy consumption'!AI7</f>
        <v>4.047127974840484E-5</v>
      </c>
      <c r="X20">
        <f>'energy consumption'!AJ7</f>
        <v>2.3835644587115652E-5</v>
      </c>
    </row>
    <row r="21" spans="1:24">
      <c r="A21" s="81" t="str">
        <f>'energy consumption'!M8</f>
        <v>ETL spin coating</v>
      </c>
      <c r="B21">
        <f>'energy consumption'!N8</f>
        <v>2.2835594108730621</v>
      </c>
      <c r="C21">
        <f>'energy consumption'!O8</f>
        <v>40.181030197394769</v>
      </c>
      <c r="D21">
        <f>'energy consumption'!P8</f>
        <v>2.6143911741820188E-3</v>
      </c>
      <c r="E21">
        <f>'energy consumption'!Q8</f>
        <v>2.1551188439413496</v>
      </c>
      <c r="F21">
        <f>'energy consumption'!R8</f>
        <v>0.95180475219368255</v>
      </c>
      <c r="G21">
        <f>'energy consumption'!S8</f>
        <v>8.2056570559178241E-3</v>
      </c>
      <c r="H21">
        <f>'energy consumption'!T8</f>
        <v>4.0043992430074877E-5</v>
      </c>
      <c r="I21">
        <f>'energy consumption'!U8</f>
        <v>16.786053056176858</v>
      </c>
      <c r="J21">
        <f>'energy consumption'!V8</f>
        <v>1.3583884651956478E-2</v>
      </c>
      <c r="K21">
        <f>'energy consumption'!W8</f>
        <v>5.0481999935544621</v>
      </c>
      <c r="L21">
        <f>'energy consumption'!X8</f>
        <v>1.9774314681009339E-3</v>
      </c>
      <c r="M21">
        <f>'energy consumption'!Y8</f>
        <v>9.6467132538994721E-3</v>
      </c>
      <c r="N21">
        <f>'energy consumption'!Z8</f>
        <v>3.5495658805195291E-4</v>
      </c>
      <c r="O21">
        <f>'energy consumption'!AA8</f>
        <v>1.9072764777483006E-7</v>
      </c>
      <c r="P21">
        <f>'energy consumption'!AB8</f>
        <v>2.4080435065469232E-3</v>
      </c>
      <c r="Q21">
        <f>'energy consumption'!AC8</f>
        <v>6.477032946999659E-3</v>
      </c>
      <c r="R21">
        <f>'energy consumption'!AD8</f>
        <v>9.3282655672919206E-3</v>
      </c>
      <c r="S21">
        <f>'energy consumption'!AE8</f>
        <v>1.6695343715143193E-4</v>
      </c>
      <c r="T21">
        <f>'energy consumption'!AF8</f>
        <v>1.029679686464075E-3</v>
      </c>
      <c r="U21">
        <f>'energy consumption'!AG8</f>
        <v>2.5792975957892065E-4</v>
      </c>
      <c r="V21">
        <f>'energy consumption'!AH8</f>
        <v>6.3091241667884046E-2</v>
      </c>
      <c r="W21">
        <f>'energy consumption'!AI8</f>
        <v>0.19454902001412069</v>
      </c>
      <c r="X21">
        <f>'energy consumption'!AJ8</f>
        <v>0.11458005095603639</v>
      </c>
    </row>
    <row r="22" spans="1:24">
      <c r="A22" s="81" t="str">
        <f>'energy consumption'!M9</f>
        <v>ETL calcining</v>
      </c>
      <c r="B22">
        <f>'energy consumption'!N9</f>
        <v>51.114240040891382</v>
      </c>
      <c r="C22">
        <f>'energy consumption'!O9</f>
        <v>899.39539686191631</v>
      </c>
      <c r="D22">
        <f>'energy consumption'!P9</f>
        <v>5.8519440046815543E-2</v>
      </c>
      <c r="E22">
        <f>'energy consumption'!Q9</f>
        <v>48.239280038591417</v>
      </c>
      <c r="F22">
        <f>'energy consumption'!R9</f>
        <v>21.304800017043839</v>
      </c>
      <c r="G22">
        <f>'energy consumption'!S9</f>
        <v>0.18367200014693758</v>
      </c>
      <c r="H22">
        <f>'energy consumption'!T9</f>
        <v>8.9632800071706232E-4</v>
      </c>
      <c r="I22">
        <f>'energy consumption'!U9</f>
        <v>375.73200030058553</v>
      </c>
      <c r="J22">
        <f>'energy consumption'!V9</f>
        <v>0.30405600024324475</v>
      </c>
      <c r="K22">
        <f>'energy consumption'!W9</f>
        <v>112.99680009039741</v>
      </c>
      <c r="L22">
        <f>'energy consumption'!X9</f>
        <v>4.4262000035409588E-2</v>
      </c>
      <c r="M22">
        <f>'energy consumption'!Y9</f>
        <v>0.21592800017274236</v>
      </c>
      <c r="N22">
        <f>'energy consumption'!Z9</f>
        <v>7.9452000063561581E-3</v>
      </c>
      <c r="O22">
        <f>'energy consumption'!AA9</f>
        <v>4.2691680034153339E-6</v>
      </c>
      <c r="P22">
        <f>'energy consumption'!AB9</f>
        <v>5.39006400431205E-2</v>
      </c>
      <c r="Q22">
        <f>'energy consumption'!AC9</f>
        <v>0.14497920011598334</v>
      </c>
      <c r="R22">
        <f>'energy consumption'!AD9</f>
        <v>0.20880000016703995</v>
      </c>
      <c r="S22">
        <f>'energy consumption'!AE9</f>
        <v>3.7370160029896126E-3</v>
      </c>
      <c r="T22">
        <f>'energy consumption'!AF9</f>
        <v>2.3047920018438334E-2</v>
      </c>
      <c r="U22">
        <f>'energy consumption'!AG9</f>
        <v>5.7733920046187121E-3</v>
      </c>
      <c r="V22">
        <f>'energy consumption'!AH9</f>
        <v>1.4122080011297662</v>
      </c>
      <c r="W22">
        <f>'energy consumption'!AI9</f>
        <v>4.3547040034837625</v>
      </c>
      <c r="X22">
        <f>'energy consumption'!AJ9</f>
        <v>2.5647120020517691</v>
      </c>
    </row>
    <row r="23" spans="1:24">
      <c r="A23" s="81" t="str">
        <f>'energy consumption'!M10</f>
        <v>PL 1st-step spin coating</v>
      </c>
      <c r="B23">
        <f>'energy consumption'!N10</f>
        <v>8.4576274476780081E-2</v>
      </c>
      <c r="C23">
        <f>'energy consumption'!O10</f>
        <v>1.4881863036072136</v>
      </c>
      <c r="D23">
        <f>'energy consumption'!P10</f>
        <v>9.6829302747482171E-5</v>
      </c>
      <c r="E23">
        <f>'energy consumption'!Q10</f>
        <v>7.9819216442272203E-2</v>
      </c>
      <c r="F23">
        <f>'energy consumption'!R10</f>
        <v>3.525202785902528E-2</v>
      </c>
      <c r="G23">
        <f>'energy consumption'!S10</f>
        <v>3.039132242932527E-4</v>
      </c>
      <c r="H23">
        <f>'energy consumption'!T10</f>
        <v>1.4831108307435136E-6</v>
      </c>
      <c r="I23">
        <f>'energy consumption'!U10</f>
        <v>0.62170566874729094</v>
      </c>
      <c r="J23">
        <f>'energy consumption'!V10</f>
        <v>5.0310683896135093E-4</v>
      </c>
      <c r="K23">
        <f>'energy consumption'!W10</f>
        <v>0.18697037013164672</v>
      </c>
      <c r="L23">
        <f>'energy consumption'!X10</f>
        <v>7.3238202522256797E-5</v>
      </c>
      <c r="M23">
        <f>'energy consumption'!Y10</f>
        <v>3.5728567607035079E-4</v>
      </c>
      <c r="N23">
        <f>'energy consumption'!Z10</f>
        <v>1.3146540298220478E-5</v>
      </c>
      <c r="O23">
        <f>'energy consumption'!AA10</f>
        <v>7.0639869546233354E-9</v>
      </c>
      <c r="P23">
        <f>'energy consumption'!AB10</f>
        <v>8.9186796538774931E-5</v>
      </c>
      <c r="Q23">
        <f>'energy consumption'!AC10</f>
        <v>2.398901091481355E-4</v>
      </c>
      <c r="R23">
        <f>'energy consumption'!AD10</f>
        <v>3.4549131730710812E-4</v>
      </c>
      <c r="S23">
        <f>'energy consumption'!AE10</f>
        <v>6.1834606352382193E-6</v>
      </c>
      <c r="T23">
        <f>'energy consumption'!AF10</f>
        <v>3.8136284683854624E-5</v>
      </c>
      <c r="U23">
        <f>'energy consumption'!AG10</f>
        <v>9.5529540584785421E-6</v>
      </c>
      <c r="V23">
        <f>'energy consumption'!AH10</f>
        <v>2.3367126543660756E-3</v>
      </c>
      <c r="W23">
        <f>'energy consumption'!AI10</f>
        <v>7.2055192597822474E-3</v>
      </c>
      <c r="X23">
        <f>'energy consumption'!AJ10</f>
        <v>4.24370559096431E-3</v>
      </c>
    </row>
    <row r="24" spans="1:24">
      <c r="A24" s="81" t="str">
        <f>'energy consumption'!M11</f>
        <v>PL 2nd-step spin coating</v>
      </c>
      <c r="B24">
        <f>'energy consumption'!N11</f>
        <v>4.2288137238390036</v>
      </c>
      <c r="C24">
        <f>'energy consumption'!O11</f>
        <v>74.409315180360679</v>
      </c>
      <c r="D24">
        <f>'energy consumption'!P11</f>
        <v>4.8414651373741083E-3</v>
      </c>
      <c r="E24">
        <f>'energy consumption'!Q11</f>
        <v>3.9909608221136099</v>
      </c>
      <c r="F24">
        <f>'energy consumption'!R11</f>
        <v>1.7626013929512638</v>
      </c>
      <c r="G24">
        <f>'energy consumption'!S11</f>
        <v>1.5195661214662636E-2</v>
      </c>
      <c r="H24">
        <f>'energy consumption'!T11</f>
        <v>7.4155541537175682E-5</v>
      </c>
      <c r="I24">
        <f>'energy consumption'!U11</f>
        <v>31.085283437364549</v>
      </c>
      <c r="J24">
        <f>'energy consumption'!V11</f>
        <v>2.5155341948067549E-2</v>
      </c>
      <c r="K24">
        <f>'energy consumption'!W11</f>
        <v>9.3485185065823355</v>
      </c>
      <c r="L24">
        <f>'energy consumption'!X11</f>
        <v>3.6619101261128402E-3</v>
      </c>
      <c r="M24">
        <f>'energy consumption'!Y11</f>
        <v>1.7864283803517539E-2</v>
      </c>
      <c r="N24">
        <f>'energy consumption'!Z11</f>
        <v>6.5732701491102389E-4</v>
      </c>
      <c r="O24">
        <f>'energy consumption'!AA11</f>
        <v>3.5319934773116675E-7</v>
      </c>
      <c r="P24">
        <f>'energy consumption'!AB11</f>
        <v>4.4593398269387463E-3</v>
      </c>
      <c r="Q24">
        <f>'energy consumption'!AC11</f>
        <v>1.1994505457406775E-2</v>
      </c>
      <c r="R24">
        <f>'energy consumption'!AD11</f>
        <v>1.7274565865355408E-2</v>
      </c>
      <c r="S24">
        <f>'energy consumption'!AE11</f>
        <v>3.0917303176191096E-4</v>
      </c>
      <c r="T24">
        <f>'energy consumption'!AF11</f>
        <v>1.9068142341927311E-3</v>
      </c>
      <c r="U24">
        <f>'energy consumption'!AG11</f>
        <v>4.7764770292392712E-4</v>
      </c>
      <c r="V24">
        <f>'energy consumption'!AH11</f>
        <v>0.11683563271830379</v>
      </c>
      <c r="W24">
        <f>'energy consumption'!AI11</f>
        <v>0.36027596298911235</v>
      </c>
      <c r="X24">
        <f>'energy consumption'!AJ11</f>
        <v>0.21218527954821551</v>
      </c>
    </row>
    <row r="25" spans="1:24">
      <c r="A25" s="81" t="str">
        <f>'energy consumption'!M12</f>
        <v>PL Drying</v>
      </c>
      <c r="B25">
        <f>'energy consumption'!N12</f>
        <v>1.7038080013630463</v>
      </c>
      <c r="C25">
        <f>'energy consumption'!O12</f>
        <v>29.979846562063884</v>
      </c>
      <c r="D25">
        <f>'energy consumption'!P12</f>
        <v>1.9506480015605183E-3</v>
      </c>
      <c r="E25">
        <f>'energy consumption'!Q12</f>
        <v>1.6079760012863809</v>
      </c>
      <c r="F25">
        <f>'energy consumption'!R12</f>
        <v>0.710160000568128</v>
      </c>
      <c r="G25">
        <f>'energy consumption'!S12</f>
        <v>6.1224000048979198E-3</v>
      </c>
      <c r="H25">
        <f>'energy consumption'!T12</f>
        <v>2.9877600023902081E-5</v>
      </c>
      <c r="I25">
        <f>'energy consumption'!U12</f>
        <v>12.524400010019519</v>
      </c>
      <c r="J25">
        <f>'energy consumption'!V12</f>
        <v>1.013520000810816E-2</v>
      </c>
      <c r="K25">
        <f>'energy consumption'!W12</f>
        <v>3.766560003013248</v>
      </c>
      <c r="L25">
        <f>'energy consumption'!X12</f>
        <v>1.4754000011803199E-3</v>
      </c>
      <c r="M25">
        <f>'energy consumption'!Y12</f>
        <v>7.19760000575808E-3</v>
      </c>
      <c r="N25">
        <f>'energy consumption'!Z12</f>
        <v>2.6484000021187199E-4</v>
      </c>
      <c r="O25">
        <f>'energy consumption'!AA12</f>
        <v>1.4230560011384449E-7</v>
      </c>
      <c r="P25">
        <f>'energy consumption'!AB12</f>
        <v>1.7966880014373503E-3</v>
      </c>
      <c r="Q25">
        <f>'energy consumption'!AC12</f>
        <v>4.8326400038661123E-3</v>
      </c>
      <c r="R25">
        <f>'energy consumption'!AD12</f>
        <v>6.9600000055680001E-3</v>
      </c>
      <c r="S25">
        <f>'energy consumption'!AE12</f>
        <v>1.2456720009965377E-4</v>
      </c>
      <c r="T25">
        <f>'energy consumption'!AF12</f>
        <v>7.6826400061461128E-4</v>
      </c>
      <c r="U25">
        <f>'energy consumption'!AG12</f>
        <v>1.9244640015395712E-4</v>
      </c>
      <c r="V25">
        <f>'energy consumption'!AH12</f>
        <v>4.7073600037658883E-2</v>
      </c>
      <c r="W25">
        <f>'energy consumption'!AI12</f>
        <v>0.14515680011612545</v>
      </c>
      <c r="X25">
        <f>'energy consumption'!AJ12</f>
        <v>8.5490400068392328E-2</v>
      </c>
    </row>
    <row r="26" spans="1:24">
      <c r="A26" s="81" t="str">
        <f>'energy consumption'!M13</f>
        <v>HTL spin coating</v>
      </c>
      <c r="B26">
        <f>'energy consumption'!N13</f>
        <v>2.2835594108730621</v>
      </c>
      <c r="C26">
        <f>'energy consumption'!O13</f>
        <v>40.181030197394769</v>
      </c>
      <c r="D26">
        <f>'energy consumption'!P13</f>
        <v>2.6143911741820188E-3</v>
      </c>
      <c r="E26">
        <f>'energy consumption'!Q13</f>
        <v>2.1551188439413496</v>
      </c>
      <c r="F26">
        <f>'energy consumption'!R13</f>
        <v>0.95180475219368255</v>
      </c>
      <c r="G26">
        <f>'energy consumption'!S13</f>
        <v>8.2056570559178241E-3</v>
      </c>
      <c r="H26">
        <f>'energy consumption'!T13</f>
        <v>4.0043992430074877E-5</v>
      </c>
      <c r="I26">
        <f>'energy consumption'!U13</f>
        <v>16.786053056176858</v>
      </c>
      <c r="J26">
        <f>'energy consumption'!V13</f>
        <v>1.3583884651956478E-2</v>
      </c>
      <c r="K26">
        <f>'energy consumption'!W13</f>
        <v>5.0481999935544621</v>
      </c>
      <c r="L26">
        <f>'energy consumption'!X13</f>
        <v>1.9774314681009339E-3</v>
      </c>
      <c r="M26">
        <f>'energy consumption'!Y13</f>
        <v>9.6467132538994721E-3</v>
      </c>
      <c r="N26">
        <f>'energy consumption'!Z13</f>
        <v>3.5495658805195291E-4</v>
      </c>
      <c r="O26">
        <f>'energy consumption'!AA13</f>
        <v>1.9072764777483006E-7</v>
      </c>
      <c r="P26">
        <f>'energy consumption'!AB13</f>
        <v>2.4080435065469232E-3</v>
      </c>
      <c r="Q26">
        <f>'energy consumption'!AC13</f>
        <v>6.477032946999659E-3</v>
      </c>
      <c r="R26">
        <f>'energy consumption'!AD13</f>
        <v>9.3282655672919206E-3</v>
      </c>
      <c r="S26">
        <f>'energy consumption'!AE13</f>
        <v>1.6695343715143193E-4</v>
      </c>
      <c r="T26">
        <f>'energy consumption'!AF13</f>
        <v>1.029679686464075E-3</v>
      </c>
      <c r="U26">
        <f>'energy consumption'!AG13</f>
        <v>2.5792975957892065E-4</v>
      </c>
      <c r="V26">
        <f>'energy consumption'!AH13</f>
        <v>6.3091241667884046E-2</v>
      </c>
      <c r="W26">
        <f>'energy consumption'!AI13</f>
        <v>0.19454902001412069</v>
      </c>
      <c r="X26">
        <f>'energy consumption'!AJ13</f>
        <v>0.11458005095603639</v>
      </c>
    </row>
    <row r="27" spans="1:24">
      <c r="A27" s="81" t="str">
        <f>'energy consumption'!M14</f>
        <v>Electrode sputtering</v>
      </c>
      <c r="B27">
        <f>'energy consumption'!N14</f>
        <v>5.5216000044172793</v>
      </c>
      <c r="C27">
        <f>'energy consumption'!O14</f>
        <v>97.156910154836652</v>
      </c>
      <c r="D27">
        <f>'energy consumption'!P14</f>
        <v>6.3215444495016799E-3</v>
      </c>
      <c r="E27">
        <f>'energy consumption'!Q14</f>
        <v>5.2110333375021591</v>
      </c>
      <c r="F27">
        <f>'energy consumption'!R14</f>
        <v>2.3014444462855996</v>
      </c>
      <c r="G27">
        <f>'energy consumption'!S14</f>
        <v>1.9841111126983998E-2</v>
      </c>
      <c r="H27">
        <f>'energy consumption'!T14</f>
        <v>9.6825555633015992E-5</v>
      </c>
      <c r="I27">
        <f>'energy consumption'!U14</f>
        <v>40.588333365803997</v>
      </c>
      <c r="J27">
        <f>'energy consumption'!V14</f>
        <v>3.2845555581831998E-2</v>
      </c>
      <c r="K27">
        <f>'energy consumption'!W14</f>
        <v>12.206444454209599</v>
      </c>
      <c r="L27">
        <f>'energy consumption'!X14</f>
        <v>4.7813888927139992E-3</v>
      </c>
      <c r="M27">
        <f>'energy consumption'!Y14</f>
        <v>2.3325555574215999E-2</v>
      </c>
      <c r="N27">
        <f>'energy consumption'!Z14</f>
        <v>8.5827777846439999E-4</v>
      </c>
      <c r="O27">
        <f>'energy consumption'!AA14</f>
        <v>4.6117555592449599E-7</v>
      </c>
      <c r="P27">
        <f>'energy consumption'!AB14</f>
        <v>5.8226000046580793E-3</v>
      </c>
      <c r="Q27">
        <f>'energy consumption'!AC14</f>
        <v>1.5661333345862397E-2</v>
      </c>
      <c r="R27">
        <f>'energy consumption'!AD14</f>
        <v>2.2555555573599999E-2</v>
      </c>
      <c r="S27">
        <f>'energy consumption'!AE14</f>
        <v>4.0369000032295196E-4</v>
      </c>
      <c r="T27">
        <f>'energy consumption'!AF14</f>
        <v>2.4897444464362399E-3</v>
      </c>
      <c r="U27">
        <f>'energy consumption'!AG14</f>
        <v>6.2366888938782388E-4</v>
      </c>
      <c r="V27">
        <f>'energy consumption'!AH14</f>
        <v>0.152553333455376</v>
      </c>
      <c r="W27">
        <f>'energy consumption'!AI14</f>
        <v>0.470415555931888</v>
      </c>
      <c r="X27">
        <f>'energy consumption'!AJ14</f>
        <v>0.27705222244386396</v>
      </c>
    </row>
    <row r="28" spans="1:24">
      <c r="A28" s="116" t="str">
        <f>'material inventory'!I20</f>
        <v>Direct emissions</v>
      </c>
      <c r="B28">
        <f>'material inventory'!J20</f>
        <v>0</v>
      </c>
      <c r="C28">
        <f>'material inventory'!K20</f>
        <v>0</v>
      </c>
      <c r="D28">
        <f>'material inventory'!L20</f>
        <v>0</v>
      </c>
      <c r="E28">
        <f>'material inventory'!M20</f>
        <v>0</v>
      </c>
      <c r="F28">
        <f>'material inventory'!N20</f>
        <v>0</v>
      </c>
      <c r="G28">
        <f>'material inventory'!O20</f>
        <v>2.8766311844440274E-2</v>
      </c>
      <c r="H28">
        <f>'material inventory'!P20</f>
        <v>0</v>
      </c>
      <c r="I28">
        <f>'material inventory'!Q20</f>
        <v>4.1552245543121494E-2</v>
      </c>
      <c r="J28">
        <f>'material inventory'!R20</f>
        <v>0</v>
      </c>
      <c r="K28">
        <f>'material inventory'!S20</f>
        <v>65.577563156317765</v>
      </c>
      <c r="L28">
        <f>'material inventory'!T20</f>
        <v>0</v>
      </c>
      <c r="M28">
        <f>'material inventory'!U20</f>
        <v>0</v>
      </c>
      <c r="N28">
        <f>'material inventory'!V20</f>
        <v>0</v>
      </c>
      <c r="O28">
        <f>'material inventory'!W20</f>
        <v>0</v>
      </c>
      <c r="P28">
        <f>'material inventory'!X20</f>
        <v>0</v>
      </c>
      <c r="Q28">
        <f>'material inventory'!Y20</f>
        <v>2.1558294900738295E-2</v>
      </c>
      <c r="R28">
        <f>'material inventory'!Z20</f>
        <v>0</v>
      </c>
      <c r="S28">
        <f>'material inventory'!AA20</f>
        <v>0.30114287944884338</v>
      </c>
      <c r="T28">
        <f>'material inventory'!AB20</f>
        <v>0</v>
      </c>
      <c r="U28">
        <f>'material inventory'!AC20</f>
        <v>0</v>
      </c>
      <c r="V28">
        <f>'material inventory'!AD20</f>
        <v>8.2794294919128139E-2</v>
      </c>
      <c r="W28">
        <f>'material inventory'!AE20</f>
        <v>2.7979059755858012E-4</v>
      </c>
      <c r="X28">
        <f>'material inventory'!AF20</f>
        <v>0</v>
      </c>
    </row>
    <row r="29" spans="1:24">
      <c r="A29" s="116" t="s">
        <v>86</v>
      </c>
      <c r="B29">
        <f>'material inventory'!J51</f>
        <v>6.5339114634350754E-4</v>
      </c>
      <c r="C29">
        <f>'material inventory'!K51</f>
        <v>5.4601869797269286E-3</v>
      </c>
      <c r="D29">
        <f>'material inventory'!L51</f>
        <v>2.3460630349742766E-5</v>
      </c>
      <c r="E29">
        <f>'material inventory'!M51</f>
        <v>5.9785303088652291E-4</v>
      </c>
      <c r="F29">
        <f>'material inventory'!N51</f>
        <v>1.0330775782509537E-4</v>
      </c>
      <c r="G29">
        <f>'material inventory'!O51</f>
        <v>9.1350169278510749E-6</v>
      </c>
      <c r="H29">
        <f>'material inventory'!P51</f>
        <v>3.7123957024098455E-6</v>
      </c>
      <c r="I29">
        <f>'material inventory'!Q51</f>
        <v>8.433927409534768E-3</v>
      </c>
      <c r="J29">
        <f>'material inventory'!R51</f>
        <v>4.1880596000024607E-5</v>
      </c>
      <c r="K29">
        <f>'material inventory'!S51</f>
        <v>8.2026945714153837E-3</v>
      </c>
      <c r="L29">
        <f>'material inventory'!T51</f>
        <v>3.4407763069476913E-5</v>
      </c>
      <c r="M29">
        <f>'material inventory'!U51</f>
        <v>4.6104026833255376E-5</v>
      </c>
      <c r="N29">
        <f>'material inventory'!V51</f>
        <v>4.7946498534252298E-8</v>
      </c>
      <c r="O29">
        <f>'material inventory'!W51</f>
        <v>4.8445391301427685E-11</v>
      </c>
      <c r="P29">
        <f>'material inventory'!X51</f>
        <v>1.3349209006134153E-6</v>
      </c>
      <c r="Q29">
        <f>'material inventory'!Y51</f>
        <v>1.569558879842092E-6</v>
      </c>
      <c r="R29">
        <f>'material inventory'!Z51</f>
        <v>2.737311108787692E-6</v>
      </c>
      <c r="S29">
        <f>'material inventory'!AA51</f>
        <v>3.6466685600676914E-7</v>
      </c>
      <c r="T29">
        <f>'material inventory'!AB51</f>
        <v>6.1664729809439987E-6</v>
      </c>
      <c r="U29">
        <f>'material inventory'!AC51</f>
        <v>2.8109571839421535E-6</v>
      </c>
      <c r="V29">
        <f>'material inventory'!AD51</f>
        <v>2.6779191126953842E-5</v>
      </c>
      <c r="W29">
        <f>'material inventory'!AE51</f>
        <v>8.1052916978239985E-5</v>
      </c>
      <c r="X29">
        <f>'material inventory'!AF51</f>
        <v>1.4526754315324305E-5</v>
      </c>
    </row>
    <row r="30" spans="1:24">
      <c r="A30" s="116" t="s">
        <v>176</v>
      </c>
      <c r="B30">
        <f>'material inventory'!$F$51*[1]production!$D$103</f>
        <v>2.7351239969803275E-2</v>
      </c>
      <c r="C30">
        <f>'material inventory'!$F$51*[1]production!M103</f>
        <v>0.87537713994675304</v>
      </c>
      <c r="D30">
        <f>'material inventory'!$F$51*[1]production!N103</f>
        <v>1.4140639960797681E-3</v>
      </c>
      <c r="E30">
        <f>'material inventory'!$F$51*[1]production!O103</f>
        <v>2.5739674806725055E-2</v>
      </c>
      <c r="F30">
        <f>'material inventory'!$F$51*[1]production!P103</f>
        <v>2.0403917142920572E-2</v>
      </c>
      <c r="G30">
        <f>'material inventory'!$F$51*[1]production!Q103</f>
        <v>1.2594606068035437E-4</v>
      </c>
      <c r="H30">
        <f>'material inventory'!$F$51*[1]production!R103</f>
        <v>3.0335937289348514E-6</v>
      </c>
      <c r="I30">
        <f>'material inventory'!$F$51*[1]production!S103</f>
        <v>0.19402296880475647</v>
      </c>
      <c r="J30">
        <f>'material inventory'!$F$51*[1]production!T103</f>
        <v>3.743095751778953E-3</v>
      </c>
      <c r="K30">
        <f>'material inventory'!$F$51*[1]production!U103</f>
        <v>0.13762070853049249</v>
      </c>
      <c r="L30">
        <f>'material inventory'!$F$51*[1]production!V103</f>
        <v>8.7141466919403083E-5</v>
      </c>
      <c r="M30">
        <f>'material inventory'!$F$51*[1]production!W103</f>
        <v>1.0618082137966718E-3</v>
      </c>
      <c r="N30">
        <f>'material inventory'!$F$51*[1]production!X103</f>
        <v>-2.0065674970751196E-4</v>
      </c>
      <c r="O30">
        <f>'material inventory'!$F$51*[1]production!Y103</f>
        <v>9.6179741356060098E-9</v>
      </c>
      <c r="P30">
        <f>'material inventory'!$F$51*[1]production!Z103</f>
        <v>9.2061353060048521E-5</v>
      </c>
      <c r="Q30">
        <f>'material inventory'!$F$51*[1]production!AA103</f>
        <v>2.7838691803615175E-4</v>
      </c>
      <c r="R30">
        <f>'material inventory'!$F$51*[1]production!AB103</f>
        <v>2.328981347029711E-4</v>
      </c>
      <c r="S30">
        <f>'material inventory'!$F$51*[1]production!AC103</f>
        <v>2.8077628896921108E-5</v>
      </c>
      <c r="T30">
        <f>'material inventory'!$F$51*[1]production!AD103</f>
        <v>5.1532782803092375E-3</v>
      </c>
      <c r="U30">
        <f>'material inventory'!$F$51*[1]production!AE103</f>
        <v>3.7215712499136292E-5</v>
      </c>
      <c r="V30">
        <f>'material inventory'!$F$51*[1]production!AF103</f>
        <v>2.0958412507132654E-3</v>
      </c>
      <c r="W30">
        <f>'material inventory'!$F$51*[1]production!AG103</f>
        <v>2.4209771688194436E-3</v>
      </c>
      <c r="X30">
        <f>'material inventory'!$F$51*[1]production!AH103</f>
        <v>2.4960356776659708E-3</v>
      </c>
    </row>
    <row r="31" spans="1:24" s="59" customFormat="1">
      <c r="B31" s="59">
        <f t="shared" ref="B31:X31" si="0">SUM(B2:B29)</f>
        <v>74.621327457602177</v>
      </c>
      <c r="C31" s="59">
        <f t="shared" si="0"/>
        <v>1342.1339778452721</v>
      </c>
      <c r="D31" s="59">
        <f t="shared" si="0"/>
        <v>6.3924933632373371</v>
      </c>
      <c r="E31" s="59">
        <f t="shared" si="0"/>
        <v>70.660091326119939</v>
      </c>
      <c r="F31" s="59">
        <f t="shared" si="0"/>
        <v>30.523494509337148</v>
      </c>
      <c r="G31" s="59">
        <f t="shared" si="0"/>
        <v>0.40093235132511912</v>
      </c>
      <c r="H31" s="59">
        <f t="shared" si="0"/>
        <v>3.8648172902420084E-3</v>
      </c>
      <c r="I31" s="59">
        <f t="shared" si="0"/>
        <v>673.27166683596465</v>
      </c>
      <c r="J31" s="59">
        <f t="shared" si="0"/>
        <v>0.70740579528363645</v>
      </c>
      <c r="K31" s="59">
        <f t="shared" si="0"/>
        <v>330.65949849589293</v>
      </c>
      <c r="L31" s="59">
        <f t="shared" si="0"/>
        <v>7.2691490578656537E-2</v>
      </c>
      <c r="M31" s="59">
        <f t="shared" si="0"/>
        <v>38.68544178511393</v>
      </c>
      <c r="N31" s="59">
        <f t="shared" si="0"/>
        <v>1.3739587826421314E-2</v>
      </c>
      <c r="O31" s="59">
        <f t="shared" si="0"/>
        <v>6.1572225326149054E-6</v>
      </c>
      <c r="P31" s="59">
        <f t="shared" si="0"/>
        <v>0.10789510306795209</v>
      </c>
      <c r="Q31" s="59">
        <f t="shared" si="0"/>
        <v>0.27215636639998758</v>
      </c>
      <c r="R31" s="59">
        <f t="shared" si="0"/>
        <v>0.35602368336353002</v>
      </c>
      <c r="S31" s="59">
        <f t="shared" si="0"/>
        <v>0.31592419763696972</v>
      </c>
      <c r="T31" s="59">
        <f t="shared" si="0"/>
        <v>0.18861050529740861</v>
      </c>
      <c r="U31" s="59">
        <f t="shared" si="0"/>
        <v>4.3256995983538611E-2</v>
      </c>
      <c r="V31" s="59">
        <f t="shared" si="0"/>
        <v>2.5900692637678038</v>
      </c>
      <c r="W31" s="59">
        <f t="shared" si="0"/>
        <v>7.2633466078115196</v>
      </c>
      <c r="X31" s="59">
        <f t="shared" si="0"/>
        <v>5.4561706640417391</v>
      </c>
    </row>
    <row r="32" spans="1:24" s="60" customFormat="1">
      <c r="A32" s="60" t="s">
        <v>177</v>
      </c>
      <c r="B32" s="60">
        <f>SUM(B30:B31)</f>
        <v>74.648678697571981</v>
      </c>
      <c r="C32" s="60">
        <f t="shared" ref="C32:X32" si="1">SUM(C30:C31)</f>
        <v>1343.0093549852188</v>
      </c>
      <c r="D32" s="60">
        <f t="shared" si="1"/>
        <v>6.3939074272334171</v>
      </c>
      <c r="E32" s="60">
        <f t="shared" si="1"/>
        <v>70.685831000926669</v>
      </c>
      <c r="F32" s="60">
        <f t="shared" si="1"/>
        <v>30.543898426480069</v>
      </c>
      <c r="G32" s="60">
        <f t="shared" si="1"/>
        <v>0.40105829738579946</v>
      </c>
      <c r="H32" s="60">
        <f t="shared" si="1"/>
        <v>3.8678508839709433E-3</v>
      </c>
      <c r="I32" s="60">
        <f t="shared" si="1"/>
        <v>673.46568980476945</v>
      </c>
      <c r="J32" s="60">
        <f t="shared" si="1"/>
        <v>0.71114889103541545</v>
      </c>
      <c r="K32" s="60">
        <f t="shared" si="1"/>
        <v>330.79711920442344</v>
      </c>
      <c r="L32" s="60">
        <f t="shared" si="1"/>
        <v>7.2778632045575942E-2</v>
      </c>
      <c r="M32" s="60">
        <f t="shared" si="1"/>
        <v>38.686503593327728</v>
      </c>
      <c r="N32" s="60">
        <f t="shared" si="1"/>
        <v>1.3538931076713803E-2</v>
      </c>
      <c r="O32" s="60">
        <f t="shared" si="1"/>
        <v>6.1668405067505112E-6</v>
      </c>
      <c r="P32" s="60">
        <f t="shared" si="1"/>
        <v>0.10798716442101214</v>
      </c>
      <c r="Q32" s="60">
        <f t="shared" si="1"/>
        <v>0.27243475331802375</v>
      </c>
      <c r="R32" s="60">
        <f t="shared" si="1"/>
        <v>0.35625658149823297</v>
      </c>
      <c r="S32" s="60">
        <f t="shared" si="1"/>
        <v>0.31595227526586661</v>
      </c>
      <c r="T32" s="60">
        <f t="shared" si="1"/>
        <v>0.19376378357771784</v>
      </c>
      <c r="U32" s="60">
        <f t="shared" si="1"/>
        <v>4.3294211696037747E-2</v>
      </c>
      <c r="V32" s="60">
        <f t="shared" si="1"/>
        <v>2.592165105018517</v>
      </c>
      <c r="W32" s="60">
        <f t="shared" si="1"/>
        <v>7.2657675849803391</v>
      </c>
      <c r="X32" s="60">
        <f t="shared" si="1"/>
        <v>5.4586666997194051</v>
      </c>
    </row>
    <row r="33" spans="2:24">
      <c r="B33" s="21"/>
      <c r="C33" s="21"/>
      <c r="D33" s="21">
        <f>D22/D32</f>
        <v>9.1523752435897169E-3</v>
      </c>
      <c r="E33" s="21">
        <f t="shared" ref="E33:X33" si="2">E22/E32</f>
        <v>0.68244624637657603</v>
      </c>
      <c r="F33" s="21">
        <f t="shared" si="2"/>
        <v>0.69751410640409994</v>
      </c>
      <c r="G33" s="21">
        <f t="shared" si="2"/>
        <v>0.45796833364166417</v>
      </c>
      <c r="H33" s="21">
        <f t="shared" si="2"/>
        <v>0.23173799290753522</v>
      </c>
      <c r="I33" s="21">
        <f t="shared" si="2"/>
        <v>0.5579081547710415</v>
      </c>
      <c r="J33" s="21">
        <f t="shared" si="2"/>
        <v>0.42755603513709572</v>
      </c>
      <c r="K33" s="21">
        <f t="shared" si="2"/>
        <v>0.34158943210315118</v>
      </c>
      <c r="L33" s="21">
        <f t="shared" si="2"/>
        <v>0.60817301440471605</v>
      </c>
      <c r="M33" s="21">
        <f t="shared" si="2"/>
        <v>5.5814813983340568E-3</v>
      </c>
      <c r="N33" s="21">
        <f t="shared" si="2"/>
        <v>0.58684101140166478</v>
      </c>
      <c r="O33" s="21">
        <f t="shared" si="2"/>
        <v>0.69227799855405758</v>
      </c>
      <c r="P33" s="21">
        <f t="shared" si="2"/>
        <v>0.49913932208625078</v>
      </c>
      <c r="Q33" s="21">
        <f t="shared" si="2"/>
        <v>0.53216118116451705</v>
      </c>
      <c r="R33" s="21">
        <f t="shared" si="2"/>
        <v>0.58609443589486532</v>
      </c>
      <c r="S33" s="21">
        <f t="shared" si="2"/>
        <v>1.1827786332112972E-2</v>
      </c>
      <c r="T33" s="21">
        <f t="shared" si="2"/>
        <v>0.1189485444228741</v>
      </c>
      <c r="U33" s="21">
        <f t="shared" si="2"/>
        <v>0.13335251476924542</v>
      </c>
      <c r="V33" s="21">
        <f t="shared" si="2"/>
        <v>0.54479863122749583</v>
      </c>
      <c r="W33" s="21">
        <f t="shared" si="2"/>
        <v>0.59934534824451668</v>
      </c>
      <c r="X33" s="21">
        <f t="shared" si="2"/>
        <v>0.4698422056403635</v>
      </c>
    </row>
    <row r="34" spans="2:24">
      <c r="D34">
        <f>D2/D31</f>
        <v>0.97008574976864836</v>
      </c>
    </row>
  </sheetData>
  <phoneticPr fontId="11" type="noConversion"/>
  <pageMargins left="0.69930555555555596" right="0.69930555555555596"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P31"/>
  <sheetViews>
    <sheetView workbookViewId="0"/>
  </sheetViews>
  <sheetFormatPr defaultColWidth="9" defaultRowHeight="15"/>
  <cols>
    <col min="1" max="2" width="36.7109375" customWidth="1"/>
  </cols>
  <sheetData>
    <row r="1" spans="1:16">
      <c r="A1" s="20" t="s">
        <v>109</v>
      </c>
    </row>
    <row r="2" spans="1:16">
      <c r="P2">
        <f ca="1">_xll.CB.RecalcCounterFN()</f>
        <v>0</v>
      </c>
    </row>
    <row r="3" spans="1:16">
      <c r="A3" t="s">
        <v>110</v>
      </c>
      <c r="B3" t="s">
        <v>111</v>
      </c>
      <c r="C3">
        <v>0</v>
      </c>
    </row>
    <row r="4" spans="1:16">
      <c r="A4" t="s">
        <v>112</v>
      </c>
    </row>
    <row r="5" spans="1:16">
      <c r="A5" t="s">
        <v>113</v>
      </c>
    </row>
    <row r="7" spans="1:16">
      <c r="A7" s="20" t="s">
        <v>114</v>
      </c>
      <c r="B7" t="s">
        <v>115</v>
      </c>
    </row>
    <row r="8" spans="1:16">
      <c r="B8">
        <v>2</v>
      </c>
    </row>
    <row r="10" spans="1:16">
      <c r="A10" t="s">
        <v>116</v>
      </c>
    </row>
    <row r="11" spans="1:16">
      <c r="A11" t="e">
        <f>CB_DATA_!#REF!</f>
        <v>#REF!</v>
      </c>
      <c r="B11" t="e">
        <f>Uncertainty!#REF!</f>
        <v>#REF!</v>
      </c>
    </row>
    <row r="13" spans="1:16">
      <c r="A13" t="s">
        <v>117</v>
      </c>
    </row>
    <row r="14" spans="1:16">
      <c r="A14" t="s">
        <v>118</v>
      </c>
      <c r="B14" t="s">
        <v>119</v>
      </c>
    </row>
    <row r="16" spans="1:16">
      <c r="A16" t="s">
        <v>120</v>
      </c>
    </row>
    <row r="19" spans="1:2">
      <c r="A19" t="s">
        <v>121</v>
      </c>
    </row>
    <row r="20" spans="1:2">
      <c r="A20">
        <v>31</v>
      </c>
      <c r="B20">
        <v>31</v>
      </c>
    </row>
    <row r="25" spans="1:2">
      <c r="A25" s="20" t="s">
        <v>122</v>
      </c>
    </row>
    <row r="26" spans="1:2">
      <c r="A26" s="33" t="s">
        <v>123</v>
      </c>
      <c r="B26" s="33" t="s">
        <v>124</v>
      </c>
    </row>
    <row r="27" spans="1:2">
      <c r="A27" t="s">
        <v>207</v>
      </c>
      <c r="B27" t="s">
        <v>208</v>
      </c>
    </row>
    <row r="28" spans="1:2">
      <c r="A28" s="33" t="s">
        <v>125</v>
      </c>
      <c r="B28" s="33" t="s">
        <v>125</v>
      </c>
    </row>
    <row r="29" spans="1:2">
      <c r="A29" s="33" t="s">
        <v>124</v>
      </c>
      <c r="B29" s="33" t="s">
        <v>123</v>
      </c>
    </row>
    <row r="30" spans="1:2">
      <c r="A30" t="s">
        <v>209</v>
      </c>
      <c r="B30" t="s">
        <v>206</v>
      </c>
    </row>
    <row r="31" spans="1:2">
      <c r="A31" s="33" t="s">
        <v>125</v>
      </c>
      <c r="B31" s="33" t="s">
        <v>125</v>
      </c>
    </row>
  </sheetData>
  <phoneticPr fontId="11" type="noConversion"/>
  <pageMargins left="0.69930555555555596" right="0.69930555555555596"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L59"/>
  <sheetViews>
    <sheetView zoomScaleNormal="100" workbookViewId="0">
      <selection activeCell="N29" sqref="N29"/>
    </sheetView>
  </sheetViews>
  <sheetFormatPr defaultColWidth="9" defaultRowHeight="15"/>
  <cols>
    <col min="1" max="1" width="27.140625" customWidth="1"/>
    <col min="2" max="2" width="27.42578125" customWidth="1"/>
    <col min="9" max="9" width="30.42578125" customWidth="1"/>
    <col min="11" max="11" width="30.42578125" customWidth="1"/>
    <col min="12" max="12" width="19.5703125" customWidth="1"/>
  </cols>
  <sheetData>
    <row r="1" spans="1:12">
      <c r="A1" t="s">
        <v>126</v>
      </c>
      <c r="B1" t="s">
        <v>127</v>
      </c>
      <c r="C1" t="s">
        <v>128</v>
      </c>
      <c r="F1" s="19">
        <f>21.2%*0.8</f>
        <v>0.1696</v>
      </c>
      <c r="H1" s="48"/>
      <c r="K1" s="142"/>
      <c r="L1" s="143"/>
    </row>
    <row r="2" spans="1:12">
      <c r="A2" t="s">
        <v>129</v>
      </c>
      <c r="B2" t="s">
        <v>130</v>
      </c>
      <c r="C2" s="14">
        <v>1700</v>
      </c>
      <c r="E2">
        <v>58.9</v>
      </c>
    </row>
    <row r="3" spans="1:12">
      <c r="A3" t="s">
        <v>132</v>
      </c>
      <c r="B3" t="s">
        <v>33</v>
      </c>
      <c r="C3" s="15">
        <v>0.75</v>
      </c>
      <c r="E3">
        <v>1.23</v>
      </c>
    </row>
    <row r="4" spans="1:12">
      <c r="A4" t="s">
        <v>134</v>
      </c>
      <c r="B4" t="s">
        <v>33</v>
      </c>
      <c r="C4" s="16">
        <v>0.1696</v>
      </c>
      <c r="E4">
        <v>1.05</v>
      </c>
    </row>
    <row r="5" spans="1:12">
      <c r="A5" t="s">
        <v>135</v>
      </c>
      <c r="B5" t="s">
        <v>136</v>
      </c>
      <c r="C5" s="17">
        <v>12.49</v>
      </c>
    </row>
    <row r="6" spans="1:12">
      <c r="A6" t="s">
        <v>137</v>
      </c>
      <c r="B6" t="s">
        <v>138</v>
      </c>
      <c r="C6" s="14">
        <v>5</v>
      </c>
      <c r="E6">
        <v>1.1499999999999999</v>
      </c>
    </row>
    <row r="7" spans="1:12">
      <c r="A7" t="s">
        <v>139</v>
      </c>
      <c r="B7" t="s">
        <v>140</v>
      </c>
      <c r="C7" s="40">
        <v>1343.0093549852188</v>
      </c>
      <c r="E7">
        <v>1.1100000000000001</v>
      </c>
    </row>
    <row r="8" spans="1:12">
      <c r="A8" t="s">
        <v>141</v>
      </c>
      <c r="C8" s="40">
        <v>74.648678697571981</v>
      </c>
      <c r="E8">
        <v>1.1100000000000001</v>
      </c>
    </row>
    <row r="9" spans="1:12">
      <c r="B9" t="s">
        <v>131</v>
      </c>
      <c r="C9" s="18">
        <f>C7/C5/C2/C4/C3</f>
        <v>0.49725661216550704</v>
      </c>
      <c r="J9" t="s">
        <v>131</v>
      </c>
      <c r="L9" t="s">
        <v>183</v>
      </c>
    </row>
    <row r="10" spans="1:12">
      <c r="B10" t="s">
        <v>133</v>
      </c>
      <c r="C10" s="18">
        <f>C8*1000/C2/C3/C4/C6</f>
        <v>69.042433127610053</v>
      </c>
      <c r="I10" t="s">
        <v>129</v>
      </c>
      <c r="J10" s="43">
        <v>-1.9089999999999999E-2</v>
      </c>
      <c r="K10" t="s">
        <v>129</v>
      </c>
      <c r="L10" s="43">
        <v>-1.6049999999999998E-2</v>
      </c>
    </row>
    <row r="11" spans="1:12">
      <c r="I11" t="s">
        <v>144</v>
      </c>
      <c r="J11" s="43">
        <v>-3.9829999999999997E-2</v>
      </c>
      <c r="K11" t="s">
        <v>144</v>
      </c>
      <c r="L11" s="43">
        <v>-2.9860000000000001E-2</v>
      </c>
    </row>
    <row r="12" spans="1:12">
      <c r="I12" t="s">
        <v>10</v>
      </c>
      <c r="J12" s="19">
        <v>0.18579999999999999</v>
      </c>
      <c r="K12" t="s">
        <v>9</v>
      </c>
      <c r="L12" s="19">
        <v>0.13589999999999999</v>
      </c>
    </row>
    <row r="13" spans="1:12">
      <c r="A13">
        <f>results!B32</f>
        <v>74.648678697571981</v>
      </c>
      <c r="B13">
        <f>results!C32</f>
        <v>1343.0093549852188</v>
      </c>
      <c r="I13" t="s">
        <v>142</v>
      </c>
      <c r="J13" s="19">
        <v>-0.75519999999999998</v>
      </c>
      <c r="K13" t="s">
        <v>143</v>
      </c>
      <c r="L13" s="19">
        <v>-0.25580000000000003</v>
      </c>
    </row>
    <row r="14" spans="1:12">
      <c r="K14" t="s">
        <v>142</v>
      </c>
      <c r="L14" s="19">
        <v>-0.56240000000000001</v>
      </c>
    </row>
    <row r="18" spans="1:3">
      <c r="C18" s="25"/>
    </row>
    <row r="19" spans="1:3">
      <c r="C19" s="25"/>
    </row>
    <row r="29" spans="1:3">
      <c r="A29" s="48"/>
    </row>
    <row r="42" spans="1:1">
      <c r="A42" s="62"/>
    </row>
    <row r="56" spans="1:2">
      <c r="A56" s="48"/>
    </row>
    <row r="59" spans="1:2">
      <c r="B59" s="44"/>
    </row>
  </sheetData>
  <mergeCells count="1">
    <mergeCell ref="K1:L1"/>
  </mergeCells>
  <phoneticPr fontId="11" type="noConversion"/>
  <pageMargins left="0.69930555555555596" right="0.69930555555555596"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H29"/>
  <sheetViews>
    <sheetView workbookViewId="0">
      <selection activeCell="C31" sqref="C31"/>
    </sheetView>
  </sheetViews>
  <sheetFormatPr defaultColWidth="9" defaultRowHeight="15"/>
  <cols>
    <col min="1" max="1" width="24.85546875" customWidth="1"/>
    <col min="2" max="2" width="27.7109375" customWidth="1"/>
    <col min="3" max="3" width="31.7109375" customWidth="1"/>
    <col min="4" max="4" width="21.42578125" customWidth="1"/>
    <col min="5" max="5" width="20.140625" customWidth="1"/>
    <col min="6" max="6" width="20" customWidth="1"/>
    <col min="8" max="8" width="20.28515625" customWidth="1"/>
  </cols>
  <sheetData>
    <row r="1" spans="1:8">
      <c r="A1" s="2"/>
      <c r="B1" s="4" t="str">
        <f>'material inventory'!K2</f>
        <v>Primary energy consumption</v>
      </c>
      <c r="C1" s="4" t="str">
        <f>'material inventory'!J2</f>
        <v>Carbon footprint</v>
      </c>
      <c r="E1" s="4"/>
      <c r="F1" s="5"/>
      <c r="G1" s="4"/>
      <c r="H1" s="4"/>
    </row>
    <row r="2" spans="1:8">
      <c r="A2" s="6" t="s">
        <v>32</v>
      </c>
      <c r="B2" s="6">
        <v>0</v>
      </c>
      <c r="C2" s="6">
        <v>0</v>
      </c>
      <c r="E2" s="8"/>
      <c r="F2" s="7"/>
      <c r="G2" s="6"/>
      <c r="H2" s="7"/>
    </row>
    <row r="3" spans="1:8" s="1" customFormat="1">
      <c r="A3" s="6" t="s">
        <v>35</v>
      </c>
      <c r="B3" s="6">
        <v>0</v>
      </c>
      <c r="C3" s="6">
        <v>0</v>
      </c>
      <c r="E3" s="8"/>
      <c r="F3" s="7"/>
      <c r="G3" s="6"/>
      <c r="H3" s="7"/>
    </row>
    <row r="4" spans="1:8" s="1" customFormat="1">
      <c r="A4" s="6" t="s">
        <v>37</v>
      </c>
      <c r="B4" s="6">
        <v>0</v>
      </c>
      <c r="C4" s="6">
        <v>0</v>
      </c>
      <c r="E4" s="8"/>
      <c r="F4" s="7"/>
      <c r="G4" s="6"/>
      <c r="H4" s="7"/>
    </row>
    <row r="5" spans="1:8" s="1" customFormat="1">
      <c r="A5" s="6" t="s">
        <v>39</v>
      </c>
      <c r="B5" s="6">
        <v>0</v>
      </c>
      <c r="C5" s="6">
        <v>0</v>
      </c>
      <c r="E5" s="8"/>
      <c r="F5" s="7"/>
      <c r="G5" s="6"/>
      <c r="H5" s="7"/>
    </row>
    <row r="6" spans="1:8" s="1" customFormat="1">
      <c r="A6" s="6" t="s">
        <v>41</v>
      </c>
      <c r="B6" s="6">
        <v>0</v>
      </c>
      <c r="C6" s="6">
        <v>0</v>
      </c>
      <c r="E6" s="8"/>
      <c r="F6" s="7"/>
      <c r="G6" s="6"/>
      <c r="H6" s="7"/>
    </row>
    <row r="7" spans="1:8" s="1" customFormat="1">
      <c r="A7" s="6" t="s">
        <v>194</v>
      </c>
      <c r="B7" s="6">
        <v>0</v>
      </c>
      <c r="C7" s="6">
        <v>0</v>
      </c>
      <c r="E7" s="8"/>
      <c r="F7" s="7"/>
      <c r="G7" s="6"/>
      <c r="H7" s="7"/>
    </row>
    <row r="8" spans="1:8" s="1" customFormat="1">
      <c r="A8" s="6" t="s">
        <v>45</v>
      </c>
      <c r="B8" s="6">
        <v>0</v>
      </c>
      <c r="C8" s="6">
        <v>0</v>
      </c>
      <c r="E8" s="11"/>
      <c r="F8" s="10"/>
      <c r="G8" s="9"/>
      <c r="H8" s="10"/>
    </row>
    <row r="9" spans="1:8" s="1" customFormat="1">
      <c r="A9" s="9" t="s">
        <v>195</v>
      </c>
      <c r="B9" s="9">
        <f>results!C10</f>
        <v>6.2763408474757407E-2</v>
      </c>
      <c r="C9" s="9">
        <f>results!B10</f>
        <v>5.2781509508930801E-3</v>
      </c>
      <c r="E9" s="11"/>
      <c r="F9" s="10"/>
      <c r="G9" s="9"/>
      <c r="H9" s="10"/>
    </row>
    <row r="10" spans="1:8">
      <c r="A10" s="9" t="s">
        <v>47</v>
      </c>
      <c r="B10" s="9">
        <f>results!C11</f>
        <v>0.1846893663970838</v>
      </c>
      <c r="C10" s="9">
        <f>results!B11</f>
        <v>6.7902299613866682E-3</v>
      </c>
      <c r="E10" s="12"/>
      <c r="F10" s="3"/>
      <c r="G10" s="2"/>
      <c r="H10" s="2"/>
    </row>
    <row r="11" spans="1:8">
      <c r="A11" s="9" t="s">
        <v>196</v>
      </c>
      <c r="B11" s="9">
        <f>results!C12</f>
        <v>1.3688443144771683</v>
      </c>
      <c r="C11" s="9">
        <f>results!B12</f>
        <v>6.4442149153297573E-2</v>
      </c>
      <c r="E11" s="12"/>
      <c r="F11" s="3"/>
      <c r="G11" s="2"/>
      <c r="H11" s="2"/>
    </row>
    <row r="12" spans="1:8">
      <c r="A12" s="9" t="s">
        <v>50</v>
      </c>
      <c r="B12" s="9">
        <f>results!C13</f>
        <v>1.8870770104736083</v>
      </c>
      <c r="C12" s="9">
        <f>results!B13</f>
        <v>5.7089582270140764E-2</v>
      </c>
      <c r="E12" s="12"/>
      <c r="F12" s="3"/>
      <c r="G12" s="2"/>
      <c r="H12" s="2"/>
    </row>
    <row r="13" spans="1:8">
      <c r="A13" s="9" t="s">
        <v>74</v>
      </c>
      <c r="B13" s="9">
        <f>results!C14</f>
        <v>5.4955341728023827E-2</v>
      </c>
      <c r="C13" s="9">
        <f>results!B14</f>
        <v>1.3551209999999999E-3</v>
      </c>
      <c r="E13" s="12"/>
      <c r="F13" s="3"/>
      <c r="G13" s="2"/>
      <c r="H13" s="2"/>
    </row>
    <row r="14" spans="1:8">
      <c r="A14" s="9" t="s">
        <v>53</v>
      </c>
      <c r="B14" s="9">
        <f>results!C15</f>
        <v>3.2878661442403283</v>
      </c>
      <c r="C14" s="9">
        <f>results!B15</f>
        <v>0.194226136277663</v>
      </c>
      <c r="E14" s="12"/>
      <c r="F14" s="3"/>
      <c r="G14" s="2"/>
      <c r="H14" s="2"/>
    </row>
    <row r="15" spans="1:8">
      <c r="A15" s="6" t="s">
        <v>197</v>
      </c>
      <c r="B15" s="6">
        <f>results!C16*0.18</f>
        <v>1.8712824890941438E-2</v>
      </c>
      <c r="C15" s="6">
        <f>results!B16*0.18</f>
        <v>1.3013102592E-3</v>
      </c>
      <c r="E15" s="12"/>
      <c r="F15" s="3"/>
      <c r="G15" s="2"/>
      <c r="H15" s="2"/>
    </row>
    <row r="16" spans="1:8">
      <c r="A16" s="6"/>
      <c r="B16" s="25">
        <f>SUM(B2:B15)</f>
        <v>6.8649084106819105</v>
      </c>
      <c r="C16">
        <f>SUM(C2:C15)</f>
        <v>0.33048267987258106</v>
      </c>
      <c r="E16" s="12"/>
      <c r="F16" s="3"/>
      <c r="G16" s="2"/>
      <c r="H16" s="3"/>
    </row>
    <row r="17" spans="1:8">
      <c r="E17" s="2"/>
      <c r="F17" s="2"/>
      <c r="G17" s="2"/>
      <c r="H17" s="2"/>
    </row>
    <row r="18" spans="1:8">
      <c r="A18" s="9"/>
      <c r="B18" s="5" t="str">
        <f>'energy consumption'!O5</f>
        <v>Primary energy consumption</v>
      </c>
      <c r="C18" s="5" t="str">
        <f>'energy consumption'!N5</f>
        <v>Carbon footprint</v>
      </c>
      <c r="D18" s="2"/>
    </row>
    <row r="19" spans="1:8">
      <c r="A19" s="13" t="s">
        <v>92</v>
      </c>
      <c r="B19" s="3">
        <f>results!C19</f>
        <v>49.96641093677313</v>
      </c>
      <c r="C19" s="3">
        <f>results!B19</f>
        <v>2.8396800022717437</v>
      </c>
      <c r="D19" t="s">
        <v>145</v>
      </c>
    </row>
    <row r="20" spans="1:8">
      <c r="A20" s="13" t="s">
        <v>93</v>
      </c>
      <c r="B20" s="6">
        <v>0</v>
      </c>
      <c r="C20" s="6">
        <v>0</v>
      </c>
    </row>
    <row r="21" spans="1:8">
      <c r="A21" s="13" t="s">
        <v>184</v>
      </c>
      <c r="B21" s="6">
        <v>0</v>
      </c>
      <c r="C21" s="6">
        <v>0</v>
      </c>
    </row>
    <row r="22" spans="1:8">
      <c r="A22" s="13" t="s">
        <v>98</v>
      </c>
      <c r="B22" s="6">
        <v>0</v>
      </c>
      <c r="C22" s="6">
        <v>0</v>
      </c>
    </row>
    <row r="23" spans="1:8">
      <c r="A23" s="13" t="s">
        <v>185</v>
      </c>
      <c r="B23" s="3">
        <f>results!C23</f>
        <v>1.4881863036072136</v>
      </c>
      <c r="C23" s="3">
        <f>results!B23</f>
        <v>8.4576274476780081E-2</v>
      </c>
    </row>
    <row r="24" spans="1:8">
      <c r="A24" s="13" t="s">
        <v>186</v>
      </c>
      <c r="B24" s="3">
        <f>results!C24</f>
        <v>74.409315180360679</v>
      </c>
      <c r="C24" s="3">
        <f>results!B24</f>
        <v>4.2288137238390036</v>
      </c>
    </row>
    <row r="25" spans="1:8">
      <c r="A25" s="13" t="s">
        <v>187</v>
      </c>
      <c r="B25" s="3">
        <f>results!C25</f>
        <v>29.979846562063884</v>
      </c>
      <c r="C25" s="3">
        <f>results!B25</f>
        <v>1.7038080013630463</v>
      </c>
    </row>
    <row r="26" spans="1:8">
      <c r="A26" s="13" t="s">
        <v>188</v>
      </c>
      <c r="B26" s="3">
        <f>results!C26</f>
        <v>40.181030197394769</v>
      </c>
      <c r="C26" s="3">
        <f>results!B26</f>
        <v>2.2835594108730621</v>
      </c>
    </row>
    <row r="27" spans="1:8">
      <c r="A27" s="13" t="s">
        <v>199</v>
      </c>
      <c r="B27" s="3">
        <f>results!C27</f>
        <v>97.156910154836652</v>
      </c>
      <c r="C27" s="3">
        <f>results!B27</f>
        <v>5.5216000044172793</v>
      </c>
    </row>
    <row r="28" spans="1:8">
      <c r="A28" s="6" t="str">
        <f>'energy consumption'!M26</f>
        <v>UV/O3 cleaning</v>
      </c>
      <c r="B28" s="7">
        <f>'energy consumption'!O26</f>
        <v>0.28730686288644547</v>
      </c>
      <c r="C28" s="7">
        <f>'energy consumption'!N26</f>
        <v>1.6328160013062525E-2</v>
      </c>
    </row>
    <row r="29" spans="1:8">
      <c r="B29" s="25">
        <f>SUM(B19:B28)</f>
        <v>293.46900619792279</v>
      </c>
      <c r="C29">
        <f>SUM(C19:C28)</f>
        <v>16.678365577253981</v>
      </c>
    </row>
  </sheetData>
  <phoneticPr fontId="11" type="noConversion"/>
  <pageMargins left="0.69930555555555596" right="0.69930555555555596"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F7291-EB29-439A-846D-3492AD93D82D}">
  <sheetPr codeName="Sheet7"/>
  <dimension ref="A1:AB48"/>
  <sheetViews>
    <sheetView workbookViewId="0">
      <pane xSplit="1" topLeftCell="B1" activePane="topRight" state="frozen"/>
      <selection pane="topRight" activeCell="G12" sqref="G12"/>
    </sheetView>
  </sheetViews>
  <sheetFormatPr defaultColWidth="9" defaultRowHeight="15"/>
  <cols>
    <col min="1" max="1" width="17.5703125" style="2" customWidth="1"/>
    <col min="2" max="2" width="24" style="2" customWidth="1"/>
    <col min="3" max="6" width="20.7109375" style="2" customWidth="1"/>
    <col min="7" max="8" width="19.5703125" style="2" customWidth="1"/>
    <col min="9" max="10" width="21.140625" style="2" customWidth="1"/>
    <col min="11" max="12" width="19.42578125" style="2" customWidth="1"/>
    <col min="13" max="14" width="20.42578125" style="2" customWidth="1"/>
    <col min="15" max="16" width="20.28515625" style="2" customWidth="1"/>
    <col min="17" max="22" width="21.140625" style="2" customWidth="1"/>
    <col min="23" max="28" width="19.42578125" style="2" customWidth="1"/>
    <col min="29" max="16384" width="9" style="2"/>
  </cols>
  <sheetData>
    <row r="1" spans="1:28" s="34" customFormat="1">
      <c r="C1" s="144" t="s">
        <v>152</v>
      </c>
      <c r="D1" s="144"/>
      <c r="E1" s="144" t="s">
        <v>153</v>
      </c>
      <c r="F1" s="144"/>
      <c r="G1" s="144" t="s">
        <v>154</v>
      </c>
      <c r="H1" s="144"/>
      <c r="I1" s="144" t="s">
        <v>156</v>
      </c>
      <c r="J1" s="144"/>
      <c r="K1" s="144" t="s">
        <v>157</v>
      </c>
      <c r="L1" s="144"/>
      <c r="M1" s="144" t="s">
        <v>158</v>
      </c>
      <c r="N1" s="144"/>
      <c r="O1" s="144" t="s">
        <v>159</v>
      </c>
      <c r="P1" s="144"/>
      <c r="Q1" s="144" t="s">
        <v>160</v>
      </c>
      <c r="R1" s="144"/>
      <c r="S1" s="144" t="s">
        <v>161</v>
      </c>
      <c r="T1" s="144"/>
      <c r="U1" s="144" t="s">
        <v>162</v>
      </c>
      <c r="V1" s="144"/>
      <c r="W1" s="144" t="s">
        <v>165</v>
      </c>
      <c r="X1" s="144"/>
      <c r="Y1" s="144" t="s">
        <v>166</v>
      </c>
      <c r="Z1" s="144"/>
      <c r="AA1" s="144" t="s">
        <v>167</v>
      </c>
      <c r="AB1" s="144"/>
    </row>
    <row r="2" spans="1:28" s="34" customFormat="1">
      <c r="C2" s="34" t="s">
        <v>147</v>
      </c>
      <c r="D2" s="34" t="s">
        <v>149</v>
      </c>
      <c r="E2" s="34" t="s">
        <v>147</v>
      </c>
      <c r="F2" s="34" t="s">
        <v>149</v>
      </c>
      <c r="G2" s="34" t="s">
        <v>147</v>
      </c>
      <c r="H2" s="34" t="s">
        <v>149</v>
      </c>
      <c r="I2" s="34" t="s">
        <v>146</v>
      </c>
      <c r="J2" s="34" t="s">
        <v>148</v>
      </c>
      <c r="K2" s="34" t="s">
        <v>146</v>
      </c>
      <c r="L2" s="34" t="s">
        <v>148</v>
      </c>
      <c r="M2" s="34" t="s">
        <v>146</v>
      </c>
      <c r="N2" s="34" t="s">
        <v>148</v>
      </c>
      <c r="O2" s="34" t="s">
        <v>146</v>
      </c>
      <c r="P2" s="34" t="s">
        <v>148</v>
      </c>
      <c r="Q2" s="34" t="s">
        <v>146</v>
      </c>
      <c r="R2" s="34" t="s">
        <v>148</v>
      </c>
      <c r="S2" s="34" t="s">
        <v>146</v>
      </c>
      <c r="T2" s="34" t="s">
        <v>148</v>
      </c>
      <c r="U2" s="34" t="s">
        <v>146</v>
      </c>
      <c r="V2" s="34" t="s">
        <v>148</v>
      </c>
      <c r="W2" s="34" t="s">
        <v>146</v>
      </c>
      <c r="X2" s="34" t="s">
        <v>148</v>
      </c>
      <c r="Y2" s="34" t="s">
        <v>146</v>
      </c>
      <c r="Z2" s="34" t="s">
        <v>148</v>
      </c>
      <c r="AA2" s="34" t="s">
        <v>146</v>
      </c>
      <c r="AB2" s="34" t="s">
        <v>148</v>
      </c>
    </row>
    <row r="3" spans="1:28" s="34" customFormat="1">
      <c r="B3" s="34" t="s">
        <v>155</v>
      </c>
      <c r="C3" s="34">
        <v>0</v>
      </c>
      <c r="D3" s="34">
        <v>0</v>
      </c>
      <c r="E3" s="35">
        <v>1</v>
      </c>
      <c r="F3" s="35">
        <v>1</v>
      </c>
      <c r="G3" s="35">
        <v>1</v>
      </c>
      <c r="H3" s="35">
        <v>0.95</v>
      </c>
      <c r="I3" s="35">
        <v>1</v>
      </c>
      <c r="J3" s="35">
        <v>0.9</v>
      </c>
      <c r="K3" s="35">
        <v>0.9</v>
      </c>
      <c r="L3" s="35">
        <v>1</v>
      </c>
      <c r="M3" s="35">
        <v>0.9</v>
      </c>
      <c r="N3" s="35">
        <v>0.95</v>
      </c>
      <c r="O3" s="35">
        <v>0.9</v>
      </c>
      <c r="P3" s="35">
        <v>0.9</v>
      </c>
      <c r="Q3" s="35">
        <v>0.8</v>
      </c>
      <c r="R3" s="35">
        <v>1</v>
      </c>
      <c r="S3" s="35">
        <v>0.8</v>
      </c>
      <c r="T3" s="35">
        <v>0.95</v>
      </c>
      <c r="U3" s="35">
        <v>0.8</v>
      </c>
      <c r="V3" s="35">
        <v>0.9</v>
      </c>
      <c r="W3" s="35">
        <v>0.7</v>
      </c>
      <c r="X3" s="35">
        <v>1</v>
      </c>
      <c r="Y3" s="35">
        <v>0.7</v>
      </c>
      <c r="Z3" s="35">
        <v>0.95</v>
      </c>
      <c r="AA3" s="35">
        <v>0.7</v>
      </c>
      <c r="AB3" s="35">
        <v>0.9</v>
      </c>
    </row>
    <row r="4" spans="1:28" s="34" customFormat="1">
      <c r="C4" s="34" t="s">
        <v>9</v>
      </c>
      <c r="D4" s="34" t="s">
        <v>10</v>
      </c>
      <c r="E4" s="34" t="s">
        <v>9</v>
      </c>
      <c r="F4" s="34" t="s">
        <v>10</v>
      </c>
      <c r="G4" s="34" t="s">
        <v>9</v>
      </c>
      <c r="H4" s="34" t="s">
        <v>10</v>
      </c>
      <c r="I4" s="34" t="s">
        <v>9</v>
      </c>
      <c r="J4" s="34" t="s">
        <v>10</v>
      </c>
      <c r="K4" s="34" t="s">
        <v>9</v>
      </c>
      <c r="L4" s="34" t="s">
        <v>10</v>
      </c>
      <c r="M4" s="34" t="s">
        <v>9</v>
      </c>
      <c r="N4" s="34" t="s">
        <v>10</v>
      </c>
      <c r="O4" s="34" t="s">
        <v>9</v>
      </c>
      <c r="P4" s="34" t="s">
        <v>10</v>
      </c>
      <c r="Q4" s="34" t="s">
        <v>9</v>
      </c>
      <c r="R4" s="34" t="s">
        <v>10</v>
      </c>
      <c r="S4" s="34" t="s">
        <v>9</v>
      </c>
      <c r="T4" s="34" t="s">
        <v>10</v>
      </c>
      <c r="U4" s="34" t="s">
        <v>9</v>
      </c>
      <c r="V4" s="34" t="s">
        <v>10</v>
      </c>
      <c r="W4" s="34" t="s">
        <v>9</v>
      </c>
      <c r="X4" s="34" t="s">
        <v>10</v>
      </c>
      <c r="Y4" s="34" t="s">
        <v>9</v>
      </c>
      <c r="Z4" s="34" t="s">
        <v>10</v>
      </c>
      <c r="AA4" s="34" t="s">
        <v>9</v>
      </c>
      <c r="AB4" s="34" t="s">
        <v>10</v>
      </c>
    </row>
    <row r="5" spans="1:28" s="36" customFormat="1">
      <c r="A5" s="135" t="s">
        <v>150</v>
      </c>
      <c r="B5" s="36" t="s">
        <v>32</v>
      </c>
      <c r="C5" s="36">
        <f>results!B2</f>
        <v>3.4780676817599994</v>
      </c>
      <c r="D5" s="36">
        <f>results!C2</f>
        <v>85.029036949120112</v>
      </c>
      <c r="E5" s="36">
        <f>$C$5*(1-E3)</f>
        <v>0</v>
      </c>
      <c r="F5" s="36">
        <f>$D$5*(1-E3)</f>
        <v>0</v>
      </c>
      <c r="G5" s="36">
        <f>$C$5*(1-G3)</f>
        <v>0</v>
      </c>
      <c r="H5" s="36">
        <f>$D$5*(1-G3)</f>
        <v>0</v>
      </c>
      <c r="I5" s="36">
        <f>$C$5*(1-I3)</f>
        <v>0</v>
      </c>
      <c r="J5" s="36">
        <f>$D$5*(1-I3)</f>
        <v>0</v>
      </c>
      <c r="K5" s="36">
        <f>$C$5*(1-K3)</f>
        <v>0.34780676817599987</v>
      </c>
      <c r="L5" s="36">
        <f>$D$5*(1-K3)</f>
        <v>8.5029036949120087</v>
      </c>
      <c r="M5" s="36">
        <f>$C$5*(1-M3)</f>
        <v>0.34780676817599987</v>
      </c>
      <c r="N5" s="36">
        <f>$D$5*(1-M3)</f>
        <v>8.5029036949120087</v>
      </c>
      <c r="O5" s="36">
        <f>$C$5*(1-O3)</f>
        <v>0.34780676817599987</v>
      </c>
      <c r="P5" s="36">
        <f>$D$5*(1-O3)</f>
        <v>8.5029036949120087</v>
      </c>
      <c r="Q5" s="36">
        <f>$C$5*(1-Q3)</f>
        <v>0.69561353635199974</v>
      </c>
      <c r="R5" s="36">
        <f>$D$5*(1-Q3)</f>
        <v>17.005807389824017</v>
      </c>
      <c r="S5" s="36">
        <f>$C$5*(1-S3)</f>
        <v>0.69561353635199974</v>
      </c>
      <c r="T5" s="36">
        <f>$D$5*(1-S3)</f>
        <v>17.005807389824017</v>
      </c>
      <c r="U5" s="36">
        <f>$C$5*(1-U3)</f>
        <v>0.69561353635199974</v>
      </c>
      <c r="V5" s="36">
        <f>$D$5*(1-U3)</f>
        <v>17.005807389824017</v>
      </c>
      <c r="W5" s="36">
        <f>$C$5*(1-W3)</f>
        <v>1.0434203045279999</v>
      </c>
      <c r="X5" s="36">
        <f>$D$5*(1-W3)</f>
        <v>25.508711084736039</v>
      </c>
      <c r="Y5" s="36">
        <f>$C$5*(1-Y3)</f>
        <v>1.0434203045279999</v>
      </c>
      <c r="Z5" s="36">
        <f>$D$5*(1-Y3)</f>
        <v>25.508711084736039</v>
      </c>
      <c r="AA5" s="36">
        <f>$C$5*(1-AA3)</f>
        <v>1.0434203045279999</v>
      </c>
      <c r="AB5" s="36">
        <f>$D$5*(1-AA3)</f>
        <v>25.508711084736039</v>
      </c>
    </row>
    <row r="6" spans="1:28" s="36" customFormat="1">
      <c r="A6" s="135"/>
      <c r="B6" s="36" t="s">
        <v>35</v>
      </c>
      <c r="C6" s="36">
        <f>results!B3</f>
        <v>3.6278153E-4</v>
      </c>
      <c r="D6" s="36">
        <f>results!C3</f>
        <v>4.1800508549599998E-3</v>
      </c>
      <c r="E6" s="36">
        <f>$C$6*(1-E3)</f>
        <v>0</v>
      </c>
      <c r="F6" s="36">
        <f>$D$6*(1-E3)</f>
        <v>0</v>
      </c>
      <c r="G6" s="36">
        <f>$C$6*(1-G3)</f>
        <v>0</v>
      </c>
      <c r="H6" s="36">
        <f>$D$6*(1-G3)</f>
        <v>0</v>
      </c>
      <c r="I6" s="36">
        <f>$C$6*(1-I3)</f>
        <v>0</v>
      </c>
      <c r="J6" s="36">
        <f>$D$6*(1-I3)</f>
        <v>0</v>
      </c>
      <c r="K6" s="36">
        <f>$C$6*(1-K3)</f>
        <v>3.6278152999999992E-5</v>
      </c>
      <c r="L6" s="36">
        <f>$D$6*(1-K3)</f>
        <v>4.1800508549599987E-4</v>
      </c>
      <c r="M6" s="36">
        <f>$C$6*(1-M3)</f>
        <v>3.6278152999999992E-5</v>
      </c>
      <c r="N6" s="36">
        <f>$D$6*(1-M3)</f>
        <v>4.1800508549599987E-4</v>
      </c>
      <c r="O6" s="36">
        <f>$C$6*(1-O3)</f>
        <v>3.6278152999999992E-5</v>
      </c>
      <c r="P6" s="36">
        <f>$D$6*(1-O3)</f>
        <v>4.1800508549599987E-4</v>
      </c>
      <c r="Q6" s="36">
        <f>$C$6*(1-Q3)</f>
        <v>7.2556305999999985E-5</v>
      </c>
      <c r="R6" s="36">
        <f>$D$6*(1-Q3)</f>
        <v>8.3601017099199973E-4</v>
      </c>
      <c r="S6" s="36">
        <f>$C$6*(1-S3)</f>
        <v>7.2556305999999985E-5</v>
      </c>
      <c r="T6" s="36">
        <f>$D$6*(1-S3)</f>
        <v>8.3601017099199973E-4</v>
      </c>
      <c r="U6" s="36">
        <f>$C$6*(1-U3)</f>
        <v>7.2556305999999985E-5</v>
      </c>
      <c r="V6" s="36">
        <f>$D$6*(1-U3)</f>
        <v>8.3601017099199973E-4</v>
      </c>
      <c r="W6" s="36">
        <f>$C$6*(1-W3)</f>
        <v>1.0883445900000002E-4</v>
      </c>
      <c r="X6" s="36">
        <f>$D$6*(1-W3)</f>
        <v>1.2540152564880001E-3</v>
      </c>
      <c r="Y6" s="36">
        <f>$C$6*(1-Y3)</f>
        <v>1.0883445900000002E-4</v>
      </c>
      <c r="Z6" s="36">
        <f>$D$6*(1-Y3)</f>
        <v>1.2540152564880001E-3</v>
      </c>
      <c r="AA6" s="36">
        <f>$C$6*(1-AA3)</f>
        <v>1.0883445900000002E-4</v>
      </c>
      <c r="AB6" s="36">
        <f>$D$6*(1-AA3)</f>
        <v>1.2540152564880001E-3</v>
      </c>
    </row>
    <row r="7" spans="1:28" s="36" customFormat="1">
      <c r="A7" s="135"/>
      <c r="B7" s="36" t="s">
        <v>37</v>
      </c>
      <c r="C7" s="36">
        <f>results!B4</f>
        <v>3.2090210384615382E-4</v>
      </c>
      <c r="D7" s="36">
        <f>results!C4</f>
        <v>4.6518874375235586E-3</v>
      </c>
      <c r="E7" s="36">
        <f>$C$7*(1-E3)</f>
        <v>0</v>
      </c>
      <c r="F7" s="36">
        <f>$D$7*(1-E3)</f>
        <v>0</v>
      </c>
      <c r="G7" s="36">
        <f>$C$7*(1-G3)</f>
        <v>0</v>
      </c>
      <c r="H7" s="36">
        <f>$D$7*(1-G3)</f>
        <v>0</v>
      </c>
      <c r="I7" s="36">
        <f>$C$7*(1-I3)</f>
        <v>0</v>
      </c>
      <c r="J7" s="36">
        <f>$D$7*(1-I3)</f>
        <v>0</v>
      </c>
      <c r="K7" s="36">
        <f>$C$7*(1-K3)</f>
        <v>3.2090210384615375E-5</v>
      </c>
      <c r="L7" s="36">
        <f>$D$7*(1-K3)</f>
        <v>4.6518874375235577E-4</v>
      </c>
      <c r="M7" s="36">
        <f>$C$7*(1-M3)</f>
        <v>3.2090210384615375E-5</v>
      </c>
      <c r="N7" s="36">
        <f>$D$7*(1-M3)</f>
        <v>4.6518874375235577E-4</v>
      </c>
      <c r="O7" s="36">
        <f>$C$7*(1-O3)</f>
        <v>3.2090210384615375E-5</v>
      </c>
      <c r="P7" s="36">
        <f>$D$7*(1-O3)</f>
        <v>4.6518874375235577E-4</v>
      </c>
      <c r="Q7" s="36">
        <f>$C$7*(1-Q3)</f>
        <v>6.4180420769230749E-5</v>
      </c>
      <c r="R7" s="36">
        <f>$D$7*(1-Q3)</f>
        <v>9.3037748750471154E-4</v>
      </c>
      <c r="S7" s="36">
        <f>$C$7*(1-S3)</f>
        <v>6.4180420769230749E-5</v>
      </c>
      <c r="T7" s="36">
        <f>$D$7*(1-S3)</f>
        <v>9.3037748750471154E-4</v>
      </c>
      <c r="U7" s="36">
        <f>$C$7*(1-U3)</f>
        <v>6.4180420769230749E-5</v>
      </c>
      <c r="V7" s="36">
        <f>$D$7*(1-U3)</f>
        <v>9.3037748750471154E-4</v>
      </c>
      <c r="W7" s="36">
        <f>$C$7*(1-W3)</f>
        <v>9.6270631153846158E-5</v>
      </c>
      <c r="X7" s="36">
        <f>$D$7*(1-W3)</f>
        <v>1.3955662312570677E-3</v>
      </c>
      <c r="Y7" s="36">
        <f>$C$7*(1-Y3)</f>
        <v>9.6270631153846158E-5</v>
      </c>
      <c r="Z7" s="36">
        <f>$D$7*(1-Y3)</f>
        <v>1.3955662312570677E-3</v>
      </c>
      <c r="AA7" s="36">
        <f>$C$7*(1-AA3)</f>
        <v>9.6270631153846158E-5</v>
      </c>
      <c r="AB7" s="36">
        <f>$D$7*(1-AA3)</f>
        <v>1.3955662312570677E-3</v>
      </c>
    </row>
    <row r="8" spans="1:28" s="36" customFormat="1">
      <c r="A8" s="135"/>
      <c r="B8" s="36" t="s">
        <v>39</v>
      </c>
      <c r="C8" s="36">
        <f>results!B5</f>
        <v>7.2135383999999997E-2</v>
      </c>
      <c r="D8" s="36">
        <f>results!C5</f>
        <v>2.1431605553400002</v>
      </c>
      <c r="E8" s="36">
        <f>$C$8*(1-E3)</f>
        <v>0</v>
      </c>
      <c r="F8" s="36">
        <f>$D$8*(1-E3)</f>
        <v>0</v>
      </c>
      <c r="G8" s="36">
        <f>$C$8*(1-G3)</f>
        <v>0</v>
      </c>
      <c r="H8" s="36">
        <f>$D$8*(1-G3)</f>
        <v>0</v>
      </c>
      <c r="I8" s="36">
        <f>$C$8*(1-I3)</f>
        <v>0</v>
      </c>
      <c r="J8" s="36">
        <f>$D$8*(1-I3)</f>
        <v>0</v>
      </c>
      <c r="K8" s="36">
        <f>$C$8*(1-K3)</f>
        <v>7.2135383999999978E-3</v>
      </c>
      <c r="L8" s="36">
        <f>$D$8*(1-K3)</f>
        <v>0.21431605553399996</v>
      </c>
      <c r="M8" s="36">
        <f>$C$8*(1-M3)</f>
        <v>7.2135383999999978E-3</v>
      </c>
      <c r="N8" s="36">
        <f>$D$8*(1-M3)</f>
        <v>0.21431605553399996</v>
      </c>
      <c r="O8" s="36">
        <f>$C$8*(1-O3)</f>
        <v>7.2135383999999978E-3</v>
      </c>
      <c r="P8" s="36">
        <f>$D$8*(1-O3)</f>
        <v>0.21431605553399996</v>
      </c>
      <c r="Q8" s="36">
        <f>$C$8*(1-Q3)</f>
        <v>1.4427076799999996E-2</v>
      </c>
      <c r="R8" s="36">
        <f>$D$8*(1-Q3)</f>
        <v>0.42863211106799992</v>
      </c>
      <c r="S8" s="36">
        <f>$C$8*(1-S3)</f>
        <v>1.4427076799999996E-2</v>
      </c>
      <c r="T8" s="36">
        <f>$D$8*(1-S3)</f>
        <v>0.42863211106799992</v>
      </c>
      <c r="U8" s="36">
        <f>$C$8*(1-U3)</f>
        <v>1.4427076799999996E-2</v>
      </c>
      <c r="V8" s="36">
        <f>$D$8*(1-U3)</f>
        <v>0.42863211106799992</v>
      </c>
      <c r="W8" s="36">
        <f>$C$8*(1-W3)</f>
        <v>2.1640615200000001E-2</v>
      </c>
      <c r="X8" s="36">
        <f>$D$8*(1-W3)</f>
        <v>0.64294816660200016</v>
      </c>
      <c r="Y8" s="36">
        <f>$C$8*(1-Y3)</f>
        <v>2.1640615200000001E-2</v>
      </c>
      <c r="Z8" s="36">
        <f>$D$8*(1-Y3)</f>
        <v>0.64294816660200016</v>
      </c>
      <c r="AA8" s="36">
        <f>$C$8*(1-AA3)</f>
        <v>2.1640615200000001E-2</v>
      </c>
      <c r="AB8" s="36">
        <f>$D$8*(1-AA3)</f>
        <v>0.64294816660200016</v>
      </c>
    </row>
    <row r="9" spans="1:28" s="36" customFormat="1">
      <c r="A9" s="135"/>
      <c r="B9" s="36" t="s">
        <v>41</v>
      </c>
      <c r="C9" s="36">
        <f>results!B6</f>
        <v>1.13833164E-4</v>
      </c>
      <c r="D9" s="36">
        <f>results!C6</f>
        <v>1.5662186060912001E-3</v>
      </c>
      <c r="E9" s="36">
        <f>$C$9*(1-E3)</f>
        <v>0</v>
      </c>
      <c r="F9" s="36">
        <f>$D$9*(1-E3)</f>
        <v>0</v>
      </c>
      <c r="G9" s="36">
        <f>$C$9*(1-G3)</f>
        <v>0</v>
      </c>
      <c r="H9" s="36">
        <f>$D$9*(1-G3)</f>
        <v>0</v>
      </c>
      <c r="I9" s="36">
        <f>$C$9*(1-I3)</f>
        <v>0</v>
      </c>
      <c r="J9" s="36">
        <f>$D$9*(1-I3)</f>
        <v>0</v>
      </c>
      <c r="K9" s="36">
        <f>$C$9*(1-K3)</f>
        <v>1.1383316399999998E-5</v>
      </c>
      <c r="L9" s="36">
        <f>$D$9*(1-K3)</f>
        <v>1.5662186060911998E-4</v>
      </c>
      <c r="M9" s="36">
        <f>$C$9*(1-M3)</f>
        <v>1.1383316399999998E-5</v>
      </c>
      <c r="N9" s="36">
        <f>$D$9*(1-M3)</f>
        <v>1.5662186060911998E-4</v>
      </c>
      <c r="O9" s="36">
        <f>$C$9*(1-O3)</f>
        <v>1.1383316399999998E-5</v>
      </c>
      <c r="P9" s="36">
        <f>$D$9*(1-O3)</f>
        <v>1.5662186060911998E-4</v>
      </c>
      <c r="Q9" s="36">
        <f>$C$9*(1-Q3)</f>
        <v>2.2766632799999997E-5</v>
      </c>
      <c r="R9" s="36">
        <f>$D$9*(1-Q3)</f>
        <v>3.1324372121823996E-4</v>
      </c>
      <c r="S9" s="36">
        <f>$C$9*(1-S3)</f>
        <v>2.2766632799999997E-5</v>
      </c>
      <c r="T9" s="36">
        <f>$D$9*(1-S3)</f>
        <v>3.1324372121823996E-4</v>
      </c>
      <c r="U9" s="36">
        <f>$C$9*(1-U3)</f>
        <v>2.2766632799999997E-5</v>
      </c>
      <c r="V9" s="36">
        <f>$D$9*(1-U3)</f>
        <v>3.1324372121823996E-4</v>
      </c>
      <c r="W9" s="36">
        <f>$C$9*(1-W3)</f>
        <v>3.4149949200000007E-5</v>
      </c>
      <c r="X9" s="36">
        <f>$D$9*(1-W3)</f>
        <v>4.6986558182736008E-4</v>
      </c>
      <c r="Y9" s="36">
        <f>$C$9*(1-Y3)</f>
        <v>3.4149949200000007E-5</v>
      </c>
      <c r="Z9" s="36">
        <f>$D$9*(1-Y3)</f>
        <v>4.6986558182736008E-4</v>
      </c>
      <c r="AA9" s="36">
        <f>$C$9*(1-AA3)</f>
        <v>3.4149949200000007E-5</v>
      </c>
      <c r="AB9" s="36">
        <f>$D$9*(1-AA3)</f>
        <v>4.6986558182736008E-4</v>
      </c>
    </row>
    <row r="10" spans="1:28" s="36" customFormat="1">
      <c r="A10" s="135"/>
      <c r="B10" s="36" t="s">
        <v>194</v>
      </c>
      <c r="C10" s="36">
        <f>results!B8</f>
        <v>2.655962414144445E-2</v>
      </c>
      <c r="D10" s="36">
        <f>results!C8</f>
        <v>0.71984448963916647</v>
      </c>
      <c r="E10" s="36">
        <f>$C$10*(1-E3)</f>
        <v>0</v>
      </c>
      <c r="F10" s="36">
        <f>$D$10*(1-E3)</f>
        <v>0</v>
      </c>
      <c r="G10" s="36">
        <f>$C$10*(1-G3)</f>
        <v>0</v>
      </c>
      <c r="H10" s="36">
        <f>$D$10*(1-G3)</f>
        <v>0</v>
      </c>
      <c r="I10" s="36">
        <f>$C$10*(1-I3)</f>
        <v>0</v>
      </c>
      <c r="J10" s="36">
        <f>$D$10*(1-I3)</f>
        <v>0</v>
      </c>
      <c r="K10" s="36">
        <f>$C$10*(1-K3)</f>
        <v>2.6559624141444444E-3</v>
      </c>
      <c r="L10" s="36">
        <f>$D$10*(1-K3)</f>
        <v>7.1984448963916634E-2</v>
      </c>
      <c r="M10" s="36">
        <f>$C$10*(1-M3)</f>
        <v>2.6559624141444444E-3</v>
      </c>
      <c r="N10" s="36">
        <f>$D$10*(1-M3)</f>
        <v>7.1984448963916634E-2</v>
      </c>
      <c r="O10" s="36">
        <f>$C$10*(1-O3)</f>
        <v>2.6559624141444444E-3</v>
      </c>
      <c r="P10" s="36">
        <f>$D$10*(1-O3)</f>
        <v>7.1984448963916634E-2</v>
      </c>
      <c r="Q10" s="36">
        <f>$C$10*(1-Q3)</f>
        <v>5.3119248282888889E-3</v>
      </c>
      <c r="R10" s="36">
        <f>$D$10*(1-Q3)</f>
        <v>0.14396889792783327</v>
      </c>
      <c r="S10" s="36">
        <f>$C$10*(1-S3)</f>
        <v>5.3119248282888889E-3</v>
      </c>
      <c r="T10" s="36">
        <f>$D$10*(1-S3)</f>
        <v>0.14396889792783327</v>
      </c>
      <c r="U10" s="36">
        <f>$C$10*(1-U3)</f>
        <v>5.3119248282888889E-3</v>
      </c>
      <c r="V10" s="36">
        <f>$D$10*(1-U3)</f>
        <v>0.14396889792783327</v>
      </c>
      <c r="W10" s="36">
        <f>$C$10*(1-W3)</f>
        <v>7.9678872424333354E-3</v>
      </c>
      <c r="X10" s="36">
        <f>$D$10*(1-W3)</f>
        <v>0.21595334689174997</v>
      </c>
      <c r="Y10" s="36">
        <f>$C$10*(1-Y3)</f>
        <v>7.9678872424333354E-3</v>
      </c>
      <c r="Z10" s="36">
        <f>$D$10*(1-Y3)</f>
        <v>0.21595334689174997</v>
      </c>
      <c r="AA10" s="36">
        <f>$C$10*(1-AA3)</f>
        <v>7.9678872424333354E-3</v>
      </c>
      <c r="AB10" s="36">
        <f>$D$10*(1-AA3)</f>
        <v>0.21595334689174997</v>
      </c>
    </row>
    <row r="11" spans="1:28">
      <c r="A11" s="135"/>
      <c r="B11" s="6" t="s">
        <v>45</v>
      </c>
      <c r="C11" s="6">
        <f>results!B9</f>
        <v>1.4886340397970569E-2</v>
      </c>
      <c r="D11" s="6">
        <f>results!C9</f>
        <v>0.23984137863979263</v>
      </c>
      <c r="E11" s="36">
        <f>$C$11*(1-E3)</f>
        <v>0</v>
      </c>
      <c r="F11" s="36">
        <f>$D$11*(1-E3)</f>
        <v>0</v>
      </c>
      <c r="G11" s="36">
        <f>$C$11*(1-G3)</f>
        <v>0</v>
      </c>
      <c r="H11" s="36">
        <f>$D$11*(1-G3)</f>
        <v>0</v>
      </c>
      <c r="I11" s="36">
        <f>$C$11*(1-I3)</f>
        <v>0</v>
      </c>
      <c r="J11" s="36">
        <f>$D$11*(1-I3)</f>
        <v>0</v>
      </c>
      <c r="K11" s="36">
        <f>$C$11*(1-K3)</f>
        <v>1.4886340397970567E-3</v>
      </c>
      <c r="L11" s="36">
        <f>$D$11*(1-K3)</f>
        <v>2.3984137863979259E-2</v>
      </c>
      <c r="M11" s="36">
        <f>$C$11*(1-M3)</f>
        <v>1.4886340397970567E-3</v>
      </c>
      <c r="N11" s="36">
        <f>$D$11*(1-M3)</f>
        <v>2.3984137863979259E-2</v>
      </c>
      <c r="O11" s="36">
        <f>$C$11*(1-O3)</f>
        <v>1.4886340397970567E-3</v>
      </c>
      <c r="P11" s="36">
        <f>$D$11*(1-O3)</f>
        <v>2.3984137863979259E-2</v>
      </c>
      <c r="Q11" s="36">
        <f>$C$11*(1-Q3)</f>
        <v>2.9772680795941133E-3</v>
      </c>
      <c r="R11" s="36">
        <f>$D$11*(1-Q3)</f>
        <v>4.7968275727958518E-2</v>
      </c>
      <c r="S11" s="36">
        <f>$C$11*(1-S3)</f>
        <v>2.9772680795941133E-3</v>
      </c>
      <c r="T11" s="36">
        <f>$D$11*(1-S3)</f>
        <v>4.7968275727958518E-2</v>
      </c>
      <c r="U11" s="36">
        <f>$C$11*(1-U3)</f>
        <v>2.9772680795941133E-3</v>
      </c>
      <c r="V11" s="36">
        <f>$D$11*(1-U3)</f>
        <v>4.7968275727958518E-2</v>
      </c>
      <c r="W11" s="36">
        <f>$C$11*(1-W3)</f>
        <v>4.4659021193911713E-3</v>
      </c>
      <c r="X11" s="36">
        <f>$D$11*(1-W3)</f>
        <v>7.1952413591937797E-2</v>
      </c>
      <c r="Y11" s="36">
        <f>$C$11*(1-Y3)</f>
        <v>4.4659021193911713E-3</v>
      </c>
      <c r="Z11" s="36">
        <f>$D$11*(1-Y3)</f>
        <v>7.1952413591937797E-2</v>
      </c>
      <c r="AA11" s="36">
        <f>$C$11*(1-AA3)</f>
        <v>4.4659021193911713E-3</v>
      </c>
      <c r="AB11" s="36">
        <f>$D$11*(1-AA3)</f>
        <v>7.1952413591937797E-2</v>
      </c>
    </row>
    <row r="12" spans="1:28">
      <c r="A12" s="135"/>
      <c r="B12" s="2" t="s">
        <v>195</v>
      </c>
      <c r="C12" s="2">
        <f>results!B10</f>
        <v>5.2781509508930801E-3</v>
      </c>
      <c r="D12" s="2">
        <f>results!C10</f>
        <v>6.2763408474757407E-2</v>
      </c>
      <c r="E12" s="2">
        <f>$C$12</f>
        <v>5.2781509508930801E-3</v>
      </c>
      <c r="F12" s="2">
        <f>$D$12</f>
        <v>6.2763408474757407E-2</v>
      </c>
      <c r="G12" s="2">
        <f>$C$12</f>
        <v>5.2781509508930801E-3</v>
      </c>
      <c r="H12" s="2">
        <f>$D$12</f>
        <v>6.2763408474757407E-2</v>
      </c>
      <c r="I12" s="2">
        <f>$C$12</f>
        <v>5.2781509508930801E-3</v>
      </c>
      <c r="J12" s="2">
        <f>$D$12</f>
        <v>6.2763408474757407E-2</v>
      </c>
      <c r="K12" s="2">
        <f>$C$12</f>
        <v>5.2781509508930801E-3</v>
      </c>
      <c r="L12" s="2">
        <f>$D$12</f>
        <v>6.2763408474757407E-2</v>
      </c>
      <c r="M12" s="2">
        <f>$C$12</f>
        <v>5.2781509508930801E-3</v>
      </c>
      <c r="N12" s="2">
        <f>$D$12</f>
        <v>6.2763408474757407E-2</v>
      </c>
      <c r="O12" s="2">
        <f>$C$12</f>
        <v>5.2781509508930801E-3</v>
      </c>
      <c r="P12" s="2">
        <f>$D$12</f>
        <v>6.2763408474757407E-2</v>
      </c>
      <c r="Q12" s="2">
        <f>$C$12</f>
        <v>5.2781509508930801E-3</v>
      </c>
      <c r="R12" s="2">
        <f>$D$12</f>
        <v>6.2763408474757407E-2</v>
      </c>
      <c r="S12" s="2">
        <f>$C$12</f>
        <v>5.2781509508930801E-3</v>
      </c>
      <c r="T12" s="2">
        <f>$D$12</f>
        <v>6.2763408474757407E-2</v>
      </c>
      <c r="U12" s="2">
        <f>$C$12</f>
        <v>5.2781509508930801E-3</v>
      </c>
      <c r="V12" s="2">
        <f>$D$12</f>
        <v>6.2763408474757407E-2</v>
      </c>
      <c r="W12" s="2">
        <f>$C$12</f>
        <v>5.2781509508930801E-3</v>
      </c>
      <c r="X12" s="2">
        <f>$D$12</f>
        <v>6.2763408474757407E-2</v>
      </c>
      <c r="Y12" s="2">
        <f>$C$12</f>
        <v>5.2781509508930801E-3</v>
      </c>
      <c r="Z12" s="2">
        <f>$D$12</f>
        <v>6.2763408474757407E-2</v>
      </c>
      <c r="AA12" s="2">
        <f>$C$12</f>
        <v>5.2781509508930801E-3</v>
      </c>
      <c r="AB12" s="2">
        <f>$D$12</f>
        <v>6.2763408474757407E-2</v>
      </c>
    </row>
    <row r="13" spans="1:28">
      <c r="A13" s="135"/>
      <c r="B13" s="2" t="s">
        <v>47</v>
      </c>
      <c r="C13" s="2">
        <f>results!B11</f>
        <v>6.7902299613866682E-3</v>
      </c>
      <c r="D13" s="2">
        <f>results!C11</f>
        <v>0.1846893663970838</v>
      </c>
      <c r="E13" s="2">
        <f>$C$13</f>
        <v>6.7902299613866682E-3</v>
      </c>
      <c r="F13" s="2">
        <f>$D$13</f>
        <v>0.1846893663970838</v>
      </c>
      <c r="G13" s="2">
        <f>$C$13</f>
        <v>6.7902299613866682E-3</v>
      </c>
      <c r="H13" s="2">
        <f>$D$13</f>
        <v>0.1846893663970838</v>
      </c>
      <c r="I13" s="2">
        <f>$C$13</f>
        <v>6.7902299613866682E-3</v>
      </c>
      <c r="J13" s="2">
        <f>$D$13</f>
        <v>0.1846893663970838</v>
      </c>
      <c r="K13" s="2">
        <f>$C$13</f>
        <v>6.7902299613866682E-3</v>
      </c>
      <c r="L13" s="2">
        <f>$D$13</f>
        <v>0.1846893663970838</v>
      </c>
      <c r="M13" s="2">
        <f>$C$13</f>
        <v>6.7902299613866682E-3</v>
      </c>
      <c r="N13" s="2">
        <f>$D$13</f>
        <v>0.1846893663970838</v>
      </c>
      <c r="O13" s="2">
        <f>$C$13</f>
        <v>6.7902299613866682E-3</v>
      </c>
      <c r="P13" s="2">
        <f>$D$13</f>
        <v>0.1846893663970838</v>
      </c>
      <c r="Q13" s="2">
        <f>$C$13</f>
        <v>6.7902299613866682E-3</v>
      </c>
      <c r="R13" s="2">
        <f>$D$13</f>
        <v>0.1846893663970838</v>
      </c>
      <c r="S13" s="2">
        <f>$C$13</f>
        <v>6.7902299613866682E-3</v>
      </c>
      <c r="T13" s="2">
        <f>$D$13</f>
        <v>0.1846893663970838</v>
      </c>
      <c r="U13" s="2">
        <f>$C$13</f>
        <v>6.7902299613866682E-3</v>
      </c>
      <c r="V13" s="2">
        <f>$D$13</f>
        <v>0.1846893663970838</v>
      </c>
      <c r="W13" s="2">
        <f>$C$13</f>
        <v>6.7902299613866682E-3</v>
      </c>
      <c r="X13" s="2">
        <f>$D$13</f>
        <v>0.1846893663970838</v>
      </c>
      <c r="Y13" s="2">
        <f>$C$13</f>
        <v>6.7902299613866682E-3</v>
      </c>
      <c r="Z13" s="2">
        <f>$D$13</f>
        <v>0.1846893663970838</v>
      </c>
      <c r="AA13" s="2">
        <f>$C$13</f>
        <v>6.7902299613866682E-3</v>
      </c>
      <c r="AB13" s="2">
        <f>$D$13</f>
        <v>0.1846893663970838</v>
      </c>
    </row>
    <row r="14" spans="1:28">
      <c r="A14" s="135"/>
      <c r="B14" s="2" t="s">
        <v>196</v>
      </c>
      <c r="C14" s="2">
        <f>results!B12</f>
        <v>6.4442149153297573E-2</v>
      </c>
      <c r="D14" s="2">
        <f>results!C12</f>
        <v>1.3688443144771683</v>
      </c>
      <c r="E14" s="2">
        <f>$C$14</f>
        <v>6.4442149153297573E-2</v>
      </c>
      <c r="F14" s="2">
        <f>$D$14</f>
        <v>1.3688443144771683</v>
      </c>
      <c r="G14" s="2">
        <f>$C$14</f>
        <v>6.4442149153297573E-2</v>
      </c>
      <c r="H14" s="2">
        <f>$D$14</f>
        <v>1.3688443144771683</v>
      </c>
      <c r="I14" s="2">
        <f>$C$14</f>
        <v>6.4442149153297573E-2</v>
      </c>
      <c r="J14" s="2">
        <f>$D$14</f>
        <v>1.3688443144771683</v>
      </c>
      <c r="K14" s="2">
        <f>$C$14</f>
        <v>6.4442149153297573E-2</v>
      </c>
      <c r="L14" s="2">
        <f>$D$14</f>
        <v>1.3688443144771683</v>
      </c>
      <c r="M14" s="2">
        <f>$C$14</f>
        <v>6.4442149153297573E-2</v>
      </c>
      <c r="N14" s="2">
        <f>$D$14</f>
        <v>1.3688443144771683</v>
      </c>
      <c r="O14" s="2">
        <f>$C$14</f>
        <v>6.4442149153297573E-2</v>
      </c>
      <c r="P14" s="2">
        <f>$D$14</f>
        <v>1.3688443144771683</v>
      </c>
      <c r="Q14" s="2">
        <f>$C$14</f>
        <v>6.4442149153297573E-2</v>
      </c>
      <c r="R14" s="2">
        <f>$D$14</f>
        <v>1.3688443144771683</v>
      </c>
      <c r="S14" s="2">
        <f>$C$14</f>
        <v>6.4442149153297573E-2</v>
      </c>
      <c r="T14" s="2">
        <f>$D$14</f>
        <v>1.3688443144771683</v>
      </c>
      <c r="U14" s="2">
        <f>$C$14</f>
        <v>6.4442149153297573E-2</v>
      </c>
      <c r="V14" s="2">
        <f>$D$14</f>
        <v>1.3688443144771683</v>
      </c>
      <c r="W14" s="2">
        <f>$C$14</f>
        <v>6.4442149153297573E-2</v>
      </c>
      <c r="X14" s="2">
        <f>$D$14</f>
        <v>1.3688443144771683</v>
      </c>
      <c r="Y14" s="2">
        <f>$C$14</f>
        <v>6.4442149153297573E-2</v>
      </c>
      <c r="Z14" s="2">
        <f>$D$14</f>
        <v>1.3688443144771683</v>
      </c>
      <c r="AA14" s="2">
        <f>$C$14</f>
        <v>6.4442149153297573E-2</v>
      </c>
      <c r="AB14" s="2">
        <f>$D$14</f>
        <v>1.3688443144771683</v>
      </c>
    </row>
    <row r="15" spans="1:28">
      <c r="A15" s="135"/>
      <c r="B15" s="2" t="s">
        <v>50</v>
      </c>
      <c r="C15" s="2">
        <f>results!B13</f>
        <v>5.7089582270140764E-2</v>
      </c>
      <c r="D15" s="2">
        <f>results!C13</f>
        <v>1.8870770104736083</v>
      </c>
      <c r="E15" s="2">
        <f>$C$15</f>
        <v>5.7089582270140764E-2</v>
      </c>
      <c r="F15" s="2">
        <f>$D$15</f>
        <v>1.8870770104736083</v>
      </c>
      <c r="G15" s="2">
        <f>$C$15</f>
        <v>5.7089582270140764E-2</v>
      </c>
      <c r="H15" s="2">
        <f>$D$15</f>
        <v>1.8870770104736083</v>
      </c>
      <c r="I15" s="2">
        <f>$C$15</f>
        <v>5.7089582270140764E-2</v>
      </c>
      <c r="J15" s="2">
        <f>$D$15</f>
        <v>1.8870770104736083</v>
      </c>
      <c r="K15" s="2">
        <f>$C$15</f>
        <v>5.7089582270140764E-2</v>
      </c>
      <c r="L15" s="2">
        <f>$D$15</f>
        <v>1.8870770104736083</v>
      </c>
      <c r="M15" s="2">
        <f>$C$15</f>
        <v>5.7089582270140764E-2</v>
      </c>
      <c r="N15" s="2">
        <f>$D$15</f>
        <v>1.8870770104736083</v>
      </c>
      <c r="O15" s="2">
        <f>$C$15</f>
        <v>5.7089582270140764E-2</v>
      </c>
      <c r="P15" s="2">
        <f>$D$15</f>
        <v>1.8870770104736083</v>
      </c>
      <c r="Q15" s="2">
        <f>$C$15</f>
        <v>5.7089582270140764E-2</v>
      </c>
      <c r="R15" s="2">
        <f>$D$15</f>
        <v>1.8870770104736083</v>
      </c>
      <c r="S15" s="2">
        <f>$C$15</f>
        <v>5.7089582270140764E-2</v>
      </c>
      <c r="T15" s="2">
        <f>$D$15</f>
        <v>1.8870770104736083</v>
      </c>
      <c r="U15" s="2">
        <f>$C$15</f>
        <v>5.7089582270140764E-2</v>
      </c>
      <c r="V15" s="2">
        <f>$D$15</f>
        <v>1.8870770104736083</v>
      </c>
      <c r="W15" s="2">
        <f>$C$15</f>
        <v>5.7089582270140764E-2</v>
      </c>
      <c r="X15" s="2">
        <f>$D$15</f>
        <v>1.8870770104736083</v>
      </c>
      <c r="Y15" s="2">
        <f>$C$15</f>
        <v>5.7089582270140764E-2</v>
      </c>
      <c r="Z15" s="2">
        <f>$D$15</f>
        <v>1.8870770104736083</v>
      </c>
      <c r="AA15" s="2">
        <f>$C$15</f>
        <v>5.7089582270140764E-2</v>
      </c>
      <c r="AB15" s="2">
        <f>$D$15</f>
        <v>1.8870770104736083</v>
      </c>
    </row>
    <row r="16" spans="1:28">
      <c r="A16" s="135"/>
      <c r="B16" s="2" t="s">
        <v>74</v>
      </c>
      <c r="C16" s="2">
        <f>results!B14</f>
        <v>1.3551209999999999E-3</v>
      </c>
      <c r="D16" s="2">
        <f>results!C14</f>
        <v>5.4955341728023827E-2</v>
      </c>
      <c r="E16" s="2">
        <f>$C$16</f>
        <v>1.3551209999999999E-3</v>
      </c>
      <c r="F16" s="2">
        <f>$D$16</f>
        <v>5.4955341728023827E-2</v>
      </c>
      <c r="G16" s="2">
        <f>$C$16</f>
        <v>1.3551209999999999E-3</v>
      </c>
      <c r="H16" s="2">
        <f>$D$16</f>
        <v>5.4955341728023827E-2</v>
      </c>
      <c r="I16" s="2">
        <f>$C$16</f>
        <v>1.3551209999999999E-3</v>
      </c>
      <c r="J16" s="2">
        <f>$D$16</f>
        <v>5.4955341728023827E-2</v>
      </c>
      <c r="K16" s="2">
        <f>$C$16</f>
        <v>1.3551209999999999E-3</v>
      </c>
      <c r="L16" s="2">
        <f>$D$16</f>
        <v>5.4955341728023827E-2</v>
      </c>
      <c r="M16" s="2">
        <f>$C$16</f>
        <v>1.3551209999999999E-3</v>
      </c>
      <c r="N16" s="2">
        <f>$D$16</f>
        <v>5.4955341728023827E-2</v>
      </c>
      <c r="O16" s="2">
        <f>$C$16</f>
        <v>1.3551209999999999E-3</v>
      </c>
      <c r="P16" s="2">
        <f>$D$16</f>
        <v>5.4955341728023827E-2</v>
      </c>
      <c r="Q16" s="2">
        <f>$C$16</f>
        <v>1.3551209999999999E-3</v>
      </c>
      <c r="R16" s="2">
        <f>$D$16</f>
        <v>5.4955341728023827E-2</v>
      </c>
      <c r="S16" s="2">
        <f>$C$16</f>
        <v>1.3551209999999999E-3</v>
      </c>
      <c r="T16" s="2">
        <f>$D$16</f>
        <v>5.4955341728023827E-2</v>
      </c>
      <c r="U16" s="2">
        <f>$C$16</f>
        <v>1.3551209999999999E-3</v>
      </c>
      <c r="V16" s="2">
        <f>$D$16</f>
        <v>5.4955341728023827E-2</v>
      </c>
      <c r="W16" s="2">
        <f>$C$16</f>
        <v>1.3551209999999999E-3</v>
      </c>
      <c r="X16" s="2">
        <f>$D$16</f>
        <v>5.4955341728023827E-2</v>
      </c>
      <c r="Y16" s="2">
        <f>$C$16</f>
        <v>1.3551209999999999E-3</v>
      </c>
      <c r="Z16" s="2">
        <f>$D$16</f>
        <v>5.4955341728023827E-2</v>
      </c>
      <c r="AA16" s="2">
        <f>$C$16</f>
        <v>1.3551209999999999E-3</v>
      </c>
      <c r="AB16" s="2">
        <f>$D$16</f>
        <v>5.4955341728023827E-2</v>
      </c>
    </row>
    <row r="17" spans="1:28">
      <c r="A17" s="135"/>
      <c r="B17" s="2" t="s">
        <v>53</v>
      </c>
      <c r="C17" s="2">
        <f>results!B15</f>
        <v>0.194226136277663</v>
      </c>
      <c r="D17" s="2">
        <f>results!C15</f>
        <v>3.2878661442403283</v>
      </c>
      <c r="E17" s="2">
        <f>$C$17</f>
        <v>0.194226136277663</v>
      </c>
      <c r="F17" s="2">
        <f>$D$17</f>
        <v>3.2878661442403283</v>
      </c>
      <c r="G17" s="2">
        <f>$C$17</f>
        <v>0.194226136277663</v>
      </c>
      <c r="H17" s="2">
        <f>$D$17</f>
        <v>3.2878661442403283</v>
      </c>
      <c r="I17" s="2">
        <f>$C$17</f>
        <v>0.194226136277663</v>
      </c>
      <c r="J17" s="2">
        <f>$D$17</f>
        <v>3.2878661442403283</v>
      </c>
      <c r="K17" s="2">
        <f>$C$17</f>
        <v>0.194226136277663</v>
      </c>
      <c r="L17" s="2">
        <f>$D$17</f>
        <v>3.2878661442403283</v>
      </c>
      <c r="M17" s="2">
        <f>$C$17</f>
        <v>0.194226136277663</v>
      </c>
      <c r="N17" s="2">
        <f>$D$17</f>
        <v>3.2878661442403283</v>
      </c>
      <c r="O17" s="2">
        <f>$C$17</f>
        <v>0.194226136277663</v>
      </c>
      <c r="P17" s="2">
        <f>$D$17</f>
        <v>3.2878661442403283</v>
      </c>
      <c r="Q17" s="2">
        <f>$C$17</f>
        <v>0.194226136277663</v>
      </c>
      <c r="R17" s="2">
        <f>$D$17</f>
        <v>3.2878661442403283</v>
      </c>
      <c r="S17" s="2">
        <f>$C$17</f>
        <v>0.194226136277663</v>
      </c>
      <c r="T17" s="2">
        <f>$D$17</f>
        <v>3.2878661442403283</v>
      </c>
      <c r="U17" s="2">
        <f>$C$17</f>
        <v>0.194226136277663</v>
      </c>
      <c r="V17" s="2">
        <f>$D$17</f>
        <v>3.2878661442403283</v>
      </c>
      <c r="W17" s="2">
        <f>$C$17</f>
        <v>0.194226136277663</v>
      </c>
      <c r="X17" s="2">
        <f>$D$17</f>
        <v>3.2878661442403283</v>
      </c>
      <c r="Y17" s="2">
        <f>$C$17</f>
        <v>0.194226136277663</v>
      </c>
      <c r="Z17" s="2">
        <f>$D$17</f>
        <v>3.2878661442403283</v>
      </c>
      <c r="AA17" s="2">
        <f>$C$17</f>
        <v>0.194226136277663</v>
      </c>
      <c r="AB17" s="2">
        <f>$D$17</f>
        <v>3.2878661442403283</v>
      </c>
    </row>
    <row r="18" spans="1:28" s="6" customFormat="1">
      <c r="A18" s="135"/>
      <c r="B18" s="6" t="s">
        <v>197</v>
      </c>
      <c r="C18" s="6">
        <f>results!B16</f>
        <v>7.2295014400000001E-3</v>
      </c>
      <c r="D18" s="6">
        <f>results!C16</f>
        <v>0.103960138283008</v>
      </c>
      <c r="E18" s="6">
        <f>$C$18*(1-F3*0.82)</f>
        <v>1.3013102592000004E-3</v>
      </c>
      <c r="F18" s="6">
        <f>$D$18*(1-F3*0.82)</f>
        <v>1.8712824890941445E-2</v>
      </c>
      <c r="G18" s="6">
        <f>$C$18*(1-H3*0.82)</f>
        <v>1.5977198182400005E-3</v>
      </c>
      <c r="H18" s="6">
        <f>$D$18*(1-H3*0.82)</f>
        <v>2.2975190560544777E-2</v>
      </c>
      <c r="I18" s="6">
        <f>$C$18*(1-J3*0.82)</f>
        <v>1.89412937728E-3</v>
      </c>
      <c r="J18" s="6">
        <f>$D$18*(1-J3*0.82)</f>
        <v>2.7237556230148098E-2</v>
      </c>
      <c r="K18" s="6">
        <f>$C$18*(1-L3*0.82)</f>
        <v>1.3013102592000004E-3</v>
      </c>
      <c r="L18" s="6">
        <f>$D$18*(1-L3*0.82)</f>
        <v>1.8712824890941445E-2</v>
      </c>
      <c r="M18" s="6">
        <f>$C$18*(1-N3*0.82)</f>
        <v>1.5977198182400005E-3</v>
      </c>
      <c r="N18" s="6">
        <f>$D$18*(1-N3*0.82)</f>
        <v>2.2975190560544777E-2</v>
      </c>
      <c r="O18" s="6">
        <f>$C$18*(1-P3*0.82)</f>
        <v>1.89412937728E-3</v>
      </c>
      <c r="P18" s="6">
        <f>$D$18*(1-P3*0.82)</f>
        <v>2.7237556230148098E-2</v>
      </c>
      <c r="Q18" s="6">
        <f>$C$18*(1-R3*0.82)</f>
        <v>1.3013102592000004E-3</v>
      </c>
      <c r="R18" s="6">
        <f>$D$18*(1-R3*0.82)</f>
        <v>1.8712824890941445E-2</v>
      </c>
      <c r="S18" s="6">
        <f>$C$18*(1-T3*0.82)</f>
        <v>1.5977198182400005E-3</v>
      </c>
      <c r="T18" s="6">
        <f>$D$18*(1-T3*0.82)</f>
        <v>2.2975190560544777E-2</v>
      </c>
      <c r="U18" s="6">
        <f>$C$18*(1-V3*0.82)</f>
        <v>1.89412937728E-3</v>
      </c>
      <c r="V18" s="6">
        <f>$D$18*(1-V3*0.82)</f>
        <v>2.7237556230148098E-2</v>
      </c>
      <c r="W18" s="6">
        <f>$C$18*(1-X3*0.82)</f>
        <v>1.3013102592000004E-3</v>
      </c>
      <c r="X18" s="6">
        <f>$D$18*(1-X3*0.82)</f>
        <v>1.8712824890941445E-2</v>
      </c>
      <c r="Y18" s="6">
        <f>$C$18*(1-Z3*0.82)</f>
        <v>1.5977198182400005E-3</v>
      </c>
      <c r="Z18" s="6">
        <f>$D$18*(1-Z3*0.82)</f>
        <v>2.2975190560544777E-2</v>
      </c>
      <c r="AA18" s="6">
        <f>$C$18*(1-AB3*0.82)</f>
        <v>1.89412937728E-3</v>
      </c>
      <c r="AB18" s="6">
        <f>$D$18*(1-AB3*0.82)</f>
        <v>2.7237556230148098E-2</v>
      </c>
    </row>
    <row r="19" spans="1:28" s="58" customFormat="1"/>
    <row r="20" spans="1:28">
      <c r="A20" s="138" t="s">
        <v>151</v>
      </c>
      <c r="B20" s="13" t="s">
        <v>92</v>
      </c>
      <c r="C20" s="2">
        <f>results!B19</f>
        <v>2.8396800022717437</v>
      </c>
      <c r="D20" s="2">
        <f>results!C19</f>
        <v>49.96641093677313</v>
      </c>
      <c r="E20" s="2">
        <f>$C$20</f>
        <v>2.8396800022717437</v>
      </c>
      <c r="F20" s="2">
        <f>$D$20</f>
        <v>49.96641093677313</v>
      </c>
      <c r="G20" s="2">
        <f>$C$20</f>
        <v>2.8396800022717437</v>
      </c>
      <c r="H20" s="2">
        <f>$D$20</f>
        <v>49.96641093677313</v>
      </c>
      <c r="I20" s="2">
        <f>$C$20</f>
        <v>2.8396800022717437</v>
      </c>
      <c r="J20" s="2">
        <f>$D$20</f>
        <v>49.96641093677313</v>
      </c>
      <c r="K20" s="2">
        <f>$C$20</f>
        <v>2.8396800022717437</v>
      </c>
      <c r="L20" s="2">
        <f>$D$20</f>
        <v>49.96641093677313</v>
      </c>
      <c r="M20" s="2">
        <f>$C$20</f>
        <v>2.8396800022717437</v>
      </c>
      <c r="N20" s="2">
        <f>$D$20</f>
        <v>49.96641093677313</v>
      </c>
      <c r="O20" s="2">
        <f>$C$20</f>
        <v>2.8396800022717437</v>
      </c>
      <c r="P20" s="2">
        <f>$D$20</f>
        <v>49.96641093677313</v>
      </c>
      <c r="Q20" s="2">
        <f>$C$20</f>
        <v>2.8396800022717437</v>
      </c>
      <c r="R20" s="2">
        <f>$D$20</f>
        <v>49.96641093677313</v>
      </c>
      <c r="S20" s="2">
        <f>$C$20</f>
        <v>2.8396800022717437</v>
      </c>
      <c r="T20" s="2">
        <f>$D$20</f>
        <v>49.96641093677313</v>
      </c>
      <c r="U20" s="2">
        <f>$C$20</f>
        <v>2.8396800022717437</v>
      </c>
      <c r="V20" s="2">
        <f>$D$20</f>
        <v>49.96641093677313</v>
      </c>
      <c r="W20" s="2">
        <f>$C$20</f>
        <v>2.8396800022717437</v>
      </c>
      <c r="X20" s="2">
        <f>$D$20</f>
        <v>49.96641093677313</v>
      </c>
      <c r="Y20" s="2">
        <f>$C$20</f>
        <v>2.8396800022717437</v>
      </c>
      <c r="Z20" s="2">
        <f>$D$20</f>
        <v>49.96641093677313</v>
      </c>
      <c r="AA20" s="2">
        <f>$C$20</f>
        <v>2.8396800022717437</v>
      </c>
      <c r="AB20" s="2">
        <f>$D$20</f>
        <v>49.96641093677313</v>
      </c>
    </row>
    <row r="21" spans="1:28" s="6" customFormat="1">
      <c r="A21" s="138"/>
      <c r="B21" s="13" t="s">
        <v>93</v>
      </c>
      <c r="C21" s="6">
        <f>results!B20</f>
        <v>4.7504002709876597E-4</v>
      </c>
      <c r="D21" s="6">
        <f>results!C20</f>
        <v>8.3587042154200306E-3</v>
      </c>
      <c r="E21" s="6">
        <f>$C$21*(1-E3)</f>
        <v>0</v>
      </c>
      <c r="F21" s="6">
        <f>$D$21*(1-E3)</f>
        <v>0</v>
      </c>
      <c r="G21" s="6">
        <f>$C$21*(1-G3)</f>
        <v>0</v>
      </c>
      <c r="H21" s="6">
        <f>$D$21*(1-G3)</f>
        <v>0</v>
      </c>
      <c r="I21" s="6">
        <f>$C$21*(1-I3)</f>
        <v>0</v>
      </c>
      <c r="J21" s="6">
        <f>$D$21*(1-I3)</f>
        <v>0</v>
      </c>
      <c r="K21" s="6">
        <f>$C$21*(1-K3)</f>
        <v>4.7504002709876585E-5</v>
      </c>
      <c r="L21" s="6">
        <f>$D$21*(1-K3)</f>
        <v>8.3587042154200286E-4</v>
      </c>
      <c r="M21" s="6">
        <f>$C$21*(1-M3)</f>
        <v>4.7504002709876585E-5</v>
      </c>
      <c r="N21" s="6">
        <f>$D$21*(1-M3)</f>
        <v>8.3587042154200286E-4</v>
      </c>
      <c r="O21" s="6">
        <f>$C$21*(1-O3)</f>
        <v>4.7504002709876585E-5</v>
      </c>
      <c r="P21" s="6">
        <f>$D$21*(1-O3)</f>
        <v>8.3587042154200286E-4</v>
      </c>
      <c r="Q21" s="6">
        <f>$C$21*(1-Q3)</f>
        <v>9.500800541975317E-5</v>
      </c>
      <c r="R21" s="6">
        <f>$D$21*(1-Q3)</f>
        <v>1.6717408430840057E-3</v>
      </c>
      <c r="S21" s="6">
        <f>$C$21*(1-S3)</f>
        <v>9.500800541975317E-5</v>
      </c>
      <c r="T21" s="6">
        <f>$D$21*(1-S3)</f>
        <v>1.6717408430840057E-3</v>
      </c>
      <c r="U21" s="6">
        <f>$C$21*(1-U3)</f>
        <v>9.500800541975317E-5</v>
      </c>
      <c r="V21" s="6">
        <f>$D$21*(1-U3)</f>
        <v>1.6717408430840057E-3</v>
      </c>
      <c r="W21" s="6">
        <f>$C$21*(1-W3)</f>
        <v>1.425120081296298E-4</v>
      </c>
      <c r="X21" s="6">
        <f>$D$21*(1-W3)</f>
        <v>2.5076112646260093E-3</v>
      </c>
      <c r="Y21" s="6">
        <f>$C$21*(1-Y3)</f>
        <v>1.425120081296298E-4</v>
      </c>
      <c r="Z21" s="6">
        <f>$D$21*(1-Y3)</f>
        <v>2.5076112646260093E-3</v>
      </c>
      <c r="AA21" s="6">
        <f>$C$21*(1-AA3)</f>
        <v>1.425120081296298E-4</v>
      </c>
      <c r="AB21" s="6">
        <f>$D$21*(1-AA3)</f>
        <v>2.5076112646260093E-3</v>
      </c>
    </row>
    <row r="22" spans="1:28" s="6" customFormat="1">
      <c r="A22" s="138"/>
      <c r="B22" s="13" t="s">
        <v>184</v>
      </c>
      <c r="C22" s="6">
        <f>results!B21</f>
        <v>2.2835594108730621</v>
      </c>
      <c r="D22" s="6">
        <f>results!C21</f>
        <v>40.181030197394769</v>
      </c>
      <c r="E22" s="6">
        <f>$C$22*(1-E3)</f>
        <v>0</v>
      </c>
      <c r="F22" s="6">
        <f>$D$22*(1-E3)</f>
        <v>0</v>
      </c>
      <c r="G22" s="6">
        <f>$C$22*(1-G3)</f>
        <v>0</v>
      </c>
      <c r="H22" s="6">
        <f>$D$22*(1-G3)</f>
        <v>0</v>
      </c>
      <c r="I22" s="6">
        <f>$C$22*(1-I3)</f>
        <v>0</v>
      </c>
      <c r="J22" s="6">
        <f>$D$22*(1-I3)</f>
        <v>0</v>
      </c>
      <c r="K22" s="6">
        <f>$C$22*(1-K3)</f>
        <v>0.22835594108730617</v>
      </c>
      <c r="L22" s="6">
        <f>$D$22*(1-K3)</f>
        <v>4.0181030197394758</v>
      </c>
      <c r="M22" s="6">
        <f>$C$22*(1-M3)</f>
        <v>0.22835594108730617</v>
      </c>
      <c r="N22" s="6">
        <f>$D$22*(1-M3)</f>
        <v>4.0181030197394758</v>
      </c>
      <c r="O22" s="6">
        <f>$C$22*(1-O3)</f>
        <v>0.22835594108730617</v>
      </c>
      <c r="P22" s="6">
        <f>$D$22*(1-O3)</f>
        <v>4.0181030197394758</v>
      </c>
      <c r="Q22" s="6">
        <f>$C$22*(1-Q3)</f>
        <v>0.45671188217461234</v>
      </c>
      <c r="R22" s="6">
        <f>$D$22*(1-Q3)</f>
        <v>8.0362060394789516</v>
      </c>
      <c r="S22" s="6">
        <f>$C$22*(1-S3)</f>
        <v>0.45671188217461234</v>
      </c>
      <c r="T22" s="6">
        <f>$D$22*(1-S3)</f>
        <v>8.0362060394789516</v>
      </c>
      <c r="U22" s="6">
        <f>$C$22*(1-U3)</f>
        <v>0.45671188217461234</v>
      </c>
      <c r="V22" s="6">
        <f>$D$22*(1-U3)</f>
        <v>8.0362060394789516</v>
      </c>
      <c r="W22" s="6">
        <f>$C$22*(1-W3)</f>
        <v>0.68506782326191873</v>
      </c>
      <c r="X22" s="6">
        <f>$D$22*(1-W3)</f>
        <v>12.054309059218433</v>
      </c>
      <c r="Y22" s="6">
        <f>$C$22*(1-Y3)</f>
        <v>0.68506782326191873</v>
      </c>
      <c r="Z22" s="6">
        <f>$D$22*(1-Y3)</f>
        <v>12.054309059218433</v>
      </c>
      <c r="AA22" s="6">
        <f>$C$22*(1-AA3)</f>
        <v>0.68506782326191873</v>
      </c>
      <c r="AB22" s="6">
        <f>$D$22*(1-AA3)</f>
        <v>12.054309059218433</v>
      </c>
    </row>
    <row r="23" spans="1:28" s="6" customFormat="1">
      <c r="A23" s="138"/>
      <c r="B23" s="13" t="s">
        <v>98</v>
      </c>
      <c r="C23" s="6">
        <f>results!B22</f>
        <v>51.114240040891382</v>
      </c>
      <c r="D23" s="6">
        <f>results!C22</f>
        <v>899.39539686191631</v>
      </c>
      <c r="E23" s="6">
        <f>$C$23*(1-E3)</f>
        <v>0</v>
      </c>
      <c r="F23" s="6">
        <f>$D$23*(1-E3)</f>
        <v>0</v>
      </c>
      <c r="G23" s="6">
        <f>$C$23*(1-G3)</f>
        <v>0</v>
      </c>
      <c r="H23" s="6">
        <f>$D$23*(1-G3)</f>
        <v>0</v>
      </c>
      <c r="I23" s="6">
        <f>$C$23*(1-I3)</f>
        <v>0</v>
      </c>
      <c r="J23" s="6">
        <f>$D$23*(1-I3)</f>
        <v>0</v>
      </c>
      <c r="K23" s="6">
        <f>$C$23*(1-K3)</f>
        <v>5.1114240040891374</v>
      </c>
      <c r="L23" s="6">
        <f>$D$23*(1-K3)</f>
        <v>89.939539686191608</v>
      </c>
      <c r="M23" s="6">
        <f>$C$23*(1-M3)</f>
        <v>5.1114240040891374</v>
      </c>
      <c r="N23" s="6">
        <f>$D$23*(1-M3)</f>
        <v>89.939539686191608</v>
      </c>
      <c r="O23" s="6">
        <f>$C$23*(1-O3)</f>
        <v>5.1114240040891374</v>
      </c>
      <c r="P23" s="6">
        <f>$D$23*(1-O3)</f>
        <v>89.939539686191608</v>
      </c>
      <c r="Q23" s="6">
        <f>$C$23*(1-Q3)</f>
        <v>10.222848008178275</v>
      </c>
      <c r="R23" s="6">
        <f>$D$23*(1-Q3)</f>
        <v>179.87907937238322</v>
      </c>
      <c r="S23" s="6">
        <f>$C$23*(1-S3)</f>
        <v>10.222848008178275</v>
      </c>
      <c r="T23" s="6">
        <f>$D$23*(1-S3)</f>
        <v>179.87907937238322</v>
      </c>
      <c r="U23" s="6">
        <f>$C$23*(1-U3)</f>
        <v>10.222848008178275</v>
      </c>
      <c r="V23" s="6">
        <f>$D$23*(1-U3)</f>
        <v>179.87907937238322</v>
      </c>
      <c r="W23" s="6">
        <f>$C$23*(1-W3)</f>
        <v>15.334272012267416</v>
      </c>
      <c r="X23" s="6">
        <f>$D$23*(1-W3)</f>
        <v>269.81861905857494</v>
      </c>
      <c r="Y23" s="6">
        <f>$C$23*(1-Y3)</f>
        <v>15.334272012267416</v>
      </c>
      <c r="Z23" s="6">
        <f>$D$23*(1-Y3)</f>
        <v>269.81861905857494</v>
      </c>
      <c r="AA23" s="6">
        <f>$C$23*(1-AA3)</f>
        <v>15.334272012267416</v>
      </c>
      <c r="AB23" s="6">
        <f>$D$23*(1-AA3)</f>
        <v>269.81861905857494</v>
      </c>
    </row>
    <row r="24" spans="1:28">
      <c r="A24" s="138"/>
      <c r="B24" s="13" t="s">
        <v>185</v>
      </c>
      <c r="C24" s="2">
        <f>results!B23</f>
        <v>8.4576274476780081E-2</v>
      </c>
      <c r="D24" s="2">
        <f>results!C23</f>
        <v>1.4881863036072136</v>
      </c>
      <c r="E24" s="2">
        <f>$C$24</f>
        <v>8.4576274476780081E-2</v>
      </c>
      <c r="F24" s="2">
        <f>$D$24</f>
        <v>1.4881863036072136</v>
      </c>
      <c r="G24" s="2">
        <f>$C$24</f>
        <v>8.4576274476780081E-2</v>
      </c>
      <c r="H24" s="2">
        <f>$D$24</f>
        <v>1.4881863036072136</v>
      </c>
      <c r="I24" s="2">
        <f>$C$24</f>
        <v>8.4576274476780081E-2</v>
      </c>
      <c r="J24" s="2">
        <f>$D$24</f>
        <v>1.4881863036072136</v>
      </c>
      <c r="K24" s="2">
        <f>$C$24</f>
        <v>8.4576274476780081E-2</v>
      </c>
      <c r="L24" s="2">
        <f>$D$24</f>
        <v>1.4881863036072136</v>
      </c>
      <c r="M24" s="2">
        <f>$C$24</f>
        <v>8.4576274476780081E-2</v>
      </c>
      <c r="N24" s="2">
        <f>$D$24</f>
        <v>1.4881863036072136</v>
      </c>
      <c r="O24" s="2">
        <f>$C$24</f>
        <v>8.4576274476780081E-2</v>
      </c>
      <c r="P24" s="2">
        <f>$D$24</f>
        <v>1.4881863036072136</v>
      </c>
      <c r="Q24" s="2">
        <f>$C$24</f>
        <v>8.4576274476780081E-2</v>
      </c>
      <c r="R24" s="2">
        <f>$D$24</f>
        <v>1.4881863036072136</v>
      </c>
      <c r="S24" s="2">
        <f>$C$24</f>
        <v>8.4576274476780081E-2</v>
      </c>
      <c r="T24" s="2">
        <f>$D$24</f>
        <v>1.4881863036072136</v>
      </c>
      <c r="U24" s="2">
        <f>$C$24</f>
        <v>8.4576274476780081E-2</v>
      </c>
      <c r="V24" s="2">
        <f>$D$24</f>
        <v>1.4881863036072136</v>
      </c>
      <c r="W24" s="2">
        <f>$C$24</f>
        <v>8.4576274476780081E-2</v>
      </c>
      <c r="X24" s="2">
        <f>$D$24</f>
        <v>1.4881863036072136</v>
      </c>
      <c r="Y24" s="2">
        <f>$C$24</f>
        <v>8.4576274476780081E-2</v>
      </c>
      <c r="Z24" s="2">
        <f>$D$24</f>
        <v>1.4881863036072136</v>
      </c>
      <c r="AA24" s="2">
        <f>$C$24</f>
        <v>8.4576274476780081E-2</v>
      </c>
      <c r="AB24" s="2">
        <f>$D$24</f>
        <v>1.4881863036072136</v>
      </c>
    </row>
    <row r="25" spans="1:28">
      <c r="A25" s="138"/>
      <c r="B25" s="13" t="s">
        <v>186</v>
      </c>
      <c r="C25" s="2">
        <f>results!B24</f>
        <v>4.2288137238390036</v>
      </c>
      <c r="D25" s="2">
        <f>results!C24</f>
        <v>74.409315180360679</v>
      </c>
      <c r="E25" s="2">
        <f>$C$25</f>
        <v>4.2288137238390036</v>
      </c>
      <c r="F25" s="2">
        <f>$D$25</f>
        <v>74.409315180360679</v>
      </c>
      <c r="G25" s="2">
        <f>$C$25</f>
        <v>4.2288137238390036</v>
      </c>
      <c r="H25" s="2">
        <f>$D$25</f>
        <v>74.409315180360679</v>
      </c>
      <c r="I25" s="2">
        <f>$C$25</f>
        <v>4.2288137238390036</v>
      </c>
      <c r="J25" s="2">
        <f>$D$25</f>
        <v>74.409315180360679</v>
      </c>
      <c r="K25" s="2">
        <f>$C$25</f>
        <v>4.2288137238390036</v>
      </c>
      <c r="L25" s="2">
        <f>$D$25</f>
        <v>74.409315180360679</v>
      </c>
      <c r="M25" s="2">
        <f>$C$25</f>
        <v>4.2288137238390036</v>
      </c>
      <c r="N25" s="2">
        <f>$D$25</f>
        <v>74.409315180360679</v>
      </c>
      <c r="O25" s="2">
        <f>$C$25</f>
        <v>4.2288137238390036</v>
      </c>
      <c r="P25" s="2">
        <f>$D$25</f>
        <v>74.409315180360679</v>
      </c>
      <c r="Q25" s="2">
        <f>$C$25</f>
        <v>4.2288137238390036</v>
      </c>
      <c r="R25" s="2">
        <f>$D$25</f>
        <v>74.409315180360679</v>
      </c>
      <c r="S25" s="2">
        <f>$C$25</f>
        <v>4.2288137238390036</v>
      </c>
      <c r="T25" s="2">
        <f>$D$25</f>
        <v>74.409315180360679</v>
      </c>
      <c r="U25" s="2">
        <f>$C$25</f>
        <v>4.2288137238390036</v>
      </c>
      <c r="V25" s="2">
        <f>$D$25</f>
        <v>74.409315180360679</v>
      </c>
      <c r="W25" s="2">
        <f>$C$25</f>
        <v>4.2288137238390036</v>
      </c>
      <c r="X25" s="2">
        <f>$D$25</f>
        <v>74.409315180360679</v>
      </c>
      <c r="Y25" s="2">
        <f>$C$25</f>
        <v>4.2288137238390036</v>
      </c>
      <c r="Z25" s="2">
        <f>$D$25</f>
        <v>74.409315180360679</v>
      </c>
      <c r="AA25" s="2">
        <f>$C$25</f>
        <v>4.2288137238390036</v>
      </c>
      <c r="AB25" s="2">
        <f>$D$25</f>
        <v>74.409315180360679</v>
      </c>
    </row>
    <row r="26" spans="1:28">
      <c r="A26" s="138"/>
      <c r="B26" s="13" t="s">
        <v>187</v>
      </c>
      <c r="C26" s="2">
        <f>results!B25</f>
        <v>1.7038080013630463</v>
      </c>
      <c r="D26" s="2">
        <f>results!C25</f>
        <v>29.979846562063884</v>
      </c>
      <c r="E26" s="2">
        <f>$C$26</f>
        <v>1.7038080013630463</v>
      </c>
      <c r="F26" s="2">
        <f>$D$26</f>
        <v>29.979846562063884</v>
      </c>
      <c r="G26" s="2">
        <f>$C$26</f>
        <v>1.7038080013630463</v>
      </c>
      <c r="H26" s="2">
        <f>$D$26</f>
        <v>29.979846562063884</v>
      </c>
      <c r="I26" s="2">
        <f>$C$26</f>
        <v>1.7038080013630463</v>
      </c>
      <c r="J26" s="2">
        <f>$D$26</f>
        <v>29.979846562063884</v>
      </c>
      <c r="K26" s="2">
        <f>$C$26</f>
        <v>1.7038080013630463</v>
      </c>
      <c r="L26" s="2">
        <f>$D$26</f>
        <v>29.979846562063884</v>
      </c>
      <c r="M26" s="2">
        <f>$C$26</f>
        <v>1.7038080013630463</v>
      </c>
      <c r="N26" s="2">
        <f>$D$26</f>
        <v>29.979846562063884</v>
      </c>
      <c r="O26" s="2">
        <f>$C$26</f>
        <v>1.7038080013630463</v>
      </c>
      <c r="P26" s="2">
        <f>$D$26</f>
        <v>29.979846562063884</v>
      </c>
      <c r="Q26" s="2">
        <f>$C$26</f>
        <v>1.7038080013630463</v>
      </c>
      <c r="R26" s="2">
        <f>$D$26</f>
        <v>29.979846562063884</v>
      </c>
      <c r="S26" s="2">
        <f>$C$26</f>
        <v>1.7038080013630463</v>
      </c>
      <c r="T26" s="2">
        <f>$D$26</f>
        <v>29.979846562063884</v>
      </c>
      <c r="U26" s="2">
        <f>$C$26</f>
        <v>1.7038080013630463</v>
      </c>
      <c r="V26" s="2">
        <f>$D$26</f>
        <v>29.979846562063884</v>
      </c>
      <c r="W26" s="2">
        <f>$C$26</f>
        <v>1.7038080013630463</v>
      </c>
      <c r="X26" s="2">
        <f>$D$26</f>
        <v>29.979846562063884</v>
      </c>
      <c r="Y26" s="2">
        <f>$C$26</f>
        <v>1.7038080013630463</v>
      </c>
      <c r="Z26" s="2">
        <f>$D$26</f>
        <v>29.979846562063884</v>
      </c>
      <c r="AA26" s="2">
        <f>$C$26</f>
        <v>1.7038080013630463</v>
      </c>
      <c r="AB26" s="2">
        <f>$D$26</f>
        <v>29.979846562063884</v>
      </c>
    </row>
    <row r="27" spans="1:28">
      <c r="A27" s="138"/>
      <c r="B27" s="13" t="s">
        <v>188</v>
      </c>
      <c r="C27" s="2">
        <f>results!B26</f>
        <v>2.2835594108730621</v>
      </c>
      <c r="D27" s="2">
        <f>results!C26</f>
        <v>40.181030197394769</v>
      </c>
      <c r="E27" s="2">
        <f>$C$27</f>
        <v>2.2835594108730621</v>
      </c>
      <c r="F27" s="2">
        <f>$D$27</f>
        <v>40.181030197394769</v>
      </c>
      <c r="G27" s="2">
        <f>$C$27</f>
        <v>2.2835594108730621</v>
      </c>
      <c r="H27" s="2">
        <f>$D$27</f>
        <v>40.181030197394769</v>
      </c>
      <c r="I27" s="2">
        <f>$C$27</f>
        <v>2.2835594108730621</v>
      </c>
      <c r="J27" s="2">
        <f>$D$27</f>
        <v>40.181030197394769</v>
      </c>
      <c r="K27" s="2">
        <f>$C$27</f>
        <v>2.2835594108730621</v>
      </c>
      <c r="L27" s="2">
        <f>$D$27</f>
        <v>40.181030197394769</v>
      </c>
      <c r="M27" s="2">
        <f>$C$27</f>
        <v>2.2835594108730621</v>
      </c>
      <c r="N27" s="2">
        <f>$D$27</f>
        <v>40.181030197394769</v>
      </c>
      <c r="O27" s="2">
        <f>$C$27</f>
        <v>2.2835594108730621</v>
      </c>
      <c r="P27" s="2">
        <f>$D$27</f>
        <v>40.181030197394769</v>
      </c>
      <c r="Q27" s="2">
        <f>$C$27</f>
        <v>2.2835594108730621</v>
      </c>
      <c r="R27" s="2">
        <f>$D$27</f>
        <v>40.181030197394769</v>
      </c>
      <c r="S27" s="2">
        <f>$C$27</f>
        <v>2.2835594108730621</v>
      </c>
      <c r="T27" s="2">
        <f>$D$27</f>
        <v>40.181030197394769</v>
      </c>
      <c r="U27" s="2">
        <f>$C$27</f>
        <v>2.2835594108730621</v>
      </c>
      <c r="V27" s="2">
        <f>$D$27</f>
        <v>40.181030197394769</v>
      </c>
      <c r="W27" s="2">
        <f>$C$27</f>
        <v>2.2835594108730621</v>
      </c>
      <c r="X27" s="2">
        <f>$D$27</f>
        <v>40.181030197394769</v>
      </c>
      <c r="Y27" s="2">
        <f>$C$27</f>
        <v>2.2835594108730621</v>
      </c>
      <c r="Z27" s="2">
        <f>$D$27</f>
        <v>40.181030197394769</v>
      </c>
      <c r="AA27" s="2">
        <f>$C$27</f>
        <v>2.2835594108730621</v>
      </c>
      <c r="AB27" s="2">
        <f>$D$27</f>
        <v>40.181030197394769</v>
      </c>
    </row>
    <row r="28" spans="1:28">
      <c r="A28" s="138"/>
      <c r="B28" s="13" t="s">
        <v>199</v>
      </c>
      <c r="C28" s="2">
        <f>results!B27</f>
        <v>5.5216000044172793</v>
      </c>
      <c r="D28" s="2">
        <f>results!C27</f>
        <v>97.156910154836652</v>
      </c>
      <c r="E28" s="2">
        <f>$C$28</f>
        <v>5.5216000044172793</v>
      </c>
      <c r="F28" s="2">
        <f>$D$28</f>
        <v>97.156910154836652</v>
      </c>
      <c r="G28" s="2">
        <f>$C$28</f>
        <v>5.5216000044172793</v>
      </c>
      <c r="H28" s="2">
        <f>$D$28</f>
        <v>97.156910154836652</v>
      </c>
      <c r="I28" s="2">
        <f>$C$28</f>
        <v>5.5216000044172793</v>
      </c>
      <c r="J28" s="2">
        <f>$D$28</f>
        <v>97.156910154836652</v>
      </c>
      <c r="K28" s="2">
        <f>$C$28</f>
        <v>5.5216000044172793</v>
      </c>
      <c r="L28" s="2">
        <f>$D$28</f>
        <v>97.156910154836652</v>
      </c>
      <c r="M28" s="2">
        <f>$C$28</f>
        <v>5.5216000044172793</v>
      </c>
      <c r="N28" s="2">
        <f>$D$28</f>
        <v>97.156910154836652</v>
      </c>
      <c r="O28" s="2">
        <f>$C$28</f>
        <v>5.5216000044172793</v>
      </c>
      <c r="P28" s="2">
        <f>$D$28</f>
        <v>97.156910154836652</v>
      </c>
      <c r="Q28" s="2">
        <f>$C$28</f>
        <v>5.5216000044172793</v>
      </c>
      <c r="R28" s="2">
        <f>$D$28</f>
        <v>97.156910154836652</v>
      </c>
      <c r="S28" s="2">
        <f>$C$28</f>
        <v>5.5216000044172793</v>
      </c>
      <c r="T28" s="2">
        <f>$D$28</f>
        <v>97.156910154836652</v>
      </c>
      <c r="U28" s="2">
        <f>$C$28</f>
        <v>5.5216000044172793</v>
      </c>
      <c r="V28" s="2">
        <f>$D$28</f>
        <v>97.156910154836652</v>
      </c>
      <c r="W28" s="2">
        <f>$C$28</f>
        <v>5.5216000044172793</v>
      </c>
      <c r="X28" s="2">
        <f>$D$28</f>
        <v>97.156910154836652</v>
      </c>
      <c r="Y28" s="2">
        <f>$C$28</f>
        <v>5.5216000044172793</v>
      </c>
      <c r="Z28" s="2">
        <f>$D$28</f>
        <v>97.156910154836652</v>
      </c>
      <c r="AA28" s="2">
        <f>$C$28</f>
        <v>5.5216000044172793</v>
      </c>
      <c r="AB28" s="2">
        <f>$D$28</f>
        <v>97.156910154836652</v>
      </c>
    </row>
    <row r="29" spans="1:28" s="36" customFormat="1">
      <c r="A29"/>
      <c r="B29" s="36" t="s">
        <v>108</v>
      </c>
      <c r="C29" s="36">
        <v>0</v>
      </c>
      <c r="D29" s="36">
        <v>0</v>
      </c>
      <c r="E29" s="36">
        <f>'energy consumption'!$N$26</f>
        <v>1.6328160013062525E-2</v>
      </c>
      <c r="F29" s="36">
        <f>'energy consumption'!$O$26</f>
        <v>0.28730686288644547</v>
      </c>
      <c r="G29" s="36">
        <f>$E$29*G3</f>
        <v>1.6328160013062525E-2</v>
      </c>
      <c r="H29" s="36">
        <f>$F$29*G3</f>
        <v>0.28730686288644547</v>
      </c>
      <c r="I29" s="36">
        <f>$E$29*I3</f>
        <v>1.6328160013062525E-2</v>
      </c>
      <c r="J29" s="36">
        <f>$F$29*I3</f>
        <v>0.28730686288644547</v>
      </c>
      <c r="K29" s="36">
        <f>$E$29*K3</f>
        <v>1.4695344011756272E-2</v>
      </c>
      <c r="L29" s="36">
        <f>$F$29*K3</f>
        <v>0.25857617659780091</v>
      </c>
      <c r="M29" s="36">
        <f>$E$29*M3</f>
        <v>1.4695344011756272E-2</v>
      </c>
      <c r="N29" s="36">
        <f>$F$29*M3</f>
        <v>0.25857617659780091</v>
      </c>
      <c r="O29" s="36">
        <f>$E$29*O3</f>
        <v>1.4695344011756272E-2</v>
      </c>
      <c r="P29" s="36">
        <f>$F$29*O3</f>
        <v>0.25857617659780091</v>
      </c>
      <c r="Q29" s="36">
        <f>$E$29*Q3</f>
        <v>1.306252801045002E-2</v>
      </c>
      <c r="R29" s="36">
        <f>$F$29*Q3</f>
        <v>0.22984549030915638</v>
      </c>
      <c r="S29" s="36">
        <f>$E$29*S3</f>
        <v>1.306252801045002E-2</v>
      </c>
      <c r="T29" s="36">
        <f>$F$29*S3</f>
        <v>0.22984549030915638</v>
      </c>
      <c r="U29" s="36">
        <f>$E$29*U3</f>
        <v>1.306252801045002E-2</v>
      </c>
      <c r="V29" s="36">
        <f>$F$29*U3</f>
        <v>0.22984549030915638</v>
      </c>
      <c r="W29" s="36">
        <f>$E$29*W3</f>
        <v>1.1429712009143767E-2</v>
      </c>
      <c r="X29" s="36">
        <f>$F$29*W3</f>
        <v>0.20111480402051182</v>
      </c>
      <c r="Y29" s="36">
        <f>$E$29*Y3</f>
        <v>1.1429712009143767E-2</v>
      </c>
      <c r="Z29" s="36">
        <f>$F$29*Y3</f>
        <v>0.20111480402051182</v>
      </c>
      <c r="AA29" s="36">
        <f>$E$29*AA3</f>
        <v>1.1429712009143767E-2</v>
      </c>
      <c r="AB29" s="36">
        <f>$F$29*AA3</f>
        <v>0.20111480402051182</v>
      </c>
    </row>
    <row r="30" spans="1:28" s="36" customFormat="1">
      <c r="A30"/>
      <c r="B30" s="37" t="s">
        <v>175</v>
      </c>
      <c r="C30" s="37">
        <v>0</v>
      </c>
      <c r="D30" s="37">
        <v>0</v>
      </c>
      <c r="E30" s="37" t="e">
        <f>#REF!</f>
        <v>#REF!</v>
      </c>
      <c r="F30" s="37" t="e">
        <f>#REF!</f>
        <v>#REF!</v>
      </c>
      <c r="G30" s="37" t="e">
        <f>$E$30</f>
        <v>#REF!</v>
      </c>
      <c r="H30" s="37" t="e">
        <f>$F$30</f>
        <v>#REF!</v>
      </c>
      <c r="I30" s="37" t="e">
        <f>$E$30</f>
        <v>#REF!</v>
      </c>
      <c r="J30" s="37" t="e">
        <f>$F$30</f>
        <v>#REF!</v>
      </c>
      <c r="K30" s="37" t="e">
        <f>$E$30</f>
        <v>#REF!</v>
      </c>
      <c r="L30" s="37" t="e">
        <f>$F$30</f>
        <v>#REF!</v>
      </c>
      <c r="M30" s="37" t="e">
        <f>$E$30</f>
        <v>#REF!</v>
      </c>
      <c r="N30" s="37" t="e">
        <f>$F$30</f>
        <v>#REF!</v>
      </c>
      <c r="O30" s="37" t="e">
        <f>$E$30</f>
        <v>#REF!</v>
      </c>
      <c r="P30" s="37" t="e">
        <f>$F$30</f>
        <v>#REF!</v>
      </c>
      <c r="Q30" s="37" t="e">
        <f>$E$30</f>
        <v>#REF!</v>
      </c>
      <c r="R30" s="37" t="e">
        <f>$F$30</f>
        <v>#REF!</v>
      </c>
      <c r="S30" s="37" t="e">
        <f>$E$30</f>
        <v>#REF!</v>
      </c>
      <c r="T30" s="37" t="e">
        <f>$F$30</f>
        <v>#REF!</v>
      </c>
      <c r="U30" s="37" t="e">
        <f>$E$30</f>
        <v>#REF!</v>
      </c>
      <c r="V30" s="37" t="e">
        <f>$F$30</f>
        <v>#REF!</v>
      </c>
      <c r="W30" s="37" t="e">
        <f>$E$30</f>
        <v>#REF!</v>
      </c>
      <c r="X30" s="37" t="e">
        <f>$F$30</f>
        <v>#REF!</v>
      </c>
      <c r="Y30" s="37" t="e">
        <f>$E$30</f>
        <v>#REF!</v>
      </c>
      <c r="Z30" s="37" t="e">
        <f>$F$30</f>
        <v>#REF!</v>
      </c>
      <c r="AA30" s="37" t="e">
        <f>$E$30</f>
        <v>#REF!</v>
      </c>
      <c r="AB30" s="37" t="e">
        <f>$F$30</f>
        <v>#REF!</v>
      </c>
    </row>
    <row r="31" spans="1:28" s="36" customFormat="1">
      <c r="A31"/>
      <c r="B31" s="37" t="s">
        <v>86</v>
      </c>
      <c r="C31" s="37">
        <f>results!$B$29</f>
        <v>6.5339114634350754E-4</v>
      </c>
      <c r="D31" s="37">
        <f>results!$C$29</f>
        <v>5.4601869797269286E-3</v>
      </c>
      <c r="E31" s="37" t="e">
        <f>#REF!</f>
        <v>#REF!</v>
      </c>
      <c r="F31" s="37" t="e">
        <f>#REF!</f>
        <v>#REF!</v>
      </c>
      <c r="G31" s="37" t="e">
        <f>$E$31</f>
        <v>#REF!</v>
      </c>
      <c r="H31" s="37" t="e">
        <f>$F$31</f>
        <v>#REF!</v>
      </c>
      <c r="I31" s="37" t="e">
        <f>$E$31</f>
        <v>#REF!</v>
      </c>
      <c r="J31" s="37" t="e">
        <f>$F$31</f>
        <v>#REF!</v>
      </c>
      <c r="K31" s="37" t="e">
        <f>$E$31</f>
        <v>#REF!</v>
      </c>
      <c r="L31" s="37" t="e">
        <f>$F$31</f>
        <v>#REF!</v>
      </c>
      <c r="M31" s="37" t="e">
        <f>$E$31</f>
        <v>#REF!</v>
      </c>
      <c r="N31" s="37" t="e">
        <f>$F$31</f>
        <v>#REF!</v>
      </c>
      <c r="O31" s="37" t="e">
        <f>$E$31</f>
        <v>#REF!</v>
      </c>
      <c r="P31" s="37" t="e">
        <f>$F$31</f>
        <v>#REF!</v>
      </c>
      <c r="Q31" s="37" t="e">
        <f>$E$31</f>
        <v>#REF!</v>
      </c>
      <c r="R31" s="37" t="e">
        <f>$F$31</f>
        <v>#REF!</v>
      </c>
      <c r="S31" s="37" t="e">
        <f>$E$31</f>
        <v>#REF!</v>
      </c>
      <c r="T31" s="37" t="e">
        <f>$F$31</f>
        <v>#REF!</v>
      </c>
      <c r="U31" s="37" t="e">
        <f>$E$31</f>
        <v>#REF!</v>
      </c>
      <c r="V31" s="37" t="e">
        <f>$F$31</f>
        <v>#REF!</v>
      </c>
      <c r="W31" s="37" t="e">
        <f>$E$31</f>
        <v>#REF!</v>
      </c>
      <c r="X31" s="37" t="e">
        <f>$F$31</f>
        <v>#REF!</v>
      </c>
      <c r="Y31" s="37" t="e">
        <f>$E$31</f>
        <v>#REF!</v>
      </c>
      <c r="Z31" s="37" t="e">
        <f>$F$31</f>
        <v>#REF!</v>
      </c>
      <c r="AA31" s="37" t="e">
        <f>$E$31</f>
        <v>#REF!</v>
      </c>
      <c r="AB31" s="37" t="e">
        <f>$F$31</f>
        <v>#REF!</v>
      </c>
    </row>
    <row r="32" spans="1:28" s="36" customFormat="1">
      <c r="A32"/>
      <c r="B32"/>
      <c r="C32"/>
    </row>
    <row r="33" spans="1:28" s="36" customFormat="1">
      <c r="A33"/>
      <c r="B33"/>
      <c r="C33"/>
    </row>
    <row r="34" spans="1:28" s="36" customFormat="1">
      <c r="A34"/>
      <c r="B34"/>
      <c r="C34"/>
    </row>
    <row r="35" spans="1:28" s="36" customFormat="1">
      <c r="A35"/>
    </row>
    <row r="37" spans="1:28">
      <c r="C37" s="2">
        <f>SUM(C5:C36)</f>
        <v>73.989822718329449</v>
      </c>
      <c r="D37" s="2">
        <f t="shared" ref="D37:AB37" si="0">SUM(D5:D36)</f>
        <v>1327.8643825392539</v>
      </c>
      <c r="E37" s="2" t="e">
        <f t="shared" si="0"/>
        <v>#REF!</v>
      </c>
      <c r="F37" s="2" t="e">
        <f t="shared" si="0"/>
        <v>#REF!</v>
      </c>
      <c r="G37" s="2" t="e">
        <f t="shared" si="0"/>
        <v>#REF!</v>
      </c>
      <c r="H37" s="2" t="e">
        <f t="shared" si="0"/>
        <v>#REF!</v>
      </c>
      <c r="I37" s="2" t="e">
        <f t="shared" si="0"/>
        <v>#REF!</v>
      </c>
      <c r="J37" s="2" t="e">
        <f t="shared" si="0"/>
        <v>#REF!</v>
      </c>
      <c r="K37" s="2" t="e">
        <f t="shared" si="0"/>
        <v>#REF!</v>
      </c>
      <c r="L37" s="2" t="e">
        <f t="shared" si="0"/>
        <v>#REF!</v>
      </c>
      <c r="M37" s="2" t="e">
        <f t="shared" si="0"/>
        <v>#REF!</v>
      </c>
      <c r="N37" s="2" t="e">
        <f t="shared" si="0"/>
        <v>#REF!</v>
      </c>
      <c r="O37" s="2" t="e">
        <f t="shared" si="0"/>
        <v>#REF!</v>
      </c>
      <c r="P37" s="2" t="e">
        <f t="shared" si="0"/>
        <v>#REF!</v>
      </c>
      <c r="Q37" s="2" t="e">
        <f t="shared" si="0"/>
        <v>#REF!</v>
      </c>
      <c r="R37" s="2" t="e">
        <f t="shared" si="0"/>
        <v>#REF!</v>
      </c>
      <c r="S37" s="2" t="e">
        <f t="shared" si="0"/>
        <v>#REF!</v>
      </c>
      <c r="T37" s="2" t="e">
        <f t="shared" si="0"/>
        <v>#REF!</v>
      </c>
      <c r="U37" s="2" t="e">
        <f t="shared" si="0"/>
        <v>#REF!</v>
      </c>
      <c r="V37" s="2" t="e">
        <f t="shared" si="0"/>
        <v>#REF!</v>
      </c>
      <c r="W37" s="2" t="e">
        <f t="shared" si="0"/>
        <v>#REF!</v>
      </c>
      <c r="X37" s="2" t="e">
        <f t="shared" si="0"/>
        <v>#REF!</v>
      </c>
      <c r="Y37" s="2" t="e">
        <f t="shared" si="0"/>
        <v>#REF!</v>
      </c>
      <c r="Z37" s="2" t="e">
        <f t="shared" si="0"/>
        <v>#REF!</v>
      </c>
      <c r="AA37" s="2" t="e">
        <f t="shared" si="0"/>
        <v>#REF!</v>
      </c>
      <c r="AB37" s="2" t="e">
        <f t="shared" si="0"/>
        <v>#REF!</v>
      </c>
    </row>
    <row r="39" spans="1:28">
      <c r="D39" s="38" t="s">
        <v>163</v>
      </c>
    </row>
    <row r="40" spans="1:28">
      <c r="C40" s="12">
        <v>1</v>
      </c>
      <c r="D40" s="12">
        <v>0.9</v>
      </c>
      <c r="E40" s="12">
        <v>0.8</v>
      </c>
      <c r="F40" s="12">
        <v>0.7</v>
      </c>
    </row>
    <row r="41" spans="1:28">
      <c r="B41" s="12">
        <v>1</v>
      </c>
      <c r="C41" s="39" t="e">
        <f>E37</f>
        <v>#REF!</v>
      </c>
      <c r="D41" s="39" t="e">
        <f>K37</f>
        <v>#REF!</v>
      </c>
      <c r="E41" s="39" t="e">
        <f>Q37</f>
        <v>#REF!</v>
      </c>
      <c r="F41" s="39" t="e">
        <f>W37</f>
        <v>#REF!</v>
      </c>
    </row>
    <row r="42" spans="1:28">
      <c r="A42" s="38" t="s">
        <v>164</v>
      </c>
      <c r="B42" s="12">
        <v>0.95</v>
      </c>
      <c r="C42" s="39" t="e">
        <f>G37</f>
        <v>#REF!</v>
      </c>
      <c r="D42" s="39" t="e">
        <f>M37</f>
        <v>#REF!</v>
      </c>
      <c r="E42" s="39" t="e">
        <f>S37</f>
        <v>#REF!</v>
      </c>
      <c r="F42" s="39" t="e">
        <f>Y37</f>
        <v>#REF!</v>
      </c>
    </row>
    <row r="43" spans="1:28">
      <c r="B43" s="12">
        <v>0.9</v>
      </c>
      <c r="C43" s="39" t="e">
        <f>I37</f>
        <v>#REF!</v>
      </c>
      <c r="D43" s="39" t="e">
        <f>O37</f>
        <v>#REF!</v>
      </c>
      <c r="E43" s="39" t="e">
        <f>U37</f>
        <v>#REF!</v>
      </c>
      <c r="F43" s="39" t="e">
        <f>AA37</f>
        <v>#REF!</v>
      </c>
    </row>
    <row r="45" spans="1:28">
      <c r="C45" s="12">
        <v>1</v>
      </c>
      <c r="D45" s="12">
        <v>0.9</v>
      </c>
      <c r="E45" s="12">
        <v>0.8</v>
      </c>
    </row>
    <row r="46" spans="1:28">
      <c r="B46" s="12">
        <v>1</v>
      </c>
      <c r="C46" s="46" t="e">
        <f>F37</f>
        <v>#REF!</v>
      </c>
      <c r="D46" s="46" t="e">
        <f>L37</f>
        <v>#REF!</v>
      </c>
      <c r="E46" s="46" t="e">
        <f>R37</f>
        <v>#REF!</v>
      </c>
      <c r="F46" s="46" t="e">
        <f>X37</f>
        <v>#REF!</v>
      </c>
    </row>
    <row r="47" spans="1:28">
      <c r="B47" s="12">
        <v>0.95</v>
      </c>
      <c r="C47" s="46" t="e">
        <f>H37</f>
        <v>#REF!</v>
      </c>
      <c r="D47" s="46" t="e">
        <f>N37</f>
        <v>#REF!</v>
      </c>
      <c r="E47" s="46" t="e">
        <f>T37</f>
        <v>#REF!</v>
      </c>
      <c r="F47" s="46" t="e">
        <f>Z37</f>
        <v>#REF!</v>
      </c>
    </row>
    <row r="48" spans="1:28">
      <c r="B48" s="12">
        <v>0.9</v>
      </c>
      <c r="C48" s="46" t="e">
        <f>J37</f>
        <v>#REF!</v>
      </c>
      <c r="D48" s="46" t="e">
        <f>P37</f>
        <v>#REF!</v>
      </c>
      <c r="E48" s="46" t="e">
        <f>V37</f>
        <v>#REF!</v>
      </c>
      <c r="F48" s="46" t="e">
        <f>AB37</f>
        <v>#REF!</v>
      </c>
    </row>
  </sheetData>
  <mergeCells count="15">
    <mergeCell ref="W1:X1"/>
    <mergeCell ref="Y1:Z1"/>
    <mergeCell ref="AA1:AB1"/>
    <mergeCell ref="S1:T1"/>
    <mergeCell ref="U1:V1"/>
    <mergeCell ref="I1:J1"/>
    <mergeCell ref="K1:L1"/>
    <mergeCell ref="M1:N1"/>
    <mergeCell ref="O1:P1"/>
    <mergeCell ref="Q1:R1"/>
    <mergeCell ref="C1:D1"/>
    <mergeCell ref="E1:F1"/>
    <mergeCell ref="A5:A18"/>
    <mergeCell ref="A20:A28"/>
    <mergeCell ref="G1:H1"/>
  </mergeCells>
  <phoneticPr fontId="11" type="noConversion"/>
  <conditionalFormatting sqref="C41:E43">
    <cfRule type="colorScale" priority="3">
      <colorScale>
        <cfvo type="min"/>
        <cfvo type="max"/>
        <color rgb="FFFCFCFF"/>
        <color rgb="FF63BE7B"/>
      </colorScale>
    </cfRule>
  </conditionalFormatting>
  <conditionalFormatting sqref="C46:E48">
    <cfRule type="colorScale" priority="4">
      <colorScale>
        <cfvo type="min"/>
        <cfvo type="max"/>
        <color rgb="FFFCFCFF"/>
        <color rgb="FFF8696B"/>
      </colorScale>
    </cfRule>
  </conditionalFormatting>
  <conditionalFormatting sqref="C41:F43">
    <cfRule type="colorScale" priority="2">
      <colorScale>
        <cfvo type="min"/>
        <cfvo type="max"/>
        <color rgb="FFFCFCFF"/>
        <color rgb="FF63BE7B"/>
      </colorScale>
    </cfRule>
  </conditionalFormatting>
  <conditionalFormatting sqref="C46:F48">
    <cfRule type="colorScale" priority="1">
      <colorScale>
        <cfvo type="min"/>
        <cfvo type="max"/>
        <color rgb="FFFCFCFF"/>
        <color rgb="FFF8696B"/>
      </colorScale>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995AE-1708-413A-A870-9BB6AA3EA062}">
  <sheetPr codeName="Sheet8"/>
  <dimension ref="A1:Q36"/>
  <sheetViews>
    <sheetView workbookViewId="0">
      <pane xSplit="1" topLeftCell="B1" activePane="topRight" state="frozen"/>
      <selection activeCell="A4" sqref="A4"/>
      <selection pane="topRight" activeCell="F27" sqref="F27"/>
    </sheetView>
  </sheetViews>
  <sheetFormatPr defaultRowHeight="15"/>
  <cols>
    <col min="1" max="1" width="25.140625" customWidth="1"/>
    <col min="2" max="3" width="19.85546875" customWidth="1"/>
    <col min="4" max="4" width="9.7109375" customWidth="1"/>
    <col min="5" max="6" width="20.42578125" customWidth="1"/>
    <col min="7" max="7" width="9.7109375" customWidth="1"/>
    <col min="8" max="9" width="19.85546875" customWidth="1"/>
    <col min="11" max="11" width="53.5703125" customWidth="1"/>
  </cols>
  <sheetData>
    <row r="1" spans="1:17">
      <c r="B1" s="143" t="str">
        <f>'recycling level'!C1</f>
        <v>landfill (0,0)</v>
      </c>
      <c r="C1" s="143"/>
      <c r="E1" s="2" t="str">
        <f>'recycling level'!E1</f>
        <v>ideal recycling (1,1)</v>
      </c>
      <c r="F1" s="2">
        <f>'recycling level'!F1</f>
        <v>0</v>
      </c>
      <c r="G1" s="2"/>
      <c r="H1" s="143" t="s">
        <v>178</v>
      </c>
      <c r="I1" s="143"/>
    </row>
    <row r="2" spans="1:17">
      <c r="B2" t="str">
        <f>'recycling level'!C2</f>
        <v>glass</v>
      </c>
      <c r="C2" t="str">
        <f>'recycling level'!D2</f>
        <v>metal</v>
      </c>
      <c r="E2" t="str">
        <f>'recycling level'!E2</f>
        <v>glass</v>
      </c>
      <c r="F2" t="str">
        <f>'recycling level'!F2</f>
        <v>metal</v>
      </c>
      <c r="H2" t="s">
        <v>146</v>
      </c>
      <c r="I2" t="s">
        <v>148</v>
      </c>
    </row>
    <row r="3" spans="1:17" ht="15.75" thickBot="1">
      <c r="A3" t="str">
        <f>'recycling level'!B3</f>
        <v>recycling level</v>
      </c>
      <c r="B3">
        <f>'recycling level'!C3</f>
        <v>0</v>
      </c>
      <c r="C3">
        <f>'recycling level'!D3</f>
        <v>0</v>
      </c>
      <c r="E3">
        <f>'recycling level'!E3</f>
        <v>1</v>
      </c>
      <c r="F3">
        <f>'recycling level'!F3</f>
        <v>1</v>
      </c>
      <c r="H3" s="41">
        <f>N10</f>
        <v>1</v>
      </c>
      <c r="I3" s="41">
        <f>N12</f>
        <v>1</v>
      </c>
    </row>
    <row r="4" spans="1:17" ht="16.5" thickTop="1" thickBot="1">
      <c r="B4" t="str">
        <f>'recycling level'!C4</f>
        <v>Carbon footprint</v>
      </c>
      <c r="C4" t="str">
        <f>'recycling level'!D4</f>
        <v>Primary energy consumption</v>
      </c>
      <c r="E4" t="str">
        <f>'recycling level'!E4</f>
        <v>Carbon footprint</v>
      </c>
      <c r="F4" t="str">
        <f>'recycling level'!F4</f>
        <v>Primary energy consumption</v>
      </c>
      <c r="H4" t="s">
        <v>9</v>
      </c>
      <c r="I4" t="s">
        <v>10</v>
      </c>
      <c r="K4" s="79" t="s">
        <v>179</v>
      </c>
    </row>
    <row r="5" spans="1:17" ht="15.75" thickTop="1">
      <c r="A5" t="str">
        <f>'recycling level'!B5</f>
        <v>FTO glass</v>
      </c>
      <c r="B5">
        <f>'recycling level'!C5</f>
        <v>3.4780676817599994</v>
      </c>
      <c r="C5">
        <f>'recycling level'!D5</f>
        <v>85.029036949120112</v>
      </c>
      <c r="E5">
        <f>'recycling level'!E5</f>
        <v>0</v>
      </c>
      <c r="F5">
        <f>'recycling level'!F5</f>
        <v>0</v>
      </c>
      <c r="H5" s="76">
        <f>B5*(1-$H$3)</f>
        <v>0</v>
      </c>
      <c r="I5" s="76">
        <f>C5*(1-$H$3)</f>
        <v>0</v>
      </c>
      <c r="K5" s="45" t="s">
        <v>182</v>
      </c>
      <c r="L5" s="63">
        <f>N5*0.8</f>
        <v>7.1199999999999999E-2</v>
      </c>
      <c r="M5">
        <v>16.982670256804653</v>
      </c>
      <c r="N5" s="69">
        <v>8.8999999999999996E-2</v>
      </c>
      <c r="O5" t="e">
        <f>$E$34</f>
        <v>#REF!</v>
      </c>
      <c r="P5" s="71">
        <f>N5*1.2</f>
        <v>0.10679999999999999</v>
      </c>
      <c r="Q5">
        <v>17.007883042212949</v>
      </c>
    </row>
    <row r="6" spans="1:17">
      <c r="A6" t="str">
        <f>'recycling level'!B6</f>
        <v>Zinc powder</v>
      </c>
      <c r="B6">
        <f>'recycling level'!C6</f>
        <v>3.6278153E-4</v>
      </c>
      <c r="C6">
        <f>'recycling level'!D6</f>
        <v>4.1800508549599998E-3</v>
      </c>
      <c r="E6">
        <f>'recycling level'!E6</f>
        <v>0</v>
      </c>
      <c r="F6">
        <f>'recycling level'!F6</f>
        <v>0</v>
      </c>
      <c r="H6" s="76">
        <f t="shared" ref="H6:H11" si="0">B6*(1-$H$3)</f>
        <v>0</v>
      </c>
      <c r="I6" s="76">
        <f t="shared" ref="I6:I11" si="1">C6*(1-$H$3)</f>
        <v>0</v>
      </c>
      <c r="K6" t="s">
        <v>173</v>
      </c>
      <c r="L6" s="64">
        <f>N6*0.8</f>
        <v>0.13440000000000002</v>
      </c>
      <c r="M6">
        <v>16.971376009489681</v>
      </c>
      <c r="N6" s="69">
        <v>0.16800000000000001</v>
      </c>
      <c r="O6" t="e">
        <f t="shared" ref="O6:O12" si="2">$E$34</f>
        <v>#REF!</v>
      </c>
      <c r="P6" s="71">
        <f>N6*1.2</f>
        <v>0.2016</v>
      </c>
      <c r="Q6">
        <v>17.019177289527921</v>
      </c>
    </row>
    <row r="7" spans="1:17">
      <c r="A7" t="str">
        <f>'recycling level'!B7</f>
        <v>Dilute HCl</v>
      </c>
      <c r="B7">
        <f>'recycling level'!C7</f>
        <v>3.2090210384615382E-4</v>
      </c>
      <c r="C7">
        <f>'recycling level'!D7</f>
        <v>4.6518874375235586E-3</v>
      </c>
      <c r="E7">
        <f>'recycling level'!E7</f>
        <v>0</v>
      </c>
      <c r="F7">
        <f>'recycling level'!F7</f>
        <v>0</v>
      </c>
      <c r="H7" s="76">
        <f t="shared" si="0"/>
        <v>0</v>
      </c>
      <c r="I7" s="76">
        <f t="shared" si="1"/>
        <v>0</v>
      </c>
      <c r="K7" t="s">
        <v>172</v>
      </c>
      <c r="L7" s="64">
        <f>N7*0.8</f>
        <v>0.1648</v>
      </c>
      <c r="M7">
        <v>16.9660647561521</v>
      </c>
      <c r="N7" s="69">
        <v>0.20599999999999999</v>
      </c>
      <c r="O7" t="e">
        <f t="shared" si="2"/>
        <v>#REF!</v>
      </c>
      <c r="P7" s="71">
        <f>N7*1.2</f>
        <v>0.24719999999999998</v>
      </c>
      <c r="Q7">
        <v>17.024488542865505</v>
      </c>
    </row>
    <row r="8" spans="1:17">
      <c r="A8" t="str">
        <f>'recycling level'!B8</f>
        <v>Ethanol</v>
      </c>
      <c r="B8">
        <f>'recycling level'!C8</f>
        <v>7.2135383999999997E-2</v>
      </c>
      <c r="C8">
        <f>'recycling level'!D8</f>
        <v>2.1431605553400002</v>
      </c>
      <c r="E8">
        <f>'recycling level'!E8</f>
        <v>0</v>
      </c>
      <c r="F8">
        <f>'recycling level'!F8</f>
        <v>0</v>
      </c>
      <c r="H8" s="76">
        <f t="shared" si="0"/>
        <v>0</v>
      </c>
      <c r="I8" s="76">
        <f t="shared" si="1"/>
        <v>0</v>
      </c>
      <c r="K8" t="s">
        <v>170</v>
      </c>
      <c r="L8" s="64">
        <f>N8*0.8</f>
        <v>0.38640000000000002</v>
      </c>
      <c r="M8">
        <v>16.926685345106101</v>
      </c>
      <c r="N8" s="69">
        <v>0.48299999999999998</v>
      </c>
      <c r="O8" t="e">
        <f t="shared" si="2"/>
        <v>#REF!</v>
      </c>
      <c r="P8" s="71">
        <f>N8*1.2</f>
        <v>0.5796</v>
      </c>
      <c r="Q8">
        <v>17.063867953911501</v>
      </c>
    </row>
    <row r="9" spans="1:17">
      <c r="A9" t="str">
        <f>'recycling level'!B9</f>
        <v>Deionized water</v>
      </c>
      <c r="B9">
        <f>'recycling level'!C9</f>
        <v>1.13833164E-4</v>
      </c>
      <c r="C9">
        <f>'recycling level'!D9</f>
        <v>1.5662186060912001E-3</v>
      </c>
      <c r="E9">
        <f>'recycling level'!E9</f>
        <v>0</v>
      </c>
      <c r="F9">
        <f>'recycling level'!F9</f>
        <v>0</v>
      </c>
      <c r="H9" s="76">
        <f t="shared" si="0"/>
        <v>0</v>
      </c>
      <c r="I9" s="76">
        <f t="shared" si="1"/>
        <v>0</v>
      </c>
      <c r="K9" t="s">
        <v>171</v>
      </c>
      <c r="L9" s="65">
        <f>N9*0.8</f>
        <v>2.6472000000000002</v>
      </c>
      <c r="M9">
        <v>16.525514987542717</v>
      </c>
      <c r="N9" s="69">
        <v>3.3090000000000002</v>
      </c>
      <c r="O9" t="e">
        <f t="shared" si="2"/>
        <v>#REF!</v>
      </c>
      <c r="P9" s="72">
        <f>N9*1.2</f>
        <v>3.9708000000000001</v>
      </c>
      <c r="Q9">
        <v>17.465038311474888</v>
      </c>
    </row>
    <row r="10" spans="1:17">
      <c r="A10" t="str">
        <f>'recycling level'!B10</f>
        <v>BL-TiO₂ ink</v>
      </c>
      <c r="B10">
        <f>'recycling level'!C10</f>
        <v>2.655962414144445E-2</v>
      </c>
      <c r="C10">
        <f>'recycling level'!D10</f>
        <v>0.71984448963916647</v>
      </c>
      <c r="E10">
        <f>'recycling level'!E10</f>
        <v>0</v>
      </c>
      <c r="F10">
        <f>'recycling level'!F10</f>
        <v>0</v>
      </c>
      <c r="H10" s="76">
        <f t="shared" si="0"/>
        <v>0</v>
      </c>
      <c r="I10" s="76">
        <f t="shared" si="1"/>
        <v>0</v>
      </c>
      <c r="K10" t="s">
        <v>168</v>
      </c>
      <c r="L10" s="66">
        <f>N10*0.7</f>
        <v>0.7</v>
      </c>
      <c r="M10">
        <v>18.832034371930675</v>
      </c>
      <c r="N10" s="70">
        <v>1</v>
      </c>
      <c r="O10" t="e">
        <f t="shared" si="2"/>
        <v>#REF!</v>
      </c>
      <c r="P10" s="73" t="s">
        <v>33</v>
      </c>
      <c r="Q10" t="e">
        <f>O10</f>
        <v>#REF!</v>
      </c>
    </row>
    <row r="11" spans="1:17">
      <c r="A11" t="str">
        <f>'recycling level'!B11</f>
        <v>La-doped BSO NPs</v>
      </c>
      <c r="B11">
        <f>'recycling level'!C11</f>
        <v>1.4886340397970569E-2</v>
      </c>
      <c r="C11">
        <f>'recycling level'!D11</f>
        <v>0.23984137863979263</v>
      </c>
      <c r="E11">
        <f>'recycling level'!E11</f>
        <v>0</v>
      </c>
      <c r="F11">
        <f>'recycling level'!F11</f>
        <v>0</v>
      </c>
      <c r="H11" s="76">
        <f t="shared" si="0"/>
        <v>0</v>
      </c>
      <c r="I11" s="76">
        <f t="shared" si="1"/>
        <v>0</v>
      </c>
      <c r="K11" t="s">
        <v>174</v>
      </c>
      <c r="L11" s="67">
        <f>N11*0.9</f>
        <v>0.73799999999999999</v>
      </c>
      <c r="M11">
        <v>19.1726254495088</v>
      </c>
      <c r="N11" s="70">
        <v>0.82</v>
      </c>
      <c r="O11" t="e">
        <f t="shared" si="2"/>
        <v>#REF!</v>
      </c>
      <c r="P11" s="74">
        <f>N11*1.1</f>
        <v>0.90200000000000002</v>
      </c>
      <c r="Q11">
        <v>14.817927849508798</v>
      </c>
    </row>
    <row r="12" spans="1:17" ht="15.75" thickBot="1">
      <c r="A12" t="str">
        <f>'recycling level'!B12</f>
        <v>PbI₂</v>
      </c>
      <c r="B12">
        <f>'recycling level'!C12</f>
        <v>5.2781509508930801E-3</v>
      </c>
      <c r="C12">
        <f>'recycling level'!D12</f>
        <v>6.2763408474757407E-2</v>
      </c>
      <c r="E12">
        <f>'recycling level'!E12</f>
        <v>5.2781509508930801E-3</v>
      </c>
      <c r="F12">
        <f>'recycling level'!F12</f>
        <v>6.2763408474757407E-2</v>
      </c>
      <c r="H12">
        <f t="shared" ref="H12:I17" si="3">B12</f>
        <v>5.2781509508930801E-3</v>
      </c>
      <c r="I12">
        <f t="shared" si="3"/>
        <v>6.2763408474757407E-2</v>
      </c>
      <c r="K12" t="s">
        <v>169</v>
      </c>
      <c r="L12" s="66">
        <f>N12*0.8</f>
        <v>0.8</v>
      </c>
      <c r="M12">
        <v>21.349974249508801</v>
      </c>
      <c r="N12" s="70">
        <v>1</v>
      </c>
      <c r="O12" t="e">
        <f t="shared" si="2"/>
        <v>#REF!</v>
      </c>
      <c r="P12" s="73" t="s">
        <v>33</v>
      </c>
      <c r="Q12" t="e">
        <f>O12</f>
        <v>#REF!</v>
      </c>
    </row>
    <row r="13" spans="1:17" ht="16.5" thickTop="1" thickBot="1">
      <c r="A13" t="str">
        <f>'recycling level'!B13</f>
        <v>Dimethylformamide</v>
      </c>
      <c r="B13">
        <f>'recycling level'!C13</f>
        <v>6.7902299613866682E-3</v>
      </c>
      <c r="C13">
        <f>'recycling level'!D13</f>
        <v>0.1846893663970838</v>
      </c>
      <c r="E13">
        <f>'recycling level'!E13</f>
        <v>6.7902299613866682E-3</v>
      </c>
      <c r="F13">
        <f>'recycling level'!F13</f>
        <v>0.1846893663970838</v>
      </c>
      <c r="H13">
        <f t="shared" si="3"/>
        <v>6.7902299613866682E-3</v>
      </c>
      <c r="I13">
        <f t="shared" si="3"/>
        <v>0.1846893663970838</v>
      </c>
      <c r="K13" s="79" t="s">
        <v>180</v>
      </c>
    </row>
    <row r="14" spans="1:17" ht="15.75" thickTop="1">
      <c r="A14" t="str">
        <f>'recycling level'!B14</f>
        <v>CH₃NH₃I</v>
      </c>
      <c r="B14">
        <f>'recycling level'!C14</f>
        <v>6.4442149153297573E-2</v>
      </c>
      <c r="C14">
        <f>'recycling level'!D14</f>
        <v>1.3688443144771683</v>
      </c>
      <c r="E14">
        <f>'recycling level'!E14</f>
        <v>6.4442149153297573E-2</v>
      </c>
      <c r="F14">
        <f>'recycling level'!F14</f>
        <v>1.3688443144771683</v>
      </c>
      <c r="H14">
        <f t="shared" si="3"/>
        <v>6.4442149153297573E-2</v>
      </c>
      <c r="I14">
        <f t="shared" si="3"/>
        <v>1.3688443144771683</v>
      </c>
      <c r="K14" s="45" t="s">
        <v>182</v>
      </c>
      <c r="L14" s="68">
        <f t="shared" ref="L14:L21" si="4">L5</f>
        <v>7.1199999999999999E-2</v>
      </c>
      <c r="M14">
        <v>279.66919325330525</v>
      </c>
      <c r="N14" s="69">
        <v>8.8999999999999996E-2</v>
      </c>
      <c r="O14" t="e">
        <f>$F$34</f>
        <v>#REF!</v>
      </c>
      <c r="P14" s="73">
        <f t="shared" ref="P14:P21" si="5">P5</f>
        <v>0.10679999999999999</v>
      </c>
      <c r="Q14">
        <v>280.11283211245973</v>
      </c>
    </row>
    <row r="15" spans="1:17">
      <c r="A15" t="str">
        <f>'recycling level'!B15</f>
        <v>Isopropanol</v>
      </c>
      <c r="B15">
        <f>'recycling level'!C15</f>
        <v>5.7089582270140764E-2</v>
      </c>
      <c r="C15">
        <f>'recycling level'!D15</f>
        <v>1.8870770104736083</v>
      </c>
      <c r="E15">
        <f>'recycling level'!E15</f>
        <v>5.7089582270140764E-2</v>
      </c>
      <c r="F15">
        <f>'recycling level'!F15</f>
        <v>1.8870770104736083</v>
      </c>
      <c r="H15">
        <f t="shared" si="3"/>
        <v>5.7089582270140764E-2</v>
      </c>
      <c r="I15">
        <f t="shared" si="3"/>
        <v>1.8870770104736083</v>
      </c>
      <c r="K15" t="s">
        <v>173</v>
      </c>
      <c r="L15" s="68">
        <f t="shared" si="4"/>
        <v>0.13440000000000002</v>
      </c>
      <c r="M15">
        <v>279.47046205749803</v>
      </c>
      <c r="N15" s="69">
        <v>0.16800000000000001</v>
      </c>
      <c r="O15" t="e">
        <f t="shared" ref="O15:O21" si="6">$F$34</f>
        <v>#REF!</v>
      </c>
      <c r="P15" s="73">
        <f t="shared" si="5"/>
        <v>0.2016</v>
      </c>
      <c r="Q15">
        <v>280.31156330826701</v>
      </c>
    </row>
    <row r="16" spans="1:17">
      <c r="A16" t="str">
        <f>'recycling level'!B16</f>
        <v>Toluene</v>
      </c>
      <c r="B16">
        <f>'recycling level'!C16</f>
        <v>1.3551209999999999E-3</v>
      </c>
      <c r="C16">
        <f>'recycling level'!D16</f>
        <v>5.4955341728023827E-2</v>
      </c>
      <c r="E16">
        <f>'recycling level'!E16</f>
        <v>1.3551209999999999E-3</v>
      </c>
      <c r="F16">
        <f>'recycling level'!F16</f>
        <v>5.4955341728023827E-2</v>
      </c>
      <c r="H16">
        <f t="shared" si="3"/>
        <v>1.3551209999999999E-3</v>
      </c>
      <c r="I16">
        <f t="shared" si="3"/>
        <v>5.4955341728023827E-2</v>
      </c>
      <c r="K16" t="s">
        <v>172</v>
      </c>
      <c r="L16" s="68">
        <f t="shared" si="4"/>
        <v>0.1648</v>
      </c>
      <c r="M16">
        <v>279.37700636296813</v>
      </c>
      <c r="N16" s="69">
        <v>0.20599999999999999</v>
      </c>
      <c r="O16" t="e">
        <f t="shared" si="6"/>
        <v>#REF!</v>
      </c>
      <c r="P16" s="73">
        <f t="shared" si="5"/>
        <v>0.24719999999999998</v>
      </c>
      <c r="Q16">
        <v>280.40501900279691</v>
      </c>
    </row>
    <row r="17" spans="1:17">
      <c r="A17" t="str">
        <f>'recycling level'!B17</f>
        <v>PTAA solution</v>
      </c>
      <c r="B17">
        <f>'recycling level'!C17</f>
        <v>0.194226136277663</v>
      </c>
      <c r="C17">
        <f>'recycling level'!D17</f>
        <v>3.2878661442403283</v>
      </c>
      <c r="E17">
        <f>'recycling level'!E17</f>
        <v>0.194226136277663</v>
      </c>
      <c r="F17">
        <f>'recycling level'!F17</f>
        <v>3.2878661442403283</v>
      </c>
      <c r="H17">
        <f t="shared" si="3"/>
        <v>0.194226136277663</v>
      </c>
      <c r="I17">
        <f t="shared" si="3"/>
        <v>3.2878661442403283</v>
      </c>
      <c r="K17" t="s">
        <v>170</v>
      </c>
      <c r="L17" s="68">
        <f t="shared" si="4"/>
        <v>0.38640000000000002</v>
      </c>
      <c r="M17">
        <v>278.6840945443131</v>
      </c>
      <c r="N17" s="69">
        <v>0.48299999999999998</v>
      </c>
      <c r="O17" t="e">
        <f t="shared" si="6"/>
        <v>#REF!</v>
      </c>
      <c r="P17" s="73">
        <f t="shared" si="5"/>
        <v>0.5796</v>
      </c>
      <c r="Q17">
        <v>281.09793082145188</v>
      </c>
    </row>
    <row r="18" spans="1:17">
      <c r="A18" t="str">
        <f>'recycling level'!B18</f>
        <v>Cu</v>
      </c>
      <c r="B18">
        <f>'recycling level'!C18</f>
        <v>7.2295014400000001E-3</v>
      </c>
      <c r="C18">
        <f>'recycling level'!D18</f>
        <v>0.103960138283008</v>
      </c>
      <c r="E18">
        <f>'recycling level'!E18</f>
        <v>1.3013102592000004E-3</v>
      </c>
      <c r="F18">
        <f>'recycling level'!F18</f>
        <v>1.8712824890941445E-2</v>
      </c>
      <c r="H18" s="76">
        <f>B18*(1-$N$11*$I$3)</f>
        <v>1.3013102592000004E-3</v>
      </c>
      <c r="I18" s="76">
        <f>C18*(1-$N$11*$I$3)</f>
        <v>1.8712824890941445E-2</v>
      </c>
      <c r="K18" t="s">
        <v>171</v>
      </c>
      <c r="L18" s="68">
        <f t="shared" si="4"/>
        <v>2.6472000000000002</v>
      </c>
      <c r="M18">
        <v>271.62518546806916</v>
      </c>
      <c r="N18" s="69">
        <v>3.3090000000000002</v>
      </c>
      <c r="O18" t="e">
        <f t="shared" si="6"/>
        <v>#REF!</v>
      </c>
      <c r="P18" s="73">
        <f t="shared" si="5"/>
        <v>3.9708000000000001</v>
      </c>
      <c r="Q18">
        <v>288.15683989769582</v>
      </c>
    </row>
    <row r="19" spans="1:17">
      <c r="K19" t="s">
        <v>168</v>
      </c>
      <c r="L19" s="66">
        <f t="shared" si="4"/>
        <v>0.7</v>
      </c>
      <c r="M19">
        <v>319.68269059061049</v>
      </c>
      <c r="N19" s="70">
        <v>1</v>
      </c>
      <c r="O19" t="e">
        <f t="shared" si="6"/>
        <v>#REF!</v>
      </c>
      <c r="P19" s="73" t="str">
        <f t="shared" si="5"/>
        <v>-</v>
      </c>
      <c r="Q19" t="e">
        <f>O19</f>
        <v>#REF!</v>
      </c>
    </row>
    <row r="20" spans="1:17">
      <c r="A20" t="str">
        <f>'recycling level'!B20</f>
        <v>Sonication</v>
      </c>
      <c r="B20">
        <f>'recycling level'!C20</f>
        <v>2.8396800022717437</v>
      </c>
      <c r="C20">
        <f>'recycling level'!D20</f>
        <v>49.96641093677313</v>
      </c>
      <c r="E20">
        <f>'recycling level'!E20</f>
        <v>2.8396800022717437</v>
      </c>
      <c r="F20">
        <f>'recycling level'!F20</f>
        <v>49.96641093677313</v>
      </c>
      <c r="H20">
        <f>B20</f>
        <v>2.8396800022717437</v>
      </c>
      <c r="I20">
        <f>C20</f>
        <v>49.96641093677313</v>
      </c>
      <c r="K20" t="s">
        <v>174</v>
      </c>
      <c r="L20" s="67">
        <f t="shared" si="4"/>
        <v>0.73799999999999999</v>
      </c>
      <c r="M20">
        <v>312.31161222360248</v>
      </c>
      <c r="N20" s="70">
        <v>0.82</v>
      </c>
      <c r="O20" t="e">
        <f t="shared" si="6"/>
        <v>#REF!</v>
      </c>
      <c r="P20" s="74">
        <f t="shared" si="5"/>
        <v>0.90200000000000002</v>
      </c>
      <c r="Q20">
        <v>247.47041314216244</v>
      </c>
    </row>
    <row r="21" spans="1:17">
      <c r="A21" s="75" t="str">
        <f>'recycling level'!B21</f>
        <v>Spray pyrolysis</v>
      </c>
      <c r="B21">
        <f>'recycling level'!C21</f>
        <v>4.7504002709876597E-4</v>
      </c>
      <c r="C21">
        <f>'recycling level'!D21</f>
        <v>8.3587042154200306E-3</v>
      </c>
      <c r="E21">
        <f>'recycling level'!E21</f>
        <v>0</v>
      </c>
      <c r="F21">
        <f>'recycling level'!F21</f>
        <v>0</v>
      </c>
      <c r="H21" s="76">
        <f t="shared" ref="H21:I23" si="7">B21*(1-$H$3)</f>
        <v>0</v>
      </c>
      <c r="I21" s="76">
        <f t="shared" si="7"/>
        <v>0</v>
      </c>
      <c r="K21" t="s">
        <v>169</v>
      </c>
      <c r="L21" s="66">
        <f t="shared" si="4"/>
        <v>0.8</v>
      </c>
      <c r="M21">
        <v>344.73221176432247</v>
      </c>
      <c r="N21" s="70">
        <v>1</v>
      </c>
      <c r="O21" t="e">
        <f t="shared" si="6"/>
        <v>#REF!</v>
      </c>
      <c r="P21" s="73" t="str">
        <f t="shared" si="5"/>
        <v>-</v>
      </c>
      <c r="Q21" t="e">
        <f>O21</f>
        <v>#REF!</v>
      </c>
    </row>
    <row r="22" spans="1:17">
      <c r="A22" s="75" t="str">
        <f>'recycling level'!B22</f>
        <v>ETL spin coating</v>
      </c>
      <c r="B22">
        <f>'recycling level'!C22</f>
        <v>2.2835594108730621</v>
      </c>
      <c r="C22">
        <f>'recycling level'!D22</f>
        <v>40.181030197394769</v>
      </c>
      <c r="E22">
        <f>'recycling level'!E22</f>
        <v>0</v>
      </c>
      <c r="F22">
        <f>'recycling level'!F22</f>
        <v>0</v>
      </c>
      <c r="H22" s="76">
        <f t="shared" si="7"/>
        <v>0</v>
      </c>
      <c r="I22" s="76">
        <f t="shared" si="7"/>
        <v>0</v>
      </c>
    </row>
    <row r="23" spans="1:17">
      <c r="A23" s="75" t="str">
        <f>'recycling level'!B23</f>
        <v>ETL calcining</v>
      </c>
      <c r="B23">
        <f>'recycling level'!C23</f>
        <v>51.114240040891382</v>
      </c>
      <c r="C23">
        <f>'recycling level'!D23</f>
        <v>899.39539686191631</v>
      </c>
      <c r="E23">
        <f>'recycling level'!E23</f>
        <v>0</v>
      </c>
      <c r="F23">
        <f>'recycling level'!F23</f>
        <v>0</v>
      </c>
      <c r="H23" s="76">
        <f t="shared" si="7"/>
        <v>0</v>
      </c>
      <c r="I23" s="76">
        <f t="shared" si="7"/>
        <v>0</v>
      </c>
    </row>
    <row r="24" spans="1:17">
      <c r="A24" t="str">
        <f>'recycling level'!B24</f>
        <v>PL 1st-step spin coating</v>
      </c>
      <c r="B24">
        <f>'recycling level'!C24</f>
        <v>8.4576274476780081E-2</v>
      </c>
      <c r="C24">
        <f>'recycling level'!D24</f>
        <v>1.4881863036072136</v>
      </c>
      <c r="E24">
        <f>'recycling level'!E24</f>
        <v>8.4576274476780081E-2</v>
      </c>
      <c r="F24">
        <f>'recycling level'!F24</f>
        <v>1.4881863036072136</v>
      </c>
      <c r="H24">
        <f>(B24+B25)</f>
        <v>4.3133899983157837</v>
      </c>
      <c r="I24">
        <f>(C24+C25)</f>
        <v>75.897501483967886</v>
      </c>
    </row>
    <row r="25" spans="1:17">
      <c r="A25" t="str">
        <f>'recycling level'!B25</f>
        <v>PL 2nd-step spin coating</v>
      </c>
      <c r="B25">
        <f>'recycling level'!C25</f>
        <v>4.2288137238390036</v>
      </c>
      <c r="C25">
        <f>'recycling level'!D25</f>
        <v>74.409315180360679</v>
      </c>
      <c r="E25">
        <f>'recycling level'!E25</f>
        <v>4.2288137238390036</v>
      </c>
      <c r="F25">
        <f>'recycling level'!F25</f>
        <v>74.409315180360679</v>
      </c>
    </row>
    <row r="26" spans="1:17">
      <c r="A26" t="str">
        <f>'recycling level'!B26</f>
        <v>PL Drying</v>
      </c>
      <c r="B26">
        <f>'recycling level'!C26</f>
        <v>1.7038080013630463</v>
      </c>
      <c r="C26">
        <f>'recycling level'!D26</f>
        <v>29.979846562063884</v>
      </c>
      <c r="E26">
        <f>'recycling level'!E26</f>
        <v>1.7038080013630463</v>
      </c>
      <c r="F26">
        <f>'recycling level'!F26</f>
        <v>29.979846562063884</v>
      </c>
      <c r="H26">
        <f t="shared" ref="H26:I28" si="8">B26</f>
        <v>1.7038080013630463</v>
      </c>
      <c r="I26">
        <f t="shared" si="8"/>
        <v>29.979846562063884</v>
      </c>
    </row>
    <row r="27" spans="1:17">
      <c r="A27" t="str">
        <f>'recycling level'!B27</f>
        <v>HTL spin coating</v>
      </c>
      <c r="B27">
        <f>'recycling level'!C27</f>
        <v>2.2835594108730621</v>
      </c>
      <c r="C27">
        <f>'recycling level'!D27</f>
        <v>40.181030197394769</v>
      </c>
      <c r="E27">
        <f>'recycling level'!E27</f>
        <v>2.2835594108730621</v>
      </c>
      <c r="F27">
        <f>'recycling level'!F27</f>
        <v>40.181030197394769</v>
      </c>
      <c r="H27">
        <f t="shared" si="8"/>
        <v>2.2835594108730621</v>
      </c>
      <c r="I27">
        <f t="shared" si="8"/>
        <v>40.181030197394769</v>
      </c>
    </row>
    <row r="28" spans="1:17">
      <c r="A28" t="str">
        <f>'recycling level'!B28</f>
        <v>Sputtering</v>
      </c>
      <c r="B28">
        <f>'recycling level'!C28</f>
        <v>5.5216000044172793</v>
      </c>
      <c r="C28">
        <f>'recycling level'!D28</f>
        <v>97.156910154836652</v>
      </c>
      <c r="E28">
        <f>'recycling level'!E28</f>
        <v>5.5216000044172793</v>
      </c>
      <c r="F28">
        <f>'recycling level'!F28</f>
        <v>97.156910154836652</v>
      </c>
      <c r="H28">
        <f t="shared" si="8"/>
        <v>5.5216000044172793</v>
      </c>
      <c r="I28">
        <f t="shared" si="8"/>
        <v>97.156910154836652</v>
      </c>
    </row>
    <row r="29" spans="1:17">
      <c r="A29" t="str">
        <f>'recycling level'!B29</f>
        <v>UV/O3 cleaning</v>
      </c>
      <c r="B29">
        <f>'recycling level'!C29</f>
        <v>0</v>
      </c>
      <c r="C29">
        <f>'recycling level'!D29</f>
        <v>0</v>
      </c>
      <c r="E29">
        <f>'recycling level'!E29</f>
        <v>1.6328160013062525E-2</v>
      </c>
      <c r="F29">
        <f>'recycling level'!F29</f>
        <v>0.28730686288644547</v>
      </c>
      <c r="H29" s="76">
        <f t="shared" ref="H29:I31" si="9">E29</f>
        <v>1.6328160013062525E-2</v>
      </c>
      <c r="I29" s="76">
        <f t="shared" si="9"/>
        <v>0.28730686288644547</v>
      </c>
    </row>
    <row r="30" spans="1:17">
      <c r="A30" t="str">
        <f>'recycling level'!B30</f>
        <v>Recycling</v>
      </c>
      <c r="B30">
        <f>'recycling level'!C30</f>
        <v>0</v>
      </c>
      <c r="C30">
        <f>'recycling level'!D30</f>
        <v>0</v>
      </c>
      <c r="E30" t="e">
        <f>'recycling level'!E30</f>
        <v>#REF!</v>
      </c>
      <c r="F30" t="e">
        <f>'recycling level'!F30</f>
        <v>#REF!</v>
      </c>
      <c r="H30" t="e">
        <f t="shared" si="9"/>
        <v>#REF!</v>
      </c>
      <c r="I30" t="e">
        <f t="shared" si="9"/>
        <v>#REF!</v>
      </c>
    </row>
    <row r="31" spans="1:17">
      <c r="A31" t="str">
        <f>'recycling level'!B31</f>
        <v>Treatment</v>
      </c>
      <c r="B31">
        <f>'recycling level'!C31</f>
        <v>6.5339114634350754E-4</v>
      </c>
      <c r="C31">
        <f>'recycling level'!D31</f>
        <v>5.4601869797269286E-3</v>
      </c>
      <c r="E31" t="e">
        <f>'recycling level'!E31</f>
        <v>#REF!</v>
      </c>
      <c r="F31" t="e">
        <f>'recycling level'!F31</f>
        <v>#REF!</v>
      </c>
      <c r="H31" t="e">
        <f t="shared" si="9"/>
        <v>#REF!</v>
      </c>
      <c r="I31" t="e">
        <f t="shared" si="9"/>
        <v>#REF!</v>
      </c>
    </row>
    <row r="34" spans="5:9">
      <c r="E34" t="e">
        <f>SUM(E5:E33)</f>
        <v>#REF!</v>
      </c>
      <c r="F34" t="e">
        <f>SUM(F5:F33)</f>
        <v>#REF!</v>
      </c>
      <c r="H34" t="e">
        <f>SUM(H5:H33)</f>
        <v>#REF!</v>
      </c>
      <c r="I34" t="e">
        <f>SUM(I5:I33)</f>
        <v>#REF!</v>
      </c>
    </row>
    <row r="36" spans="5:9">
      <c r="H36" t="e">
        <f>E34-H34</f>
        <v>#REF!</v>
      </c>
      <c r="I36" t="e">
        <f>F34-I34</f>
        <v>#REF!</v>
      </c>
    </row>
  </sheetData>
  <mergeCells count="2">
    <mergeCell ref="B1:C1"/>
    <mergeCell ref="H1:I1"/>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6F18F-A75C-4DFE-95CC-9FEE94CD2662}">
  <sheetPr codeName="Sheet3"/>
  <dimension ref="A1:X35"/>
  <sheetViews>
    <sheetView workbookViewId="0">
      <pane ySplit="2" topLeftCell="A4" activePane="bottomLeft" state="frozen"/>
      <selection pane="bottomLeft" activeCell="H20" sqref="H20:H29"/>
    </sheetView>
  </sheetViews>
  <sheetFormatPr defaultColWidth="9" defaultRowHeight="15"/>
  <cols>
    <col min="1" max="1" width="26.140625" style="123" customWidth="1"/>
    <col min="2" max="3" width="16.5703125" style="124" customWidth="1"/>
    <col min="4" max="6" width="9.28515625" style="124" customWidth="1"/>
    <col min="7" max="8" width="17.42578125" style="124" customWidth="1"/>
    <col min="9" max="14" width="9.28515625" style="124" customWidth="1"/>
    <col min="15" max="15" width="11" style="124" customWidth="1"/>
    <col min="16" max="18" width="9.28515625" style="124" customWidth="1"/>
    <col min="19" max="19" width="15.28515625" style="124" customWidth="1"/>
    <col min="20" max="24" width="9.28515625" style="124" customWidth="1"/>
    <col min="25" max="16384" width="9" style="124"/>
  </cols>
  <sheetData>
    <row r="1" spans="1:8">
      <c r="G1" s="145" t="s">
        <v>175</v>
      </c>
      <c r="H1" s="146"/>
    </row>
    <row r="2" spans="1:8">
      <c r="A2" s="61"/>
      <c r="B2" s="61" t="str">
        <f>'[8]material inventory'!J13</f>
        <v>Carbon footprint</v>
      </c>
      <c r="C2" s="61" t="str">
        <f>'[8]material inventory'!K13</f>
        <v>Primary energy consumption</v>
      </c>
      <c r="D2" s="61"/>
      <c r="E2" s="61"/>
      <c r="F2" s="61"/>
      <c r="G2" s="125" t="str">
        <f t="shared" ref="G2:H31" si="0">B2</f>
        <v>Carbon footprint</v>
      </c>
      <c r="H2" s="126" t="str">
        <f t="shared" si="0"/>
        <v>Primary energy consumption</v>
      </c>
    </row>
    <row r="3" spans="1:8">
      <c r="A3" s="60" t="str">
        <f>'[8]material inventory'!I14</f>
        <v>FTO glass</v>
      </c>
      <c r="B3" s="124">
        <f>'[8]material inventory'!J14</f>
        <v>0.34780676817599987</v>
      </c>
      <c r="C3" s="124">
        <f>'[8]material inventory'!K14</f>
        <v>8.5029036949120105</v>
      </c>
      <c r="G3" s="127">
        <f t="shared" si="0"/>
        <v>0.34780676817599987</v>
      </c>
      <c r="H3" s="128">
        <f t="shared" si="0"/>
        <v>8.5029036949120105</v>
      </c>
    </row>
    <row r="4" spans="1:8">
      <c r="A4" s="60" t="str">
        <f>'[8]material inventory'!I15</f>
        <v>Zinc powder</v>
      </c>
      <c r="B4" s="124">
        <f>'[8]material inventory'!J15</f>
        <v>3.6278152999999992E-5</v>
      </c>
      <c r="C4" s="124">
        <f>'[8]material inventory'!K15</f>
        <v>4.1800508549599992E-4</v>
      </c>
      <c r="G4" s="127">
        <f t="shared" si="0"/>
        <v>3.6278152999999992E-5</v>
      </c>
      <c r="H4" s="128">
        <f t="shared" si="0"/>
        <v>4.1800508549599992E-4</v>
      </c>
    </row>
    <row r="5" spans="1:8">
      <c r="A5" s="60" t="str">
        <f>'[8]material inventory'!I16</f>
        <v>Dilute HCl</v>
      </c>
      <c r="B5" s="124">
        <f>'[8]material inventory'!J16</f>
        <v>3.2090210384615382E-5</v>
      </c>
      <c r="C5" s="124">
        <f>'[8]material inventory'!K16</f>
        <v>4.6518874375235582E-4</v>
      </c>
      <c r="G5" s="127">
        <f t="shared" si="0"/>
        <v>3.2090210384615382E-5</v>
      </c>
      <c r="H5" s="128">
        <f t="shared" si="0"/>
        <v>4.6518874375235582E-4</v>
      </c>
    </row>
    <row r="6" spans="1:8">
      <c r="A6" s="60" t="str">
        <f>'[8]material inventory'!I17</f>
        <v>Ethanol</v>
      </c>
      <c r="B6" s="124">
        <f>'[8]material inventory'!J17</f>
        <v>7.2135383999999978E-3</v>
      </c>
      <c r="C6" s="124">
        <f>'[8]material inventory'!K17</f>
        <v>0.21431605553399993</v>
      </c>
      <c r="G6" s="127">
        <f t="shared" si="0"/>
        <v>7.2135383999999978E-3</v>
      </c>
      <c r="H6" s="128">
        <f t="shared" si="0"/>
        <v>0.21431605553399993</v>
      </c>
    </row>
    <row r="7" spans="1:8">
      <c r="A7" s="60" t="str">
        <f>'[8]material inventory'!I18</f>
        <v>Deionized water</v>
      </c>
      <c r="B7" s="124">
        <f>'[8]material inventory'!J18</f>
        <v>1.1383316399999998E-5</v>
      </c>
      <c r="C7" s="124">
        <f>'[8]material inventory'!K18</f>
        <v>1.5662186060911998E-4</v>
      </c>
      <c r="G7" s="127">
        <f t="shared" si="0"/>
        <v>1.1383316399999998E-5</v>
      </c>
      <c r="H7" s="128">
        <f t="shared" si="0"/>
        <v>1.5662186060911998E-4</v>
      </c>
    </row>
    <row r="8" spans="1:8">
      <c r="A8" s="60" t="str">
        <f>'[8]material inventory'!I19</f>
        <v>Acetone</v>
      </c>
      <c r="B8" s="124">
        <f>'[8]material inventory'!J19</f>
        <v>3.4079009999999986E-2</v>
      </c>
      <c r="C8" s="124">
        <f>'[8]material inventory'!K19</f>
        <v>0.99018946488503967</v>
      </c>
      <c r="G8" s="127">
        <f t="shared" si="0"/>
        <v>3.4079009999999986E-2</v>
      </c>
      <c r="H8" s="128">
        <f t="shared" si="0"/>
        <v>0.99018946488503967</v>
      </c>
    </row>
    <row r="9" spans="1:8">
      <c r="A9" s="60" t="str">
        <f>'[8]material inventory'!I20</f>
        <v>BL-TiO₂ ink</v>
      </c>
      <c r="B9" s="124">
        <f>'[8]material inventory'!J20</f>
        <v>2.6559624141444444E-3</v>
      </c>
      <c r="C9" s="124">
        <f>'[8]material inventory'!K20</f>
        <v>7.1984448963916634E-2</v>
      </c>
      <c r="G9" s="127">
        <f t="shared" si="0"/>
        <v>2.6559624141444444E-3</v>
      </c>
      <c r="H9" s="128">
        <f t="shared" si="0"/>
        <v>7.1984448963916634E-2</v>
      </c>
    </row>
    <row r="10" spans="1:8">
      <c r="A10" s="60" t="str">
        <f>'[8]material inventory'!I21</f>
        <v>La-doped BSO NPs</v>
      </c>
      <c r="B10" s="124">
        <f>'[8]material inventory'!J21</f>
        <v>1.1164755298477922E-3</v>
      </c>
      <c r="C10" s="124">
        <f>'[8]material inventory'!K21</f>
        <v>1.7988103397984439E-2</v>
      </c>
      <c r="G10" s="127">
        <f t="shared" si="0"/>
        <v>1.1164755298477922E-3</v>
      </c>
      <c r="H10" s="128">
        <f t="shared" si="0"/>
        <v>1.7988103397984439E-2</v>
      </c>
    </row>
    <row r="11" spans="1:8">
      <c r="A11" s="60" t="str">
        <f>'[8]material inventory'!I22</f>
        <v>PbI₂</v>
      </c>
      <c r="B11" s="124">
        <f>'[8]material inventory'!J22</f>
        <v>3.9586132131698096E-3</v>
      </c>
      <c r="C11" s="124">
        <f>'[8]material inventory'!K22</f>
        <v>4.7072556356068052E-2</v>
      </c>
      <c r="G11" s="127">
        <f t="shared" si="0"/>
        <v>3.9586132131698096E-3</v>
      </c>
      <c r="H11" s="128">
        <f t="shared" si="0"/>
        <v>4.7072556356068052E-2</v>
      </c>
    </row>
    <row r="12" spans="1:8">
      <c r="A12" s="60" t="str">
        <f>'[8]material inventory'!I23</f>
        <v>Dimethylformamide</v>
      </c>
      <c r="B12" s="124">
        <f>'[8]material inventory'!J23</f>
        <v>5.0926724710400008E-3</v>
      </c>
      <c r="C12" s="124">
        <f>'[8]material inventory'!K23</f>
        <v>0.13851702479781283</v>
      </c>
      <c r="G12" s="127">
        <f t="shared" si="0"/>
        <v>5.0926724710400008E-3</v>
      </c>
      <c r="H12" s="128">
        <f t="shared" si="0"/>
        <v>0.13851702479781283</v>
      </c>
    </row>
    <row r="13" spans="1:8">
      <c r="A13" s="60" t="str">
        <f>'[8]material inventory'!I24</f>
        <v>CH₃NH₃I</v>
      </c>
      <c r="B13" s="124">
        <f>'[8]material inventory'!J24</f>
        <v>4.8331611864973173E-2</v>
      </c>
      <c r="C13" s="124">
        <f>'[8]material inventory'!K24</f>
        <v>1.0266332358578762</v>
      </c>
      <c r="G13" s="127">
        <f t="shared" si="0"/>
        <v>4.8331611864973173E-2</v>
      </c>
      <c r="H13" s="128">
        <f t="shared" si="0"/>
        <v>1.0266332358578762</v>
      </c>
    </row>
    <row r="14" spans="1:8">
      <c r="A14" s="60" t="str">
        <f>'[8]material inventory'!I25</f>
        <v>Isopropanol</v>
      </c>
      <c r="B14" s="124">
        <f>'[8]material inventory'!J25</f>
        <v>4.2817186702605578E-2</v>
      </c>
      <c r="C14" s="124">
        <f>'[8]material inventory'!K25</f>
        <v>1.4153077578552065</v>
      </c>
      <c r="G14" s="127">
        <f t="shared" si="0"/>
        <v>4.2817186702605578E-2</v>
      </c>
      <c r="H14" s="128">
        <f t="shared" si="0"/>
        <v>1.4153077578552065</v>
      </c>
    </row>
    <row r="15" spans="1:8">
      <c r="A15" s="60" t="str">
        <f>'[8]material inventory'!I26</f>
        <v>Toluene</v>
      </c>
      <c r="B15" s="124">
        <f>'[8]material inventory'!J26</f>
        <v>1.3551209999999999E-3</v>
      </c>
      <c r="C15" s="124">
        <f>'[8]material inventory'!K26</f>
        <v>5.4955341728023827E-2</v>
      </c>
      <c r="G15" s="127">
        <f t="shared" si="0"/>
        <v>1.3551209999999999E-3</v>
      </c>
      <c r="H15" s="128">
        <f t="shared" si="0"/>
        <v>5.4955341728023827E-2</v>
      </c>
    </row>
    <row r="16" spans="1:8">
      <c r="A16" s="60" t="str">
        <f>'[8]material inventory'!I27</f>
        <v>PTAA solution</v>
      </c>
      <c r="B16" s="124">
        <f>'[8]material inventory'!J27</f>
        <v>0.194226136277663</v>
      </c>
      <c r="C16" s="124">
        <f>'[8]material inventory'!K27</f>
        <v>3.2878661442403283</v>
      </c>
      <c r="G16" s="127">
        <f t="shared" si="0"/>
        <v>0.194226136277663</v>
      </c>
      <c r="H16" s="128">
        <f t="shared" si="0"/>
        <v>3.2878661442403283</v>
      </c>
    </row>
    <row r="17" spans="1:8">
      <c r="A17" s="60" t="str">
        <f>'[8]material inventory'!I28</f>
        <v>Cu</v>
      </c>
      <c r="B17" s="124">
        <f>'[8]material inventory'!J28</f>
        <v>3.7954882559999999E-3</v>
      </c>
      <c r="C17" s="124">
        <f>'[8]material inventory'!K28</f>
        <v>5.4579072598579199E-2</v>
      </c>
      <c r="G17" s="127">
        <f t="shared" si="0"/>
        <v>3.7954882559999999E-3</v>
      </c>
      <c r="H17" s="128">
        <f t="shared" si="0"/>
        <v>5.4579072598579199E-2</v>
      </c>
    </row>
    <row r="18" spans="1:8">
      <c r="A18" s="60" t="str">
        <f>'[8]material inventory'!I29</f>
        <v>Ar</v>
      </c>
      <c r="B18" s="124">
        <f>'[8]material inventory'!J29</f>
        <v>0.29058656969696967</v>
      </c>
      <c r="C18" s="124">
        <f>'[8]material inventory'!K29</f>
        <v>4.3659558183030303</v>
      </c>
      <c r="G18" s="127">
        <f t="shared" si="0"/>
        <v>0.29058656969696967</v>
      </c>
      <c r="H18" s="128">
        <f t="shared" si="0"/>
        <v>4.3659558183030303</v>
      </c>
    </row>
    <row r="19" spans="1:8">
      <c r="A19" s="60" t="str">
        <f>'[8]material inventory'!I30</f>
        <v>O₂</v>
      </c>
      <c r="B19" s="124">
        <f>'[8]material inventory'!J30</f>
        <v>1.2806957575757575E-4</v>
      </c>
      <c r="C19" s="124">
        <f>'[8]material inventory'!K30</f>
        <v>1.7448388645818179E-3</v>
      </c>
      <c r="G19" s="127">
        <f t="shared" si="0"/>
        <v>1.2806957575757575E-4</v>
      </c>
      <c r="H19" s="128">
        <f t="shared" si="0"/>
        <v>1.7448388645818179E-3</v>
      </c>
    </row>
    <row r="20" spans="1:8">
      <c r="A20" s="81" t="str">
        <f>'[8]energy consumption'!M6</f>
        <v>Sonication</v>
      </c>
      <c r="B20" s="124">
        <f>'[8]energy consumption'!N6</f>
        <v>0.28396800022717433</v>
      </c>
      <c r="C20" s="124">
        <f>'[8]energy consumption'!O6</f>
        <v>4.9966410936773125</v>
      </c>
      <c r="G20" s="127">
        <f t="shared" si="0"/>
        <v>0.28396800022717433</v>
      </c>
      <c r="H20" s="128">
        <f t="shared" si="0"/>
        <v>4.9966410936773125</v>
      </c>
    </row>
    <row r="21" spans="1:8">
      <c r="A21" s="81" t="str">
        <f>'[8]energy consumption'!M7</f>
        <v>Spray pyrolysis</v>
      </c>
      <c r="B21" s="124">
        <f>'[8]energy consumption'!N7</f>
        <v>4.7504002709876585E-5</v>
      </c>
      <c r="C21" s="124">
        <f>'[8]energy consumption'!O7</f>
        <v>8.3587042154200275E-4</v>
      </c>
      <c r="G21" s="127">
        <f t="shared" si="0"/>
        <v>4.7504002709876585E-5</v>
      </c>
      <c r="H21" s="128">
        <f t="shared" si="0"/>
        <v>8.3587042154200275E-4</v>
      </c>
    </row>
    <row r="22" spans="1:8">
      <c r="A22" s="81" t="str">
        <f>'[8]energy consumption'!M8</f>
        <v>ETL spin coating</v>
      </c>
      <c r="B22" s="124">
        <f>'[8]energy consumption'!N8</f>
        <v>0.2283559410873062</v>
      </c>
      <c r="C22" s="124">
        <f>'[8]energy consumption'!O8</f>
        <v>4.0181030197394767</v>
      </c>
      <c r="G22" s="127">
        <f t="shared" si="0"/>
        <v>0.2283559410873062</v>
      </c>
      <c r="H22" s="128">
        <f t="shared" si="0"/>
        <v>4.0181030197394767</v>
      </c>
    </row>
    <row r="23" spans="1:8">
      <c r="A23" s="81" t="str">
        <f>'[8]energy consumption'!M9</f>
        <v>ETL calcining</v>
      </c>
      <c r="B23" s="124">
        <f>'[8]energy consumption'!N9</f>
        <v>5.1114240040891374</v>
      </c>
      <c r="C23" s="124">
        <f>'[8]energy consumption'!O9</f>
        <v>89.939539686191623</v>
      </c>
      <c r="G23" s="127">
        <f t="shared" si="0"/>
        <v>5.1114240040891374</v>
      </c>
      <c r="H23" s="128">
        <f t="shared" si="0"/>
        <v>89.939539686191623</v>
      </c>
    </row>
    <row r="24" spans="1:8">
      <c r="A24" s="81" t="str">
        <f>'[8]energy consumption'!M10</f>
        <v>PL 1st-step spin coating</v>
      </c>
      <c r="B24" s="124">
        <f>'[8]energy consumption'!N10</f>
        <v>8.4576274476780081E-2</v>
      </c>
      <c r="C24" s="124">
        <f>'[8]energy consumption'!O10</f>
        <v>1.4881863036072136</v>
      </c>
      <c r="G24" s="127">
        <f t="shared" si="0"/>
        <v>8.4576274476780081E-2</v>
      </c>
      <c r="H24" s="128">
        <f t="shared" si="0"/>
        <v>1.4881863036072136</v>
      </c>
    </row>
    <row r="25" spans="1:8">
      <c r="A25" s="81" t="str">
        <f>'[8]energy consumption'!M11</f>
        <v>PL 2nd-step spin coating</v>
      </c>
      <c r="B25" s="124">
        <f>'[8]energy consumption'!N11</f>
        <v>4.2288137238390036</v>
      </c>
      <c r="C25" s="124">
        <f>'[8]energy consumption'!O11</f>
        <v>74.409315180360679</v>
      </c>
      <c r="G25" s="127">
        <f t="shared" si="0"/>
        <v>4.2288137238390036</v>
      </c>
      <c r="H25" s="128">
        <f t="shared" si="0"/>
        <v>74.409315180360679</v>
      </c>
    </row>
    <row r="26" spans="1:8">
      <c r="A26" s="81" t="str">
        <f>'[8]energy consumption'!M12</f>
        <v>PL Drying</v>
      </c>
      <c r="B26" s="124">
        <f>'[8]energy consumption'!N12</f>
        <v>1.7038080013630463</v>
      </c>
      <c r="C26" s="124">
        <f>'[8]energy consumption'!O12</f>
        <v>29.979846562063884</v>
      </c>
      <c r="G26" s="127">
        <f t="shared" si="0"/>
        <v>1.7038080013630463</v>
      </c>
      <c r="H26" s="128">
        <f t="shared" si="0"/>
        <v>29.979846562063884</v>
      </c>
    </row>
    <row r="27" spans="1:8">
      <c r="A27" s="81" t="str">
        <f>'[8]energy consumption'!M13</f>
        <v>HTL spin coating</v>
      </c>
      <c r="B27" s="124">
        <f>'[8]energy consumption'!N13</f>
        <v>2.2835594108730621</v>
      </c>
      <c r="C27" s="124">
        <f>'[8]energy consumption'!O13</f>
        <v>40.181030197394769</v>
      </c>
      <c r="G27" s="127">
        <f t="shared" si="0"/>
        <v>2.2835594108730621</v>
      </c>
      <c r="H27" s="128">
        <f t="shared" si="0"/>
        <v>40.181030197394769</v>
      </c>
    </row>
    <row r="28" spans="1:8">
      <c r="A28" s="81" t="str">
        <f>'[8]energy consumption'!M14</f>
        <v>Electrode sputtering</v>
      </c>
      <c r="B28" s="124">
        <f>'[8]energy consumption'!N14</f>
        <v>0.27608000022086421</v>
      </c>
      <c r="C28" s="124">
        <f>'[8]energy consumption'!O14</f>
        <v>4.8578455077418363</v>
      </c>
      <c r="G28" s="127">
        <f t="shared" si="0"/>
        <v>0.27608000022086421</v>
      </c>
      <c r="H28" s="128">
        <f t="shared" si="0"/>
        <v>4.8578455077418363</v>
      </c>
    </row>
    <row r="29" spans="1:8">
      <c r="A29" s="81" t="str">
        <f>'[8]energy consumption'!B26</f>
        <v>UV/O₃ cleaning</v>
      </c>
      <c r="B29" s="124">
        <f>'[8]energy consumption'!N26*'[8]material inventory'!$B$2</f>
        <v>1.4695344011756272E-2</v>
      </c>
      <c r="C29" s="124">
        <f>'[8]energy consumption'!O26*'[8]material inventory'!$B$2</f>
        <v>0.25857617659780091</v>
      </c>
      <c r="G29" s="127">
        <f>B29</f>
        <v>1.4695344011756272E-2</v>
      </c>
      <c r="H29" s="128">
        <f>C29</f>
        <v>0.25857617659780091</v>
      </c>
    </row>
    <row r="30" spans="1:8">
      <c r="A30" s="116" t="str">
        <f>'[8]material inventory'!I31</f>
        <v>Direct emissions</v>
      </c>
      <c r="B30" s="124">
        <f>'[8]material inventory'!J31</f>
        <v>0</v>
      </c>
      <c r="C30" s="124">
        <f>'[8]material inventory'!K31</f>
        <v>0</v>
      </c>
      <c r="G30" s="127">
        <f t="shared" si="0"/>
        <v>0</v>
      </c>
      <c r="H30" s="128">
        <f t="shared" si="0"/>
        <v>0</v>
      </c>
    </row>
    <row r="31" spans="1:8">
      <c r="A31" s="116" t="s">
        <v>86</v>
      </c>
      <c r="B31" s="124">
        <f>'[8]material inventory'!J62</f>
        <v>6.5339114634350737E-5</v>
      </c>
      <c r="C31" s="124">
        <f>'[8]material inventory'!K62</f>
        <v>5.4601869797269277E-4</v>
      </c>
      <c r="G31" s="127">
        <f t="shared" si="0"/>
        <v>6.5339114634350737E-5</v>
      </c>
      <c r="H31" s="128">
        <f t="shared" si="0"/>
        <v>5.4601869797269277E-4</v>
      </c>
    </row>
    <row r="32" spans="1:8">
      <c r="A32" s="116" t="s">
        <v>176</v>
      </c>
      <c r="B32" s="124">
        <f>'[8]material inventory'!$F$62*[1]production!$D$103</f>
        <v>2.7367990769216807E-3</v>
      </c>
      <c r="C32" s="124">
        <f>'[8]material inventory'!$F$62*[1]production!M103</f>
        <v>8.7591324971357271E-2</v>
      </c>
      <c r="G32" s="127">
        <f>'[9]FTO with TiO2-old'!$Q$28</f>
        <v>6.2954943647999988</v>
      </c>
      <c r="H32" s="128">
        <f>'[9]FTO with TiO2-old'!$R$28</f>
        <v>102.3232979508053</v>
      </c>
    </row>
    <row r="33" spans="1:24">
      <c r="A33" s="59"/>
      <c r="B33" s="59">
        <f>SUM(B3:B31)</f>
        <v>15.198636518563429</v>
      </c>
      <c r="C33" s="59">
        <f>SUM(C3:C31)</f>
        <v>270.32151899047835</v>
      </c>
      <c r="D33" s="59"/>
      <c r="E33" s="59"/>
      <c r="F33" s="59"/>
      <c r="G33" s="129">
        <f>SUM(G3:G31)</f>
        <v>15.198636518563429</v>
      </c>
      <c r="H33" s="130">
        <f>SUM(H3:H31)</f>
        <v>270.32151899047835</v>
      </c>
    </row>
    <row r="34" spans="1:24" ht="15.75" thickBot="1">
      <c r="A34" s="60" t="s">
        <v>177</v>
      </c>
      <c r="B34" s="60">
        <f>SUM(B32:B33)</f>
        <v>15.201373317640352</v>
      </c>
      <c r="C34" s="60">
        <f t="shared" ref="C34" si="1">SUM(C32:C33)</f>
        <v>270.40911031544971</v>
      </c>
      <c r="D34" s="60"/>
      <c r="E34" s="60"/>
      <c r="F34" s="60"/>
      <c r="G34" s="131">
        <f>SUM(G32:G33)</f>
        <v>21.494130883363429</v>
      </c>
      <c r="H34" s="132">
        <f>SUM(H32:H33)</f>
        <v>372.64481694128364</v>
      </c>
      <c r="I34" s="133"/>
      <c r="J34" s="133"/>
      <c r="K34" s="133"/>
      <c r="L34" s="133"/>
      <c r="M34" s="133"/>
      <c r="N34" s="133"/>
      <c r="O34" s="133"/>
      <c r="P34" s="133"/>
      <c r="Q34" s="133"/>
      <c r="R34" s="133"/>
      <c r="S34" s="133"/>
      <c r="T34" s="133"/>
      <c r="U34" s="133"/>
      <c r="V34" s="133"/>
      <c r="W34" s="133"/>
      <c r="X34" s="133"/>
    </row>
    <row r="35" spans="1:24">
      <c r="B35" s="133"/>
      <c r="C35" s="133"/>
      <c r="D35" s="133"/>
      <c r="E35" s="133"/>
      <c r="F35" s="133"/>
      <c r="G35" s="133"/>
      <c r="H35" s="133"/>
    </row>
  </sheetData>
  <mergeCells count="1">
    <mergeCell ref="G1:H1"/>
  </mergeCells>
  <pageMargins left="0.69930555555555596" right="0.69930555555555596"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material inventory</vt:lpstr>
      <vt:lpstr>energy consumption</vt:lpstr>
      <vt:lpstr>results</vt:lpstr>
      <vt:lpstr>Uncertainty</vt:lpstr>
      <vt:lpstr>recycling</vt:lpstr>
      <vt:lpstr>recycling level</vt:lpstr>
      <vt:lpstr>SA</vt:lpstr>
      <vt:lpstr>results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Alvin</cp:lastModifiedBy>
  <dcterms:created xsi:type="dcterms:W3CDTF">2015-06-05T18:17:00Z</dcterms:created>
  <dcterms:modified xsi:type="dcterms:W3CDTF">2020-01-04T22:28:23Z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