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DC41121C-5E7F-47F3-A213-63D0FBF46068}" xr6:coauthVersionLast="45" xr6:coauthVersionMax="45" xr10:uidLastSave="{00000000-0000-0000-0000-000000000000}"/>
  <bookViews>
    <workbookView xWindow="-28920" yWindow="-120" windowWidth="29040" windowHeight="15840" activeTab="8" xr2:uid="{00000000-000D-0000-FFFF-FFFF00000000}"/>
  </bookViews>
  <sheets>
    <sheet name="material inventory" sheetId="2" r:id="rId1"/>
    <sheet name="energy consumption" sheetId="1" r:id="rId2"/>
    <sheet name="results" sheetId="4" r:id="rId3"/>
    <sheet name="CB_DATA_" sheetId="6" state="veryHidden" r:id="rId4"/>
    <sheet name="Uncertainty" sheetId="5" r:id="rId5"/>
    <sheet name="recycling" sheetId="3" r:id="rId6"/>
    <sheet name="recycling level" sheetId="7" r:id="rId7"/>
    <sheet name="SA" sheetId="8" r:id="rId8"/>
    <sheet name="results (2)" sheetId="9"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CB_0151a307754446ee86e05717f7fa2f89" localSheetId="4" hidden="1">Uncertainty!$C$2</definedName>
    <definedName name="CB_1172c7ce0d1b4c27908adeceb1074f42" localSheetId="3" hidden="1">#N/A</definedName>
    <definedName name="CB_3b99c434abac464a93f305382f125c04" localSheetId="4" hidden="1">Uncertainty!$C$4</definedName>
    <definedName name="CB_3fd12f89eef340f196032ddc7079e42a" localSheetId="4" hidden="1">Uncertainty!$C$8</definedName>
    <definedName name="CB_52e76ebe104e4532b78423591b155294" localSheetId="4" hidden="1">Uncertainty!$C$10</definedName>
    <definedName name="CB_73e58ab06dd54df9abe8c9ae4811d98a" localSheetId="4" hidden="1">Uncertainty!$C$6</definedName>
    <definedName name="CB_775f76ec25c24a77960e2addedf705b3" localSheetId="4" hidden="1">Uncertainty!$C$9</definedName>
    <definedName name="CB_8e4c866090304856a497186c0ac93957" localSheetId="3" hidden="1">#N/A</definedName>
    <definedName name="CB_Block_00000000000000000000000000000000" localSheetId="3" hidden="1">"'7.0.0.0"</definedName>
    <definedName name="CB_Block_00000000000000000000000000000000" localSheetId="4" hidden="1">"'7.0.0.0"</definedName>
    <definedName name="CB_Block_00000000000000000000000000000001" localSheetId="3" hidden="1">"'637136643622449570"</definedName>
    <definedName name="CB_Block_00000000000000000000000000000001" localSheetId="4" hidden="1">"'637136643622308143"</definedName>
    <definedName name="CB_Block_00000000000000000000000000000003" localSheetId="3" hidden="1">"'11.1.4716.0"</definedName>
    <definedName name="CB_Block_00000000000000000000000000000003" localSheetId="4" hidden="1">"'11.1.4716.0"</definedName>
    <definedName name="CB_BlockExt_00000000000000000000000000000003" localSheetId="3" hidden="1">"'11.1.2.4.850"</definedName>
    <definedName name="CB_BlockExt_00000000000000000000000000000003" localSheetId="4" hidden="1">"'11.1.2.4.850"</definedName>
    <definedName name="CB_d2d2195942a649fe8e0f049f773c0a14" localSheetId="4" hidden="1">Uncertainty!$C$7</definedName>
    <definedName name="CB_d46a7f6ce6bc4119b5999d97af81180a" localSheetId="4" hidden="1">Uncertainty!$C$3</definedName>
    <definedName name="CBCR_02e7433156004e978391f2d3c45cfb6b" localSheetId="4" hidden="1">Uncertainty!$E$3</definedName>
    <definedName name="CBCR_0780f4f2bf9347b1af64bcabd7f95854" localSheetId="4" hidden="1">Uncertainty!$C$4</definedName>
    <definedName name="CBCR_14c17f8eb8ab45b3a18cb0275b52210a" localSheetId="4" hidden="1">Uncertainty!$C$8</definedName>
    <definedName name="CBCR_2f5f185329a64b42b8bd3102c528c936" localSheetId="4" hidden="1">Uncertainty!$E$6</definedName>
    <definedName name="CBCR_335fd1840a5843d09b26b82b9cb6e5a1" localSheetId="4" hidden="1">Uncertainty!$E$2</definedName>
    <definedName name="CBCR_65b39f44555b409cb69fe8e27175d123" localSheetId="4" hidden="1">Uncertainty!$C$6</definedName>
    <definedName name="CBCR_664bc0ef2b384e34b77c6745176a6d21" localSheetId="4" hidden="1">Uncertainty!$C$2</definedName>
    <definedName name="CBCR_71b83a2dba2742c5b09a91effb5ecad9" localSheetId="4" hidden="1">Uncertainty!$E$4</definedName>
    <definedName name="CBCR_9748e8f389ee41f49166e084b9ce1d89" localSheetId="4" hidden="1">Uncertainty!$C$7</definedName>
    <definedName name="CBCR_b51b9f2b8df240318c0bb341161e1c98" localSheetId="4" hidden="1">Uncertainty!$E$7</definedName>
    <definedName name="CBCR_bec06972b826461f9441c1ab98594083" localSheetId="4" hidden="1">Uncertainty!$E$8</definedName>
    <definedName name="CBCR_d5d3cf756eac452eb86a8fb57f0739f4" localSheetId="4" hidden="1">Uncertainty!$C$3</definedName>
    <definedName name="CBWorkbookPriority" localSheetId="3" hidden="1">-1136971602282290</definedName>
    <definedName name="CBx_b381d8ac5bae45d2bae9ce2f79d122a3" localSheetId="3" hidden="1">"'Uncertainty'!$A$1"</definedName>
    <definedName name="CBx_fe33e4f650f948b984b062b9bdad9084" localSheetId="3" hidden="1">"'CB_DATA_'!$A$1"</definedName>
    <definedName name="CBx_Sheet_Guid" localSheetId="3" hidden="1">"'fe33e4f6-50f9-48b9-84b0-62b9bdad9084"</definedName>
    <definedName name="CBx_Sheet_Guid" localSheetId="4" hidden="1">"'b381d8ac-5bae-45d2-bae9-ce2f79d122a3"</definedName>
    <definedName name="CBx_SheetRef" localSheetId="3" hidden="1">CB_DATA_!$A$14</definedName>
    <definedName name="CBx_SheetRef" localSheetId="4" hidden="1">CB_DATA_!$B$14</definedName>
    <definedName name="CBx_StorageType" localSheetId="3" hidden="1">2</definedName>
    <definedName name="CBx_StorageType" localSheetId="4"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9" l="1"/>
  <c r="G29" i="9"/>
  <c r="C29" i="9"/>
  <c r="B29" i="9"/>
  <c r="G28" i="9"/>
  <c r="C28" i="9"/>
  <c r="H28" i="9" s="1"/>
  <c r="B28" i="9"/>
  <c r="C27" i="9"/>
  <c r="H27" i="9" s="1"/>
  <c r="B27" i="9"/>
  <c r="G27" i="9" s="1"/>
  <c r="A27" i="9"/>
  <c r="H26" i="9"/>
  <c r="G26" i="9"/>
  <c r="C26" i="9"/>
  <c r="B26" i="9"/>
  <c r="A26" i="9"/>
  <c r="C25" i="9"/>
  <c r="H25" i="9" s="1"/>
  <c r="B25" i="9"/>
  <c r="G25" i="9" s="1"/>
  <c r="A25" i="9"/>
  <c r="H24" i="9"/>
  <c r="C24" i="9"/>
  <c r="B24" i="9"/>
  <c r="G24" i="9" s="1"/>
  <c r="A24" i="9"/>
  <c r="G23" i="9"/>
  <c r="C23" i="9"/>
  <c r="H23" i="9" s="1"/>
  <c r="B23" i="9"/>
  <c r="A23" i="9"/>
  <c r="C22" i="9"/>
  <c r="H22" i="9" s="1"/>
  <c r="B22" i="9"/>
  <c r="G22" i="9" s="1"/>
  <c r="A22" i="9"/>
  <c r="H21" i="9"/>
  <c r="G21" i="9"/>
  <c r="C21" i="9"/>
  <c r="B21" i="9"/>
  <c r="A21" i="9"/>
  <c r="C20" i="9"/>
  <c r="H20" i="9" s="1"/>
  <c r="B20" i="9"/>
  <c r="G20" i="9" s="1"/>
  <c r="A20" i="9"/>
  <c r="C19" i="9"/>
  <c r="H19" i="9" s="1"/>
  <c r="B19" i="9"/>
  <c r="G19" i="9" s="1"/>
  <c r="A19" i="9"/>
  <c r="G18" i="9"/>
  <c r="C18" i="9"/>
  <c r="H18" i="9" s="1"/>
  <c r="B18" i="9"/>
  <c r="A18" i="9"/>
  <c r="H17" i="9"/>
  <c r="C17" i="9"/>
  <c r="B17" i="9"/>
  <c r="G17" i="9" s="1"/>
  <c r="A17" i="9"/>
  <c r="H16" i="9"/>
  <c r="C16" i="9"/>
  <c r="B16" i="9"/>
  <c r="G16" i="9" s="1"/>
  <c r="A16" i="9"/>
  <c r="C15" i="9"/>
  <c r="H15" i="9" s="1"/>
  <c r="B15" i="9"/>
  <c r="G15" i="9" s="1"/>
  <c r="A15" i="9"/>
  <c r="G14" i="9"/>
  <c r="C14" i="9"/>
  <c r="H14" i="9" s="1"/>
  <c r="B14" i="9"/>
  <c r="G13" i="9"/>
  <c r="C13" i="9"/>
  <c r="H13" i="9" s="1"/>
  <c r="B13" i="9"/>
  <c r="A13" i="9"/>
  <c r="H12" i="9"/>
  <c r="C12" i="9"/>
  <c r="B12" i="9"/>
  <c r="G12" i="9" s="1"/>
  <c r="A12" i="9"/>
  <c r="H11" i="9"/>
  <c r="C11" i="9"/>
  <c r="B11" i="9"/>
  <c r="G11" i="9" s="1"/>
  <c r="A11" i="9"/>
  <c r="C10" i="9"/>
  <c r="H10" i="9" s="1"/>
  <c r="B10" i="9"/>
  <c r="G10" i="9" s="1"/>
  <c r="A10" i="9"/>
  <c r="G9" i="9"/>
  <c r="C9" i="9"/>
  <c r="H9" i="9" s="1"/>
  <c r="B9" i="9"/>
  <c r="A9" i="9"/>
  <c r="H8" i="9"/>
  <c r="G8" i="9"/>
  <c r="C8" i="9"/>
  <c r="B8" i="9"/>
  <c r="A8" i="9"/>
  <c r="C7" i="9"/>
  <c r="H7" i="9" s="1"/>
  <c r="B7" i="9"/>
  <c r="G7" i="9" s="1"/>
  <c r="A7" i="9"/>
  <c r="C6" i="9"/>
  <c r="H6" i="9" s="1"/>
  <c r="B6" i="9"/>
  <c r="G6" i="9" s="1"/>
  <c r="A6" i="9"/>
  <c r="G5" i="9"/>
  <c r="C5" i="9"/>
  <c r="H5" i="9" s="1"/>
  <c r="B5" i="9"/>
  <c r="A5" i="9"/>
  <c r="H4" i="9"/>
  <c r="C4" i="9"/>
  <c r="B4" i="9"/>
  <c r="G4" i="9" s="1"/>
  <c r="A4" i="9"/>
  <c r="H3" i="9"/>
  <c r="C3" i="9"/>
  <c r="B3" i="9"/>
  <c r="A3" i="9"/>
  <c r="C2" i="9"/>
  <c r="H2" i="9" s="1"/>
  <c r="B2" i="9"/>
  <c r="G2" i="9" s="1"/>
  <c r="H30" i="9" l="1"/>
  <c r="H31" i="9"/>
  <c r="G3" i="9"/>
  <c r="G30" i="9" s="1"/>
  <c r="G31" i="9" s="1"/>
  <c r="B30" i="9"/>
  <c r="B31" i="9" s="1"/>
  <c r="B34" i="9" s="1"/>
  <c r="C30" i="9"/>
  <c r="C31" i="9" s="1"/>
  <c r="C34" i="9" s="1"/>
  <c r="F15" i="2" l="1"/>
  <c r="F12" i="1"/>
  <c r="E12" i="1"/>
  <c r="D12" i="1"/>
  <c r="C12" i="1"/>
  <c r="P2" i="6"/>
  <c r="A32" i="3" l="1"/>
  <c r="A33" i="3"/>
  <c r="A35" i="3"/>
  <c r="A36" i="3"/>
  <c r="A37" i="3"/>
  <c r="A38" i="3"/>
  <c r="A39" i="3"/>
  <c r="A31" i="3"/>
  <c r="A3" i="3"/>
  <c r="A4" i="3"/>
  <c r="A5" i="3"/>
  <c r="A6" i="3"/>
  <c r="A7" i="3"/>
  <c r="A8" i="3"/>
  <c r="A9" i="3"/>
  <c r="A11" i="3"/>
  <c r="A12" i="3"/>
  <c r="A2" i="3"/>
  <c r="A4" i="4" l="1"/>
  <c r="A5" i="4"/>
  <c r="A6" i="4"/>
  <c r="A7" i="4"/>
  <c r="A8" i="4"/>
  <c r="A9" i="4"/>
  <c r="A10" i="4"/>
  <c r="A12" i="4"/>
  <c r="A13" i="4"/>
  <c r="A3" i="4"/>
  <c r="V9" i="1" l="1"/>
  <c r="W11" i="2"/>
  <c r="K11" i="4" s="1"/>
  <c r="C7" i="1"/>
  <c r="AB9" i="1" l="1"/>
  <c r="AC9" i="1"/>
  <c r="U17" i="4" s="1"/>
  <c r="S9" i="1"/>
  <c r="K17" i="4" s="1"/>
  <c r="AA9" i="1"/>
  <c r="S17" i="4" s="1"/>
  <c r="R9" i="1"/>
  <c r="J17" i="4" s="1"/>
  <c r="T9" i="1"/>
  <c r="L17" i="4" s="1"/>
  <c r="N9" i="1"/>
  <c r="F17" i="4" s="1"/>
  <c r="M9" i="1"/>
  <c r="E17" i="4" s="1"/>
  <c r="X9" i="1"/>
  <c r="P17" i="4" s="1"/>
  <c r="J9" i="1"/>
  <c r="K9" i="1"/>
  <c r="AF9" i="1"/>
  <c r="X17" i="4" s="1"/>
  <c r="AE9" i="1"/>
  <c r="W17" i="4" s="1"/>
  <c r="W9" i="1"/>
  <c r="O17" i="4" s="1"/>
  <c r="P9" i="1"/>
  <c r="H17" i="4" s="1"/>
  <c r="Z9" i="1"/>
  <c r="R17" i="4" s="1"/>
  <c r="Y9" i="1"/>
  <c r="Q17" i="4" s="1"/>
  <c r="AD9" i="1"/>
  <c r="V17" i="4" s="1"/>
  <c r="O9" i="1"/>
  <c r="G17" i="4" s="1"/>
  <c r="L9" i="1"/>
  <c r="D17" i="4" s="1"/>
  <c r="U9" i="1"/>
  <c r="M17" i="4" s="1"/>
  <c r="Q9" i="1"/>
  <c r="I17" i="4" s="1"/>
  <c r="V11" i="2"/>
  <c r="J11" i="4" s="1"/>
  <c r="U11" i="2"/>
  <c r="I11" i="4" s="1"/>
  <c r="AJ11" i="2"/>
  <c r="X11" i="4" s="1"/>
  <c r="T11" i="2"/>
  <c r="H11" i="4" s="1"/>
  <c r="AI11" i="2"/>
  <c r="W11" i="4" s="1"/>
  <c r="AA11" i="2"/>
  <c r="O11" i="4" s="1"/>
  <c r="S11" i="2"/>
  <c r="G11" i="4" s="1"/>
  <c r="N11" i="2"/>
  <c r="AC11" i="2"/>
  <c r="Q11" i="4" s="1"/>
  <c r="AB11" i="2"/>
  <c r="P11" i="4" s="1"/>
  <c r="AH11" i="2"/>
  <c r="V11" i="4" s="1"/>
  <c r="Z11" i="2"/>
  <c r="N11" i="4" s="1"/>
  <c r="R11" i="2"/>
  <c r="F11" i="4" s="1"/>
  <c r="AE11" i="2"/>
  <c r="S11" i="4" s="1"/>
  <c r="AD11" i="2"/>
  <c r="R11" i="4" s="1"/>
  <c r="O11" i="2"/>
  <c r="AG11" i="2"/>
  <c r="U11" i="4" s="1"/>
  <c r="Y11" i="2"/>
  <c r="M11" i="4" s="1"/>
  <c r="Q11" i="2"/>
  <c r="E11" i="4" s="1"/>
  <c r="AF11" i="2"/>
  <c r="T11" i="4" s="1"/>
  <c r="X11" i="2"/>
  <c r="L11" i="4" s="1"/>
  <c r="P11" i="2"/>
  <c r="D11" i="4" s="1"/>
  <c r="N17" i="4"/>
  <c r="T17" i="4"/>
  <c r="A15" i="4"/>
  <c r="A16" i="4"/>
  <c r="A18" i="4"/>
  <c r="A19" i="4"/>
  <c r="A20" i="4"/>
  <c r="A21" i="4"/>
  <c r="A22" i="4"/>
  <c r="A14" i="4"/>
  <c r="I16" i="1"/>
  <c r="I17" i="1"/>
  <c r="I15" i="1"/>
  <c r="D21" i="1"/>
  <c r="C21" i="1"/>
  <c r="C22" i="1"/>
  <c r="E22" i="1" s="1"/>
  <c r="F22" i="1" s="1"/>
  <c r="D20" i="1"/>
  <c r="C20" i="1"/>
  <c r="M11" i="2"/>
  <c r="A33" i="2"/>
  <c r="M25" i="2" s="1"/>
  <c r="F33" i="2"/>
  <c r="D18" i="1"/>
  <c r="C16" i="1"/>
  <c r="C14" i="1"/>
  <c r="C10" i="1"/>
  <c r="C15" i="1"/>
  <c r="C13" i="1"/>
  <c r="C9" i="1"/>
  <c r="C18" i="1" s="1"/>
  <c r="A11" i="4" l="1"/>
  <c r="A12" i="7" s="1"/>
  <c r="A10" i="3"/>
  <c r="E20" i="1"/>
  <c r="F20" i="1" s="1"/>
  <c r="C11" i="4"/>
  <c r="G12" i="7" s="1"/>
  <c r="H12" i="7" s="1"/>
  <c r="I12" i="7" s="1"/>
  <c r="J12" i="7" s="1"/>
  <c r="K12" i="7" s="1"/>
  <c r="B10" i="3"/>
  <c r="B11" i="4"/>
  <c r="B12" i="7" s="1"/>
  <c r="C12" i="7" s="1"/>
  <c r="D12" i="7" s="1"/>
  <c r="E12" i="7" s="1"/>
  <c r="F12" i="7" s="1"/>
  <c r="C10" i="3"/>
  <c r="A24" i="4"/>
  <c r="A25" i="7" s="1"/>
  <c r="A41" i="3"/>
  <c r="A25" i="4"/>
  <c r="A26" i="7" s="1"/>
  <c r="A42" i="3"/>
  <c r="B17" i="4"/>
  <c r="C34" i="3"/>
  <c r="A23" i="4"/>
  <c r="A24" i="7" s="1"/>
  <c r="A40" i="3"/>
  <c r="C17" i="4"/>
  <c r="B34" i="3"/>
  <c r="A17" i="4"/>
  <c r="A34" i="3"/>
  <c r="O17" i="1"/>
  <c r="G25" i="4" s="1"/>
  <c r="W17" i="1"/>
  <c r="O25" i="4" s="1"/>
  <c r="AE17" i="1"/>
  <c r="W25" i="4" s="1"/>
  <c r="P17" i="1"/>
  <c r="H25" i="4" s="1"/>
  <c r="X17" i="1"/>
  <c r="P25" i="4" s="1"/>
  <c r="AF17" i="1"/>
  <c r="X25" i="4" s="1"/>
  <c r="Q17" i="1"/>
  <c r="I25" i="4" s="1"/>
  <c r="Y17" i="1"/>
  <c r="Q25" i="4" s="1"/>
  <c r="J17" i="1"/>
  <c r="R17" i="1"/>
  <c r="J25" i="4" s="1"/>
  <c r="Z17" i="1"/>
  <c r="R25" i="4" s="1"/>
  <c r="K17" i="1"/>
  <c r="S17" i="1"/>
  <c r="K25" i="4" s="1"/>
  <c r="AA17" i="1"/>
  <c r="S25" i="4" s="1"/>
  <c r="T17" i="1"/>
  <c r="L25" i="4" s="1"/>
  <c r="U17" i="1"/>
  <c r="M25" i="4" s="1"/>
  <c r="N17" i="1"/>
  <c r="F25" i="4" s="1"/>
  <c r="AD17" i="1"/>
  <c r="V25" i="4" s="1"/>
  <c r="L17" i="1"/>
  <c r="D25" i="4" s="1"/>
  <c r="AB17" i="1"/>
  <c r="T25" i="4" s="1"/>
  <c r="M17" i="1"/>
  <c r="E25" i="4" s="1"/>
  <c r="AC17" i="1"/>
  <c r="U25" i="4" s="1"/>
  <c r="V17" i="1"/>
  <c r="N25" i="4" s="1"/>
  <c r="N15" i="1"/>
  <c r="F23" i="4" s="1"/>
  <c r="V15" i="1"/>
  <c r="N23" i="4" s="1"/>
  <c r="AD15" i="1"/>
  <c r="V23" i="4" s="1"/>
  <c r="Y15" i="1"/>
  <c r="Q23" i="4" s="1"/>
  <c r="U15" i="1"/>
  <c r="M23" i="4" s="1"/>
  <c r="O15" i="1"/>
  <c r="G23" i="4" s="1"/>
  <c r="W15" i="1"/>
  <c r="O23" i="4" s="1"/>
  <c r="AE15" i="1"/>
  <c r="W23" i="4" s="1"/>
  <c r="AA15" i="1"/>
  <c r="S23" i="4" s="1"/>
  <c r="AB15" i="1"/>
  <c r="T23" i="4" s="1"/>
  <c r="P15" i="1"/>
  <c r="H23" i="4" s="1"/>
  <c r="X15" i="1"/>
  <c r="P23" i="4" s="1"/>
  <c r="AF15" i="1"/>
  <c r="X23" i="4" s="1"/>
  <c r="Q15" i="1"/>
  <c r="I23" i="4" s="1"/>
  <c r="AC15" i="1"/>
  <c r="U23" i="4" s="1"/>
  <c r="K15" i="1"/>
  <c r="L15" i="1"/>
  <c r="D23" i="4" s="1"/>
  <c r="R15" i="1"/>
  <c r="J23" i="4" s="1"/>
  <c r="Z15" i="1"/>
  <c r="R23" i="4" s="1"/>
  <c r="J15" i="1"/>
  <c r="S15" i="1"/>
  <c r="K23" i="4" s="1"/>
  <c r="T15" i="1"/>
  <c r="L23" i="4" s="1"/>
  <c r="M15" i="1"/>
  <c r="E23" i="4" s="1"/>
  <c r="E21" i="1"/>
  <c r="F21" i="1"/>
  <c r="C25" i="4" l="1"/>
  <c r="G26" i="7" s="1"/>
  <c r="H26" i="7" s="1"/>
  <c r="I26" i="7" s="1"/>
  <c r="J26" i="7" s="1"/>
  <c r="K26" i="7" s="1"/>
  <c r="B42" i="3"/>
  <c r="B23" i="4"/>
  <c r="B24" i="7" s="1"/>
  <c r="C24" i="7" s="1"/>
  <c r="D24" i="7" s="1"/>
  <c r="E24" i="7" s="1"/>
  <c r="F24" i="7" s="1"/>
  <c r="C40" i="3"/>
  <c r="B25" i="4"/>
  <c r="B26" i="7" s="1"/>
  <c r="C26" i="7" s="1"/>
  <c r="D26" i="7" s="1"/>
  <c r="E26" i="7" s="1"/>
  <c r="F26" i="7" s="1"/>
  <c r="C42" i="3"/>
  <c r="C23" i="4"/>
  <c r="G24" i="7" s="1"/>
  <c r="H24" i="7" s="1"/>
  <c r="I24" i="7" s="1"/>
  <c r="J24" i="7" s="1"/>
  <c r="K24" i="7" s="1"/>
  <c r="B40" i="3"/>
  <c r="P16" i="1"/>
  <c r="H24" i="4" s="1"/>
  <c r="X16" i="1"/>
  <c r="P24" i="4" s="1"/>
  <c r="AF16" i="1"/>
  <c r="X24" i="4" s="1"/>
  <c r="Q16" i="1"/>
  <c r="I24" i="4" s="1"/>
  <c r="Y16" i="1"/>
  <c r="Q24" i="4" s="1"/>
  <c r="J16" i="1"/>
  <c r="R16" i="1"/>
  <c r="J24" i="4" s="1"/>
  <c r="Z16" i="1"/>
  <c r="R24" i="4" s="1"/>
  <c r="K16" i="1"/>
  <c r="S16" i="1"/>
  <c r="K24" i="4" s="1"/>
  <c r="T16" i="1"/>
  <c r="L24" i="4" s="1"/>
  <c r="AB16" i="1"/>
  <c r="T24" i="4" s="1"/>
  <c r="M16" i="1"/>
  <c r="E24" i="4" s="1"/>
  <c r="AC16" i="1"/>
  <c r="U24" i="4" s="1"/>
  <c r="N16" i="1"/>
  <c r="F24" i="4" s="1"/>
  <c r="W16" i="1"/>
  <c r="O24" i="4" s="1"/>
  <c r="AE16" i="1"/>
  <c r="W24" i="4" s="1"/>
  <c r="AA16" i="1"/>
  <c r="S24" i="4" s="1"/>
  <c r="L16" i="1"/>
  <c r="D24" i="4" s="1"/>
  <c r="U16" i="1"/>
  <c r="M24" i="4" s="1"/>
  <c r="V16" i="1"/>
  <c r="N24" i="4" s="1"/>
  <c r="AD16" i="1"/>
  <c r="V24" i="4" s="1"/>
  <c r="O16" i="1"/>
  <c r="G24" i="4" s="1"/>
  <c r="H3" i="8"/>
  <c r="C24" i="4" l="1"/>
  <c r="G25" i="7" s="1"/>
  <c r="H25" i="7" s="1"/>
  <c r="I25" i="7" s="1"/>
  <c r="J25" i="7" s="1"/>
  <c r="K25" i="7" s="1"/>
  <c r="B41" i="3"/>
  <c r="B24" i="4"/>
  <c r="B25" i="7" s="1"/>
  <c r="C25" i="7" s="1"/>
  <c r="D25" i="7" s="1"/>
  <c r="E25" i="7" s="1"/>
  <c r="F25" i="7" s="1"/>
  <c r="C41" i="3"/>
  <c r="F1" i="5"/>
  <c r="P3" i="2" l="1"/>
  <c r="Q3" i="2"/>
  <c r="R3" i="2"/>
  <c r="S3" i="2"/>
  <c r="T3" i="2"/>
  <c r="U3" i="2"/>
  <c r="V3" i="2"/>
  <c r="W3" i="2"/>
  <c r="X3" i="2"/>
  <c r="Y3" i="2"/>
  <c r="Z3" i="2"/>
  <c r="AA3" i="2"/>
  <c r="AB3" i="2"/>
  <c r="AC3" i="2"/>
  <c r="AD3" i="2"/>
  <c r="AE3" i="2"/>
  <c r="AF3" i="2"/>
  <c r="AG3" i="2"/>
  <c r="AH3" i="2"/>
  <c r="AI3" i="2"/>
  <c r="AJ3" i="2"/>
  <c r="O3" i="2"/>
  <c r="N3" i="2"/>
  <c r="Q12" i="8" l="1"/>
  <c r="Q24" i="8"/>
  <c r="H25" i="8" l="1"/>
  <c r="I25" i="8"/>
  <c r="I24" i="8"/>
  <c r="H24" i="8"/>
  <c r="C23" i="8"/>
  <c r="C24" i="8"/>
  <c r="B23" i="8"/>
  <c r="B24" i="8"/>
  <c r="A23" i="8"/>
  <c r="A24" i="8"/>
  <c r="A25" i="8"/>
  <c r="I28" i="7" l="1"/>
  <c r="J28" i="7"/>
  <c r="K28" i="7"/>
  <c r="H28" i="7"/>
  <c r="D28" i="7" l="1"/>
  <c r="E28" i="7"/>
  <c r="F28" i="7"/>
  <c r="C28" i="7"/>
  <c r="I23" i="8" l="1"/>
  <c r="P5" i="8"/>
  <c r="P17" i="8" s="1"/>
  <c r="P6" i="8"/>
  <c r="P18" i="8" s="1"/>
  <c r="P7" i="8"/>
  <c r="P19" i="8" s="1"/>
  <c r="P8" i="8"/>
  <c r="P20" i="8" s="1"/>
  <c r="L19" i="8"/>
  <c r="L5" i="8"/>
  <c r="L17" i="8" s="1"/>
  <c r="L6" i="8"/>
  <c r="L18" i="8" s="1"/>
  <c r="L7" i="8"/>
  <c r="L8" i="8"/>
  <c r="L20" i="8" s="1"/>
  <c r="H23" i="8" l="1"/>
  <c r="B11" i="6" l="1"/>
  <c r="A11" i="6"/>
  <c r="A15" i="7" l="1"/>
  <c r="A14" i="8" s="1"/>
  <c r="A23" i="7"/>
  <c r="A22" i="8" s="1"/>
  <c r="B2" i="4"/>
  <c r="B3" i="7" s="1"/>
  <c r="C2" i="4"/>
  <c r="G3" i="7" s="1"/>
  <c r="D2" i="4"/>
  <c r="E2" i="4"/>
  <c r="F2" i="4"/>
  <c r="G2" i="4"/>
  <c r="H2" i="4"/>
  <c r="I2" i="4"/>
  <c r="J2" i="4"/>
  <c r="K2" i="4"/>
  <c r="L2" i="4"/>
  <c r="M2" i="4"/>
  <c r="N2" i="4"/>
  <c r="O2" i="4"/>
  <c r="P2" i="4"/>
  <c r="Q2" i="4"/>
  <c r="R2" i="4"/>
  <c r="S2" i="4"/>
  <c r="T2" i="4"/>
  <c r="U2" i="4"/>
  <c r="V2" i="4"/>
  <c r="W2" i="4"/>
  <c r="X2" i="4"/>
  <c r="A4" i="7"/>
  <c r="A4" i="8" s="1"/>
  <c r="A5" i="7"/>
  <c r="A5" i="8" s="1"/>
  <c r="A6" i="7"/>
  <c r="A6" i="8" s="1"/>
  <c r="A7" i="7"/>
  <c r="A7" i="8" s="1"/>
  <c r="A8" i="7"/>
  <c r="A8" i="8" s="1"/>
  <c r="A9" i="7"/>
  <c r="A9" i="8" s="1"/>
  <c r="A10" i="7"/>
  <c r="A10" i="8" s="1"/>
  <c r="A11" i="7"/>
  <c r="A11" i="8" s="1"/>
  <c r="A13" i="7"/>
  <c r="A12" i="8" s="1"/>
  <c r="A14" i="7"/>
  <c r="A13" i="8" s="1"/>
  <c r="A26" i="4"/>
  <c r="A22" i="7" l="1"/>
  <c r="A21" i="8" s="1"/>
  <c r="A17" i="7"/>
  <c r="A16" i="8" s="1"/>
  <c r="A21" i="7"/>
  <c r="A20" i="8" s="1"/>
  <c r="A19" i="7"/>
  <c r="A18" i="8" s="1"/>
  <c r="A20" i="7"/>
  <c r="A19" i="8" s="1"/>
  <c r="A18" i="7"/>
  <c r="A17" i="8" s="1"/>
  <c r="A16" i="7"/>
  <c r="A15" i="8" s="1"/>
  <c r="C9" i="5"/>
  <c r="C10" i="5"/>
  <c r="A43" i="3"/>
  <c r="D27" i="1"/>
  <c r="C27" i="1"/>
  <c r="B30" i="3"/>
  <c r="C30" i="3"/>
  <c r="B1" i="3"/>
  <c r="C1" i="3"/>
  <c r="E27" i="1" l="1"/>
  <c r="F27" i="1" s="1"/>
  <c r="K20" i="2"/>
  <c r="D16" i="1" l="1"/>
  <c r="E14" i="1"/>
  <c r="F14" i="1" s="1"/>
  <c r="N4" i="8" s="1"/>
  <c r="E15" i="1"/>
  <c r="F15" i="1" s="1"/>
  <c r="E13" i="1"/>
  <c r="F13" i="1" s="1"/>
  <c r="N16" i="8" l="1"/>
  <c r="L4" i="8"/>
  <c r="L16" i="8" s="1"/>
  <c r="P4" i="8"/>
  <c r="P16" i="8" s="1"/>
  <c r="S10" i="1"/>
  <c r="K18" i="4" s="1"/>
  <c r="AA10" i="1"/>
  <c r="S18" i="4" s="1"/>
  <c r="T10" i="1"/>
  <c r="L18" i="4" s="1"/>
  <c r="AB10" i="1"/>
  <c r="T18" i="4" s="1"/>
  <c r="U10" i="1"/>
  <c r="M18" i="4" s="1"/>
  <c r="AC10" i="1"/>
  <c r="U18" i="4" s="1"/>
  <c r="O10" i="1"/>
  <c r="G18" i="4" s="1"/>
  <c r="W10" i="1"/>
  <c r="O18" i="4" s="1"/>
  <c r="AE10" i="1"/>
  <c r="W18" i="4" s="1"/>
  <c r="AF10" i="1"/>
  <c r="X18" i="4" s="1"/>
  <c r="N10" i="1"/>
  <c r="F18" i="4" s="1"/>
  <c r="V10" i="1"/>
  <c r="N18" i="4" s="1"/>
  <c r="AD10" i="1"/>
  <c r="V18" i="4" s="1"/>
  <c r="X10" i="1"/>
  <c r="P18" i="4" s="1"/>
  <c r="M10" i="1"/>
  <c r="E18" i="4" s="1"/>
  <c r="P10" i="1"/>
  <c r="H18" i="4" s="1"/>
  <c r="L10" i="1"/>
  <c r="D18" i="4" s="1"/>
  <c r="Q10" i="1"/>
  <c r="I18" i="4" s="1"/>
  <c r="Y10" i="1"/>
  <c r="Q18" i="4" s="1"/>
  <c r="K10" i="1"/>
  <c r="R10" i="1"/>
  <c r="J18" i="4" s="1"/>
  <c r="Z10" i="1"/>
  <c r="R18" i="4" s="1"/>
  <c r="U12" i="1"/>
  <c r="M20" i="4" s="1"/>
  <c r="AC12" i="1"/>
  <c r="U20" i="4" s="1"/>
  <c r="O12" i="1"/>
  <c r="G20" i="4" s="1"/>
  <c r="W12" i="1"/>
  <c r="O20" i="4" s="1"/>
  <c r="AE12" i="1"/>
  <c r="W20" i="4" s="1"/>
  <c r="R12" i="1"/>
  <c r="J20" i="4" s="1"/>
  <c r="P12" i="1"/>
  <c r="H20" i="4" s="1"/>
  <c r="X12" i="1"/>
  <c r="P20" i="4" s="1"/>
  <c r="AF12" i="1"/>
  <c r="X20" i="4" s="1"/>
  <c r="Y12" i="1"/>
  <c r="Q20" i="4" s="1"/>
  <c r="K12" i="1"/>
  <c r="Q12" i="1"/>
  <c r="I20" i="4" s="1"/>
  <c r="Z12" i="1"/>
  <c r="R20" i="4" s="1"/>
  <c r="S12" i="1"/>
  <c r="K20" i="4" s="1"/>
  <c r="AA12" i="1"/>
  <c r="S20" i="4" s="1"/>
  <c r="T12" i="1"/>
  <c r="L20" i="4" s="1"/>
  <c r="AB12" i="1"/>
  <c r="T20" i="4" s="1"/>
  <c r="M12" i="1"/>
  <c r="E20" i="4" s="1"/>
  <c r="L12" i="1"/>
  <c r="D20" i="4" s="1"/>
  <c r="N12" i="1"/>
  <c r="F20" i="4" s="1"/>
  <c r="V12" i="1"/>
  <c r="N20" i="4" s="1"/>
  <c r="AD12" i="1"/>
  <c r="V20" i="4" s="1"/>
  <c r="P11" i="1"/>
  <c r="H19" i="4" s="1"/>
  <c r="X11" i="1"/>
  <c r="P19" i="4" s="1"/>
  <c r="AF11" i="1"/>
  <c r="X19" i="4" s="1"/>
  <c r="Q11" i="1"/>
  <c r="I19" i="4" s="1"/>
  <c r="R11" i="1"/>
  <c r="J19" i="4" s="1"/>
  <c r="Z11" i="1"/>
  <c r="R19" i="4" s="1"/>
  <c r="AB11" i="1"/>
  <c r="T19" i="4" s="1"/>
  <c r="K11" i="1"/>
  <c r="S11" i="1"/>
  <c r="K19" i="4" s="1"/>
  <c r="AA11" i="1"/>
  <c r="S19" i="4" s="1"/>
  <c r="T11" i="1"/>
  <c r="L19" i="4" s="1"/>
  <c r="AC11" i="1"/>
  <c r="U19" i="4" s="1"/>
  <c r="U11" i="1"/>
  <c r="M19" i="4" s="1"/>
  <c r="N11" i="1"/>
  <c r="F19" i="4" s="1"/>
  <c r="V11" i="1"/>
  <c r="N19" i="4" s="1"/>
  <c r="AD11" i="1"/>
  <c r="V19" i="4" s="1"/>
  <c r="M11" i="1"/>
  <c r="E19" i="4" s="1"/>
  <c r="L11" i="1"/>
  <c r="D19" i="4" s="1"/>
  <c r="O11" i="1"/>
  <c r="G19" i="4" s="1"/>
  <c r="W11" i="1"/>
  <c r="O19" i="4" s="1"/>
  <c r="AE11" i="1"/>
  <c r="W19" i="4" s="1"/>
  <c r="Y11" i="1"/>
  <c r="Q19" i="4" s="1"/>
  <c r="E16" i="1"/>
  <c r="F16" i="1" s="1"/>
  <c r="N9" i="8" s="1"/>
  <c r="J10" i="1"/>
  <c r="J12" i="1"/>
  <c r="J11" i="1"/>
  <c r="D10" i="1"/>
  <c r="E10" i="1" s="1"/>
  <c r="F10" i="1" s="1"/>
  <c r="N10" i="8" s="1"/>
  <c r="C18" i="4" l="1"/>
  <c r="B35" i="3"/>
  <c r="B18" i="4"/>
  <c r="C35" i="3"/>
  <c r="C20" i="4"/>
  <c r="B37" i="3"/>
  <c r="B20" i="4"/>
  <c r="C37" i="3"/>
  <c r="C19" i="4"/>
  <c r="G20" i="7" s="1"/>
  <c r="B36" i="3"/>
  <c r="B19" i="4"/>
  <c r="C36" i="3"/>
  <c r="P9" i="8"/>
  <c r="P21" i="8" s="1"/>
  <c r="L9" i="8"/>
  <c r="L21" i="8" s="1"/>
  <c r="P10" i="8"/>
  <c r="P22" i="8" s="1"/>
  <c r="L10" i="8"/>
  <c r="L22" i="8" s="1"/>
  <c r="G19" i="7"/>
  <c r="G18" i="7"/>
  <c r="J13" i="1"/>
  <c r="R13" i="1"/>
  <c r="J21" i="4" s="1"/>
  <c r="Z13" i="1"/>
  <c r="R21" i="4" s="1"/>
  <c r="L13" i="1"/>
  <c r="D21" i="4" s="1"/>
  <c r="T13" i="1"/>
  <c r="L21" i="4" s="1"/>
  <c r="AB13" i="1"/>
  <c r="T21" i="4" s="1"/>
  <c r="N13" i="1"/>
  <c r="F21" i="4" s="1"/>
  <c r="AD13" i="1"/>
  <c r="V21" i="4" s="1"/>
  <c r="U13" i="1"/>
  <c r="M21" i="4" s="1"/>
  <c r="AC13" i="1"/>
  <c r="U21" i="4" s="1"/>
  <c r="K13" i="1"/>
  <c r="V13" i="1"/>
  <c r="N21" i="4" s="1"/>
  <c r="O13" i="1"/>
  <c r="G21" i="4" s="1"/>
  <c r="W13" i="1"/>
  <c r="O21" i="4" s="1"/>
  <c r="AE13" i="1"/>
  <c r="W21" i="4" s="1"/>
  <c r="P13" i="1"/>
  <c r="H21" i="4" s="1"/>
  <c r="X13" i="1"/>
  <c r="P21" i="4" s="1"/>
  <c r="AF13" i="1"/>
  <c r="X21" i="4" s="1"/>
  <c r="Q13" i="1"/>
  <c r="I21" i="4" s="1"/>
  <c r="Y13" i="1"/>
  <c r="Q21" i="4" s="1"/>
  <c r="M13" i="1"/>
  <c r="E21" i="4" s="1"/>
  <c r="S13" i="1"/>
  <c r="K21" i="4" s="1"/>
  <c r="AA13" i="1"/>
  <c r="S21" i="4" s="1"/>
  <c r="N8" i="1"/>
  <c r="F16" i="4" s="1"/>
  <c r="V8" i="1"/>
  <c r="N16" i="4" s="1"/>
  <c r="AD8" i="1"/>
  <c r="V16" i="4" s="1"/>
  <c r="O8" i="1"/>
  <c r="G16" i="4" s="1"/>
  <c r="W8" i="1"/>
  <c r="O16" i="4" s="1"/>
  <c r="AE8" i="1"/>
  <c r="W16" i="4" s="1"/>
  <c r="P8" i="1"/>
  <c r="H16" i="4" s="1"/>
  <c r="X8" i="1"/>
  <c r="P16" i="4" s="1"/>
  <c r="AF8" i="1"/>
  <c r="X16" i="4" s="1"/>
  <c r="R8" i="1"/>
  <c r="J16" i="4" s="1"/>
  <c r="L8" i="1"/>
  <c r="D16" i="4" s="1"/>
  <c r="AA8" i="1"/>
  <c r="S16" i="4" s="1"/>
  <c r="Q8" i="1"/>
  <c r="I16" i="4" s="1"/>
  <c r="Y8" i="1"/>
  <c r="Q16" i="4" s="1"/>
  <c r="Z8" i="1"/>
  <c r="R16" i="4" s="1"/>
  <c r="M8" i="1"/>
  <c r="E16" i="4" s="1"/>
  <c r="S8" i="1"/>
  <c r="K16" i="4" s="1"/>
  <c r="T8" i="1"/>
  <c r="L16" i="4" s="1"/>
  <c r="AB8" i="1"/>
  <c r="T16" i="4" s="1"/>
  <c r="U8" i="1"/>
  <c r="M16" i="4" s="1"/>
  <c r="AC8" i="1"/>
  <c r="U16" i="4" s="1"/>
  <c r="K8" i="1"/>
  <c r="J8" i="1"/>
  <c r="C21" i="4" l="1"/>
  <c r="B38" i="3"/>
  <c r="C16" i="4"/>
  <c r="G17" i="7" s="1"/>
  <c r="B33" i="3"/>
  <c r="B21" i="4"/>
  <c r="C38" i="3"/>
  <c r="B16" i="4"/>
  <c r="C33" i="3"/>
  <c r="H20" i="7"/>
  <c r="I20" i="7" s="1"/>
  <c r="J20" i="7" s="1"/>
  <c r="K20" i="7" s="1"/>
  <c r="C19" i="8"/>
  <c r="F19" i="8" s="1"/>
  <c r="H18" i="7"/>
  <c r="I18" i="7" s="1"/>
  <c r="J18" i="7" s="1"/>
  <c r="K18" i="7" s="1"/>
  <c r="C17" i="8"/>
  <c r="F17" i="8" s="1"/>
  <c r="H19" i="7"/>
  <c r="I19" i="7" s="1"/>
  <c r="J19" i="7" s="1"/>
  <c r="K19" i="7" s="1"/>
  <c r="C18" i="8"/>
  <c r="F18" i="8" s="1"/>
  <c r="I18" i="8" s="1"/>
  <c r="B18" i="7"/>
  <c r="B20" i="7"/>
  <c r="B19" i="7"/>
  <c r="G21" i="7"/>
  <c r="E9" i="1"/>
  <c r="F9" i="1" s="1"/>
  <c r="E18" i="1"/>
  <c r="F18" i="1" s="1"/>
  <c r="D7" i="1"/>
  <c r="I17" i="8" l="1"/>
  <c r="H21" i="7"/>
  <c r="I21" i="7" s="1"/>
  <c r="J21" i="7" s="1"/>
  <c r="K21" i="7" s="1"/>
  <c r="C20" i="8"/>
  <c r="F20" i="8" s="1"/>
  <c r="I20" i="8" s="1"/>
  <c r="C18" i="7"/>
  <c r="D18" i="7" s="1"/>
  <c r="E18" i="7" s="1"/>
  <c r="F18" i="7" s="1"/>
  <c r="B17" i="8"/>
  <c r="E17" i="8" s="1"/>
  <c r="H17" i="7"/>
  <c r="I17" i="7" s="1"/>
  <c r="J17" i="7" s="1"/>
  <c r="K17" i="7" s="1"/>
  <c r="C16" i="8"/>
  <c r="F16" i="8" s="1"/>
  <c r="I16" i="8" s="1"/>
  <c r="C19" i="7"/>
  <c r="D19" i="7" s="1"/>
  <c r="E19" i="7" s="1"/>
  <c r="F19" i="7" s="1"/>
  <c r="B18" i="8"/>
  <c r="E18" i="8" s="1"/>
  <c r="H18" i="8" s="1"/>
  <c r="C20" i="7"/>
  <c r="D20" i="7" s="1"/>
  <c r="E20" i="7" s="1"/>
  <c r="F20" i="7" s="1"/>
  <c r="B19" i="8"/>
  <c r="E19" i="8" s="1"/>
  <c r="B17" i="7"/>
  <c r="B21" i="7"/>
  <c r="E7" i="1"/>
  <c r="Q7" i="1"/>
  <c r="I15" i="4" s="1"/>
  <c r="Y7" i="1"/>
  <c r="Q15" i="4" s="1"/>
  <c r="K7" i="1"/>
  <c r="R7" i="1"/>
  <c r="J15" i="4" s="1"/>
  <c r="Z7" i="1"/>
  <c r="R15" i="4" s="1"/>
  <c r="S7" i="1"/>
  <c r="K15" i="4" s="1"/>
  <c r="AA7" i="1"/>
  <c r="S15" i="4" s="1"/>
  <c r="U7" i="1"/>
  <c r="M15" i="4" s="1"/>
  <c r="AC7" i="1"/>
  <c r="U15" i="4" s="1"/>
  <c r="V7" i="1"/>
  <c r="N15" i="4" s="1"/>
  <c r="T7" i="1"/>
  <c r="L15" i="4" s="1"/>
  <c r="AB7" i="1"/>
  <c r="T15" i="4" s="1"/>
  <c r="M7" i="1"/>
  <c r="E15" i="4" s="1"/>
  <c r="L7" i="1"/>
  <c r="D15" i="4" s="1"/>
  <c r="AD7" i="1"/>
  <c r="V15" i="4" s="1"/>
  <c r="N7" i="1"/>
  <c r="F15" i="4" s="1"/>
  <c r="O7" i="1"/>
  <c r="G15" i="4" s="1"/>
  <c r="W7" i="1"/>
  <c r="O15" i="4" s="1"/>
  <c r="AE7" i="1"/>
  <c r="W15" i="4" s="1"/>
  <c r="P7" i="1"/>
  <c r="H15" i="4" s="1"/>
  <c r="X7" i="1"/>
  <c r="P15" i="4" s="1"/>
  <c r="AF7" i="1"/>
  <c r="X15" i="4" s="1"/>
  <c r="O14" i="1"/>
  <c r="G22" i="4" s="1"/>
  <c r="W14" i="1"/>
  <c r="O22" i="4" s="1"/>
  <c r="AE14" i="1"/>
  <c r="W22" i="4" s="1"/>
  <c r="Q14" i="1"/>
  <c r="I22" i="4" s="1"/>
  <c r="Y14" i="1"/>
  <c r="Q22" i="4" s="1"/>
  <c r="K14" i="1"/>
  <c r="AA14" i="1"/>
  <c r="S22" i="4" s="1"/>
  <c r="T14" i="1"/>
  <c r="L22" i="4" s="1"/>
  <c r="R14" i="1"/>
  <c r="J22" i="4" s="1"/>
  <c r="Z14" i="1"/>
  <c r="R22" i="4" s="1"/>
  <c r="S14" i="1"/>
  <c r="K22" i="4" s="1"/>
  <c r="AB14" i="1"/>
  <c r="T22" i="4" s="1"/>
  <c r="U14" i="1"/>
  <c r="M22" i="4" s="1"/>
  <c r="AC14" i="1"/>
  <c r="U22" i="4" s="1"/>
  <c r="N14" i="1"/>
  <c r="F22" i="4" s="1"/>
  <c r="V14" i="1"/>
  <c r="N22" i="4" s="1"/>
  <c r="AD14" i="1"/>
  <c r="V22" i="4" s="1"/>
  <c r="X14" i="1"/>
  <c r="P22" i="4" s="1"/>
  <c r="AF14" i="1"/>
  <c r="X22" i="4" s="1"/>
  <c r="P14" i="1"/>
  <c r="H22" i="4" s="1"/>
  <c r="M14" i="1"/>
  <c r="E22" i="4" s="1"/>
  <c r="L14" i="1"/>
  <c r="D22" i="4" s="1"/>
  <c r="J14" i="1"/>
  <c r="J7" i="1"/>
  <c r="K23" i="2"/>
  <c r="K21" i="2"/>
  <c r="B15" i="4" l="1"/>
  <c r="C32" i="3"/>
  <c r="B22" i="4"/>
  <c r="C39" i="3"/>
  <c r="C22" i="4"/>
  <c r="B39" i="3"/>
  <c r="C15" i="4"/>
  <c r="B32" i="3"/>
  <c r="F7" i="1"/>
  <c r="F23" i="1" s="1"/>
  <c r="E23" i="1"/>
  <c r="H17" i="8"/>
  <c r="C21" i="7"/>
  <c r="D21" i="7" s="1"/>
  <c r="E21" i="7" s="1"/>
  <c r="F21" i="7" s="1"/>
  <c r="B20" i="8"/>
  <c r="E20" i="8" s="1"/>
  <c r="H20" i="8" s="1"/>
  <c r="C17" i="7"/>
  <c r="D17" i="7" s="1"/>
  <c r="E17" i="7" s="1"/>
  <c r="F17" i="7" s="1"/>
  <c r="B16" i="8"/>
  <c r="E16" i="8" s="1"/>
  <c r="H16" i="8" s="1"/>
  <c r="G16" i="7"/>
  <c r="G22" i="7"/>
  <c r="F7" i="2"/>
  <c r="F17" i="2"/>
  <c r="X6" i="1" l="1"/>
  <c r="P14" i="4" s="1"/>
  <c r="J6" i="1"/>
  <c r="M6" i="1"/>
  <c r="E14" i="4" s="1"/>
  <c r="AE6" i="1"/>
  <c r="W14" i="4" s="1"/>
  <c r="K6" i="1"/>
  <c r="AD6" i="1"/>
  <c r="V14" i="4" s="1"/>
  <c r="AC6" i="1"/>
  <c r="U14" i="4" s="1"/>
  <c r="V6" i="1"/>
  <c r="N14" i="4" s="1"/>
  <c r="N6" i="1"/>
  <c r="F14" i="4" s="1"/>
  <c r="T6" i="1"/>
  <c r="L14" i="4" s="1"/>
  <c r="W6" i="1"/>
  <c r="O14" i="4" s="1"/>
  <c r="AA6" i="1"/>
  <c r="S14" i="4" s="1"/>
  <c r="O6" i="1"/>
  <c r="G14" i="4" s="1"/>
  <c r="S6" i="1"/>
  <c r="K14" i="4" s="1"/>
  <c r="Q6" i="1"/>
  <c r="I14" i="4" s="1"/>
  <c r="U6" i="1"/>
  <c r="M14" i="4" s="1"/>
  <c r="Z6" i="1"/>
  <c r="R14" i="4" s="1"/>
  <c r="AF6" i="1"/>
  <c r="X14" i="4" s="1"/>
  <c r="AB6" i="1"/>
  <c r="T14" i="4" s="1"/>
  <c r="R6" i="1"/>
  <c r="J14" i="4" s="1"/>
  <c r="P6" i="1"/>
  <c r="H14" i="4" s="1"/>
  <c r="Y6" i="1"/>
  <c r="Q14" i="4" s="1"/>
  <c r="L6" i="1"/>
  <c r="D14" i="4" s="1"/>
  <c r="H16" i="7"/>
  <c r="I16" i="7" s="1"/>
  <c r="J16" i="7" s="1"/>
  <c r="K16" i="7" s="1"/>
  <c r="C15" i="8"/>
  <c r="F15" i="8" s="1"/>
  <c r="I15" i="8" s="1"/>
  <c r="H22" i="7"/>
  <c r="I22" i="7" s="1"/>
  <c r="J22" i="7" s="1"/>
  <c r="K22" i="7" s="1"/>
  <c r="C21" i="8"/>
  <c r="F21" i="8" s="1"/>
  <c r="I21" i="8" s="1"/>
  <c r="B22" i="7"/>
  <c r="B16" i="7"/>
  <c r="J26" i="1"/>
  <c r="C43" i="3" s="1"/>
  <c r="F18" i="2"/>
  <c r="N12" i="2" s="1"/>
  <c r="C11" i="3" s="1"/>
  <c r="F30" i="2"/>
  <c r="F8" i="2"/>
  <c r="F23" i="2"/>
  <c r="B13" i="2"/>
  <c r="B11" i="2"/>
  <c r="F11" i="2" s="1"/>
  <c r="F20" i="2"/>
  <c r="F5" i="2"/>
  <c r="F4" i="2"/>
  <c r="C14" i="4" l="1"/>
  <c r="B31" i="3"/>
  <c r="B14" i="4"/>
  <c r="C31" i="3"/>
  <c r="C44" i="3" s="1"/>
  <c r="K26" i="1"/>
  <c r="F12" i="2"/>
  <c r="H12" i="2"/>
  <c r="C16" i="7"/>
  <c r="D16" i="7" s="1"/>
  <c r="E16" i="7" s="1"/>
  <c r="F16" i="7" s="1"/>
  <c r="B15" i="8"/>
  <c r="E15" i="8" s="1"/>
  <c r="H15" i="8" s="1"/>
  <c r="C22" i="7"/>
  <c r="D22" i="7" s="1"/>
  <c r="E22" i="7" s="1"/>
  <c r="F22" i="7" s="1"/>
  <c r="B21" i="8"/>
  <c r="E21" i="8" s="1"/>
  <c r="H21" i="8" s="1"/>
  <c r="C27" i="7"/>
  <c r="E27" i="7"/>
  <c r="F27" i="7"/>
  <c r="D27" i="7"/>
  <c r="B15" i="7"/>
  <c r="G15" i="7"/>
  <c r="AI12" i="2"/>
  <c r="W12" i="4" s="1"/>
  <c r="F13" i="2"/>
  <c r="AG12" i="2"/>
  <c r="U12" i="4" s="1"/>
  <c r="Q12" i="2"/>
  <c r="E12" i="4" s="1"/>
  <c r="P12" i="2"/>
  <c r="D12" i="4" s="1"/>
  <c r="O12" i="2"/>
  <c r="U12" i="2"/>
  <c r="I12" i="4" s="1"/>
  <c r="X12" i="2"/>
  <c r="L12" i="4" s="1"/>
  <c r="V12" i="2"/>
  <c r="J12" i="4" s="1"/>
  <c r="S12" i="2"/>
  <c r="G12" i="4" s="1"/>
  <c r="AJ12" i="2"/>
  <c r="X12" i="4" s="1"/>
  <c r="AA12" i="2"/>
  <c r="O12" i="4" s="1"/>
  <c r="AC12" i="2"/>
  <c r="Q12" i="4" s="1"/>
  <c r="Y12" i="2"/>
  <c r="M12" i="4" s="1"/>
  <c r="AD12" i="2"/>
  <c r="R12" i="4" s="1"/>
  <c r="AF12" i="2"/>
  <c r="T12" i="4" s="1"/>
  <c r="AB12" i="2"/>
  <c r="P12" i="4" s="1"/>
  <c r="AH12" i="2"/>
  <c r="V12" i="4" s="1"/>
  <c r="W12" i="2"/>
  <c r="K12" i="4" s="1"/>
  <c r="T12" i="2"/>
  <c r="H12" i="4" s="1"/>
  <c r="Y5" i="2"/>
  <c r="M5" i="4" s="1"/>
  <c r="AG5" i="2"/>
  <c r="U5" i="4" s="1"/>
  <c r="S5" i="2"/>
  <c r="G5" i="4" s="1"/>
  <c r="AA5" i="2"/>
  <c r="O5" i="4" s="1"/>
  <c r="AI5" i="2"/>
  <c r="W5" i="4" s="1"/>
  <c r="AC5" i="2"/>
  <c r="Q5" i="4" s="1"/>
  <c r="T5" i="2"/>
  <c r="H5" i="4" s="1"/>
  <c r="AB5" i="2"/>
  <c r="P5" i="4" s="1"/>
  <c r="AJ5" i="2"/>
  <c r="X5" i="4" s="1"/>
  <c r="U5" i="2"/>
  <c r="I5" i="4" s="1"/>
  <c r="AD5" i="2"/>
  <c r="R5" i="4" s="1"/>
  <c r="V5" i="2"/>
  <c r="J5" i="4" s="1"/>
  <c r="W5" i="2"/>
  <c r="K5" i="4" s="1"/>
  <c r="AE5" i="2"/>
  <c r="S5" i="4" s="1"/>
  <c r="P5" i="2"/>
  <c r="D5" i="4" s="1"/>
  <c r="X5" i="2"/>
  <c r="L5" i="4" s="1"/>
  <c r="AF5" i="2"/>
  <c r="T5" i="4" s="1"/>
  <c r="Q5" i="2"/>
  <c r="E5" i="4" s="1"/>
  <c r="Z5" i="2"/>
  <c r="N5" i="4" s="1"/>
  <c r="AH5" i="2"/>
  <c r="V5" i="4" s="1"/>
  <c r="R5" i="2"/>
  <c r="F5" i="4" s="1"/>
  <c r="O5" i="2"/>
  <c r="AC13" i="2"/>
  <c r="Q13" i="4" s="1"/>
  <c r="W13" i="2"/>
  <c r="K13" i="4" s="1"/>
  <c r="AE13" i="2"/>
  <c r="S13" i="4" s="1"/>
  <c r="Z13" i="2"/>
  <c r="N13" i="4" s="1"/>
  <c r="P13" i="2"/>
  <c r="D13" i="4" s="1"/>
  <c r="X13" i="2"/>
  <c r="L13" i="4" s="1"/>
  <c r="AF13" i="2"/>
  <c r="T13" i="4" s="1"/>
  <c r="Q13" i="2"/>
  <c r="E13" i="4" s="1"/>
  <c r="AG13" i="2"/>
  <c r="U13" i="4" s="1"/>
  <c r="R13" i="2"/>
  <c r="F13" i="4" s="1"/>
  <c r="Y13" i="2"/>
  <c r="M13" i="4" s="1"/>
  <c r="AH13" i="2"/>
  <c r="V13" i="4" s="1"/>
  <c r="S13" i="2"/>
  <c r="G13" i="4" s="1"/>
  <c r="AA13" i="2"/>
  <c r="O13" i="4" s="1"/>
  <c r="AI13" i="2"/>
  <c r="W13" i="4" s="1"/>
  <c r="T13" i="2"/>
  <c r="H13" i="4" s="1"/>
  <c r="AB13" i="2"/>
  <c r="P13" i="4" s="1"/>
  <c r="AJ13" i="2"/>
  <c r="X13" i="4" s="1"/>
  <c r="U13" i="2"/>
  <c r="I13" i="4" s="1"/>
  <c r="V13" i="2"/>
  <c r="J13" i="4" s="1"/>
  <c r="AD13" i="2"/>
  <c r="R13" i="4" s="1"/>
  <c r="O13" i="2"/>
  <c r="V4" i="2"/>
  <c r="J4" i="4" s="1"/>
  <c r="AD4" i="2"/>
  <c r="R4" i="4" s="1"/>
  <c r="P4" i="2"/>
  <c r="D4" i="4" s="1"/>
  <c r="X4" i="2"/>
  <c r="L4" i="4" s="1"/>
  <c r="AF4" i="2"/>
  <c r="T4" i="4" s="1"/>
  <c r="R4" i="2"/>
  <c r="F4" i="4" s="1"/>
  <c r="AH4" i="2"/>
  <c r="V4" i="4" s="1"/>
  <c r="AI4" i="2"/>
  <c r="W4" i="4" s="1"/>
  <c r="Q4" i="2"/>
  <c r="E4" i="4" s="1"/>
  <c r="Y4" i="2"/>
  <c r="M4" i="4" s="1"/>
  <c r="AG4" i="2"/>
  <c r="U4" i="4" s="1"/>
  <c r="Z4" i="2"/>
  <c r="N4" i="4" s="1"/>
  <c r="S4" i="2"/>
  <c r="G4" i="4" s="1"/>
  <c r="AA4" i="2"/>
  <c r="O4" i="4" s="1"/>
  <c r="T4" i="2"/>
  <c r="H4" i="4" s="1"/>
  <c r="AB4" i="2"/>
  <c r="P4" i="4" s="1"/>
  <c r="AJ4" i="2"/>
  <c r="X4" i="4" s="1"/>
  <c r="U4" i="2"/>
  <c r="I4" i="4" s="1"/>
  <c r="AC4" i="2"/>
  <c r="Q4" i="4" s="1"/>
  <c r="AE4" i="2"/>
  <c r="S4" i="4" s="1"/>
  <c r="W4" i="2"/>
  <c r="K4" i="4" s="1"/>
  <c r="O4" i="2"/>
  <c r="R12" i="2"/>
  <c r="F12" i="4" s="1"/>
  <c r="AE12" i="2"/>
  <c r="S12" i="4" s="1"/>
  <c r="Z12" i="2"/>
  <c r="N12" i="4" s="1"/>
  <c r="B12" i="4"/>
  <c r="F31" i="2"/>
  <c r="F22" i="2"/>
  <c r="N4" i="2"/>
  <c r="N5" i="2"/>
  <c r="C4" i="3" s="1"/>
  <c r="N13" i="2"/>
  <c r="C12" i="3" s="1"/>
  <c r="F32" i="2"/>
  <c r="F24" i="2"/>
  <c r="F9" i="2"/>
  <c r="O6" i="2" s="1"/>
  <c r="F26" i="2"/>
  <c r="C4" i="4" l="1"/>
  <c r="G5" i="7" s="1"/>
  <c r="B3" i="3"/>
  <c r="C12" i="4"/>
  <c r="B11" i="3"/>
  <c r="B4" i="4"/>
  <c r="B5" i="7" s="1"/>
  <c r="C3" i="3"/>
  <c r="C5" i="4"/>
  <c r="G6" i="7" s="1"/>
  <c r="B4" i="3"/>
  <c r="C6" i="4"/>
  <c r="B5" i="3"/>
  <c r="C13" i="4"/>
  <c r="G14" i="7" s="1"/>
  <c r="B12" i="3"/>
  <c r="K27" i="7"/>
  <c r="B43" i="3"/>
  <c r="B44" i="3" s="1"/>
  <c r="J27" i="7"/>
  <c r="H27" i="7"/>
  <c r="I27" i="7"/>
  <c r="I12" i="2"/>
  <c r="G13" i="7"/>
  <c r="G7" i="7"/>
  <c r="B13" i="7"/>
  <c r="C15" i="7"/>
  <c r="B14" i="8"/>
  <c r="E14" i="8" s="1"/>
  <c r="H14" i="8" s="1"/>
  <c r="H15" i="7"/>
  <c r="I15" i="7" s="1"/>
  <c r="J15" i="7" s="1"/>
  <c r="K15" i="7" s="1"/>
  <c r="C14" i="8"/>
  <c r="F14" i="8" s="1"/>
  <c r="I14" i="8" s="1"/>
  <c r="F14" i="2"/>
  <c r="R10" i="2" s="1"/>
  <c r="F10" i="4" s="1"/>
  <c r="F28" i="2"/>
  <c r="S23" i="2"/>
  <c r="AA23" i="2"/>
  <c r="AI23" i="2"/>
  <c r="O23" i="2"/>
  <c r="T23" i="2"/>
  <c r="AB23" i="2"/>
  <c r="AJ23" i="2"/>
  <c r="V23" i="2"/>
  <c r="Q23" i="2"/>
  <c r="AG23" i="2"/>
  <c r="Z23" i="2"/>
  <c r="U23" i="2"/>
  <c r="AC23" i="2"/>
  <c r="AD23" i="2"/>
  <c r="AH23" i="2"/>
  <c r="W23" i="2"/>
  <c r="AE23" i="2"/>
  <c r="N23" i="2"/>
  <c r="P23" i="2"/>
  <c r="X23" i="2"/>
  <c r="AF23" i="2"/>
  <c r="Y23" i="2"/>
  <c r="R23" i="2"/>
  <c r="V24" i="2"/>
  <c r="AD24" i="2"/>
  <c r="W24" i="2"/>
  <c r="AE24" i="2"/>
  <c r="Q24" i="2"/>
  <c r="AG24" i="2"/>
  <c r="AJ24" i="2"/>
  <c r="AC24" i="2"/>
  <c r="P24" i="2"/>
  <c r="X24" i="2"/>
  <c r="AF24" i="2"/>
  <c r="Y24" i="2"/>
  <c r="N24" i="2"/>
  <c r="T24" i="2"/>
  <c r="O24" i="2"/>
  <c r="R24" i="2"/>
  <c r="Z24" i="2"/>
  <c r="AH24" i="2"/>
  <c r="S24" i="2"/>
  <c r="AA24" i="2"/>
  <c r="AI24" i="2"/>
  <c r="AB24" i="2"/>
  <c r="U24" i="2"/>
  <c r="T16" i="2"/>
  <c r="AC16" i="2"/>
  <c r="V16" i="2"/>
  <c r="AD16" i="2"/>
  <c r="W16" i="2"/>
  <c r="AE16" i="2"/>
  <c r="Y16" i="2"/>
  <c r="Z16" i="2"/>
  <c r="AH16" i="2"/>
  <c r="P16" i="2"/>
  <c r="X16" i="2"/>
  <c r="AF16" i="2"/>
  <c r="Q16" i="2"/>
  <c r="AG16" i="2"/>
  <c r="N16" i="2"/>
  <c r="R16" i="2"/>
  <c r="S16" i="2"/>
  <c r="AA16" i="2"/>
  <c r="AI16" i="2"/>
  <c r="O16" i="2"/>
  <c r="AB16" i="2"/>
  <c r="AJ16" i="2"/>
  <c r="U16" i="2"/>
  <c r="AB8" i="2"/>
  <c r="P8" i="4" s="1"/>
  <c r="V8" i="2"/>
  <c r="J8" i="4" s="1"/>
  <c r="AD8" i="2"/>
  <c r="R8" i="4" s="1"/>
  <c r="AF8" i="2"/>
  <c r="T8" i="4" s="1"/>
  <c r="Q8" i="2"/>
  <c r="E8" i="4" s="1"/>
  <c r="W8" i="2"/>
  <c r="K8" i="4" s="1"/>
  <c r="AE8" i="2"/>
  <c r="S8" i="4" s="1"/>
  <c r="X8" i="2"/>
  <c r="L8" i="4" s="1"/>
  <c r="Y8" i="2"/>
  <c r="M8" i="4" s="1"/>
  <c r="P8" i="2"/>
  <c r="D8" i="4" s="1"/>
  <c r="AG8" i="2"/>
  <c r="U8" i="4" s="1"/>
  <c r="R8" i="2"/>
  <c r="F8" i="4" s="1"/>
  <c r="Z8" i="2"/>
  <c r="N8" i="4" s="1"/>
  <c r="AH8" i="2"/>
  <c r="V8" i="4" s="1"/>
  <c r="S8" i="2"/>
  <c r="G8" i="4" s="1"/>
  <c r="AA8" i="2"/>
  <c r="O8" i="4" s="1"/>
  <c r="AI8" i="2"/>
  <c r="W8" i="4" s="1"/>
  <c r="T8" i="2"/>
  <c r="H8" i="4" s="1"/>
  <c r="AJ8" i="2"/>
  <c r="X8" i="4" s="1"/>
  <c r="U8" i="2"/>
  <c r="I8" i="4" s="1"/>
  <c r="AC8" i="2"/>
  <c r="Q8" i="4" s="1"/>
  <c r="O8" i="2"/>
  <c r="F36" i="2"/>
  <c r="AJ10" i="2"/>
  <c r="X10" i="4" s="1"/>
  <c r="U10" i="2"/>
  <c r="I10" i="4" s="1"/>
  <c r="V6" i="2"/>
  <c r="J6" i="4" s="1"/>
  <c r="AC6" i="2"/>
  <c r="Q6" i="4" s="1"/>
  <c r="U6" i="2"/>
  <c r="I6" i="4" s="1"/>
  <c r="Y6" i="2"/>
  <c r="M6" i="4" s="1"/>
  <c r="AI6" i="2"/>
  <c r="W6" i="4" s="1"/>
  <c r="X6" i="2"/>
  <c r="L6" i="4" s="1"/>
  <c r="P6" i="2"/>
  <c r="D6" i="4" s="1"/>
  <c r="AA6" i="2"/>
  <c r="O6" i="4" s="1"/>
  <c r="S6" i="2"/>
  <c r="AE6" i="2"/>
  <c r="AJ6" i="2"/>
  <c r="AG6" i="2"/>
  <c r="B13" i="4"/>
  <c r="B5" i="4"/>
  <c r="W6" i="2"/>
  <c r="AB6" i="2"/>
  <c r="AH6" i="2"/>
  <c r="AF6" i="2"/>
  <c r="T6" i="2"/>
  <c r="Z6" i="2"/>
  <c r="AD6" i="2"/>
  <c r="Q6" i="2"/>
  <c r="R6" i="2"/>
  <c r="F25" i="2"/>
  <c r="N11" i="8"/>
  <c r="F27" i="2"/>
  <c r="N8" i="2"/>
  <c r="C7" i="3" s="1"/>
  <c r="F29" i="2"/>
  <c r="N6" i="2"/>
  <c r="C5" i="3" s="1"/>
  <c r="C8" i="4" l="1"/>
  <c r="B7" i="3"/>
  <c r="D15" i="7"/>
  <c r="E15" i="7" s="1"/>
  <c r="F15" i="7" s="1"/>
  <c r="AB10" i="2"/>
  <c r="P10" i="4" s="1"/>
  <c r="AC10" i="2"/>
  <c r="Q10" i="4" s="1"/>
  <c r="F34" i="2"/>
  <c r="AA10" i="2"/>
  <c r="O10" i="4" s="1"/>
  <c r="O10" i="2"/>
  <c r="T10" i="2"/>
  <c r="H10" i="4" s="1"/>
  <c r="X10" i="2"/>
  <c r="L10" i="4" s="1"/>
  <c r="AI10" i="2"/>
  <c r="W10" i="4" s="1"/>
  <c r="P10" i="2"/>
  <c r="D10" i="4" s="1"/>
  <c r="AG10" i="2"/>
  <c r="U10" i="4" s="1"/>
  <c r="P11" i="8"/>
  <c r="P23" i="8" s="1"/>
  <c r="L11" i="8"/>
  <c r="L23" i="8" s="1"/>
  <c r="AF10" i="2"/>
  <c r="T10" i="4" s="1"/>
  <c r="S10" i="2"/>
  <c r="G10" i="4" s="1"/>
  <c r="W10" i="2"/>
  <c r="K10" i="4" s="1"/>
  <c r="AH10" i="2"/>
  <c r="V10" i="4" s="1"/>
  <c r="Q10" i="2"/>
  <c r="E10" i="4" s="1"/>
  <c r="Y10" i="2"/>
  <c r="M10" i="4" s="1"/>
  <c r="AD10" i="2"/>
  <c r="R10" i="4" s="1"/>
  <c r="Z10" i="2"/>
  <c r="N10" i="4" s="1"/>
  <c r="AE10" i="2"/>
  <c r="S10" i="4" s="1"/>
  <c r="N10" i="2"/>
  <c r="V10" i="2"/>
  <c r="J10" i="4" s="1"/>
  <c r="H13" i="7"/>
  <c r="I13" i="7" s="1"/>
  <c r="J13" i="7" s="1"/>
  <c r="K13" i="7" s="1"/>
  <c r="C12" i="8"/>
  <c r="F12" i="8" s="1"/>
  <c r="I12" i="8" s="1"/>
  <c r="C13" i="7"/>
  <c r="D13" i="7" s="1"/>
  <c r="E13" i="7" s="1"/>
  <c r="F13" i="7" s="1"/>
  <c r="B12" i="8"/>
  <c r="E12" i="8" s="1"/>
  <c r="H12" i="8" s="1"/>
  <c r="H7" i="7"/>
  <c r="I7" i="7" s="1"/>
  <c r="J7" i="7" s="1"/>
  <c r="K7" i="7" s="1"/>
  <c r="C7" i="8"/>
  <c r="F7" i="8" s="1"/>
  <c r="I7" i="8" s="1"/>
  <c r="H6" i="7"/>
  <c r="I6" i="7" s="1"/>
  <c r="J6" i="7" s="1"/>
  <c r="K6" i="7" s="1"/>
  <c r="C6" i="8"/>
  <c r="F6" i="8" s="1"/>
  <c r="I6" i="8" s="1"/>
  <c r="H14" i="7"/>
  <c r="I14" i="7" s="1"/>
  <c r="J14" i="7" s="1"/>
  <c r="K14" i="7" s="1"/>
  <c r="C13" i="8"/>
  <c r="F13" i="8" s="1"/>
  <c r="I13" i="8" s="1"/>
  <c r="C5" i="7"/>
  <c r="D5" i="7" s="1"/>
  <c r="E5" i="7" s="1"/>
  <c r="F5" i="7" s="1"/>
  <c r="B5" i="8"/>
  <c r="E5" i="8" s="1"/>
  <c r="H5" i="7"/>
  <c r="I5" i="7" s="1"/>
  <c r="J5" i="7" s="1"/>
  <c r="K5" i="7" s="1"/>
  <c r="C5" i="8"/>
  <c r="F5" i="8" s="1"/>
  <c r="G9" i="7"/>
  <c r="B6" i="7"/>
  <c r="B14" i="7"/>
  <c r="U19" i="2"/>
  <c r="AC19" i="2"/>
  <c r="V19" i="2"/>
  <c r="AD19" i="2"/>
  <c r="AA19" i="2"/>
  <c r="AJ19" i="2"/>
  <c r="W19" i="2"/>
  <c r="AE19" i="2"/>
  <c r="O19" i="2"/>
  <c r="P19" i="2"/>
  <c r="X19" i="2"/>
  <c r="AF19" i="2"/>
  <c r="AB19" i="2"/>
  <c r="Q19" i="2"/>
  <c r="Y19" i="2"/>
  <c r="AG19" i="2"/>
  <c r="R19" i="2"/>
  <c r="Z19" i="2"/>
  <c r="AH19" i="2"/>
  <c r="S19" i="2"/>
  <c r="AI19" i="2"/>
  <c r="N19" i="2"/>
  <c r="T19" i="2"/>
  <c r="T26" i="2"/>
  <c r="AB26" i="2"/>
  <c r="AJ26" i="2"/>
  <c r="U26" i="2"/>
  <c r="AC26" i="2"/>
  <c r="O26" i="2"/>
  <c r="R26" i="2"/>
  <c r="V26" i="2"/>
  <c r="AD26" i="2"/>
  <c r="N26" i="2"/>
  <c r="W26" i="2"/>
  <c r="AE26" i="2"/>
  <c r="AH26" i="2"/>
  <c r="AA26" i="2"/>
  <c r="AI26" i="2"/>
  <c r="P26" i="2"/>
  <c r="X26" i="2"/>
  <c r="AF26" i="2"/>
  <c r="Q26" i="2"/>
  <c r="Y26" i="2"/>
  <c r="AG26" i="2"/>
  <c r="Z26" i="2"/>
  <c r="S26" i="2"/>
  <c r="P21" i="2"/>
  <c r="X21" i="2"/>
  <c r="AF21" i="2"/>
  <c r="Q21" i="2"/>
  <c r="Y21" i="2"/>
  <c r="AG21" i="2"/>
  <c r="O21" i="2"/>
  <c r="V21" i="2"/>
  <c r="R21" i="2"/>
  <c r="Z21" i="2"/>
  <c r="AH21" i="2"/>
  <c r="S21" i="2"/>
  <c r="AA21" i="2"/>
  <c r="AI21" i="2"/>
  <c r="AE21" i="2"/>
  <c r="T21" i="2"/>
  <c r="AB21" i="2"/>
  <c r="AJ21" i="2"/>
  <c r="U21" i="2"/>
  <c r="AC21" i="2"/>
  <c r="N21" i="2"/>
  <c r="AD21" i="2"/>
  <c r="W21" i="2"/>
  <c r="X17" i="2"/>
  <c r="O17" i="2"/>
  <c r="Q17" i="2"/>
  <c r="Y17" i="2"/>
  <c r="AG17" i="2"/>
  <c r="R17" i="2"/>
  <c r="Z17" i="2"/>
  <c r="AH17" i="2"/>
  <c r="T17" i="2"/>
  <c r="T14" i="2" s="1"/>
  <c r="AJ17" i="2"/>
  <c r="U17" i="2"/>
  <c r="S17" i="2"/>
  <c r="AA17" i="2"/>
  <c r="AI17" i="2"/>
  <c r="N17" i="2"/>
  <c r="AB17" i="2"/>
  <c r="AC17" i="2"/>
  <c r="V17" i="2"/>
  <c r="AD17" i="2"/>
  <c r="W17" i="2"/>
  <c r="AE17" i="2"/>
  <c r="P17" i="2"/>
  <c r="P14" i="2" s="1"/>
  <c r="AF17" i="2"/>
  <c r="P6" i="4"/>
  <c r="H6" i="4"/>
  <c r="X6" i="4"/>
  <c r="B8" i="4"/>
  <c r="T6" i="4"/>
  <c r="S6" i="4"/>
  <c r="U6" i="4"/>
  <c r="E6" i="4"/>
  <c r="R6" i="4"/>
  <c r="V6" i="4"/>
  <c r="N6" i="4"/>
  <c r="K6" i="4"/>
  <c r="F6" i="4"/>
  <c r="B6" i="4"/>
  <c r="G6" i="4"/>
  <c r="AC14" i="2" l="1"/>
  <c r="B10" i="4"/>
  <c r="C9" i="3"/>
  <c r="AH14" i="2"/>
  <c r="C10" i="4"/>
  <c r="G11" i="7" s="1"/>
  <c r="C11" i="8" s="1"/>
  <c r="F11" i="8" s="1"/>
  <c r="I11" i="8" s="1"/>
  <c r="B9" i="3"/>
  <c r="AB14" i="2"/>
  <c r="P26" i="4" s="1"/>
  <c r="AF14" i="2"/>
  <c r="T26" i="4" s="1"/>
  <c r="S14" i="2"/>
  <c r="G26" i="4" s="1"/>
  <c r="Y14" i="2"/>
  <c r="X14" i="2"/>
  <c r="N14" i="2"/>
  <c r="AA14" i="2"/>
  <c r="O26" i="4" s="1"/>
  <c r="AG14" i="2"/>
  <c r="U26" i="4" s="1"/>
  <c r="Q14" i="2"/>
  <c r="E26" i="4" s="1"/>
  <c r="AD14" i="2"/>
  <c r="R26" i="4" s="1"/>
  <c r="U14" i="2"/>
  <c r="I26" i="4" s="1"/>
  <c r="V14" i="2"/>
  <c r="J26" i="4" s="1"/>
  <c r="AI14" i="2"/>
  <c r="W26" i="4" s="1"/>
  <c r="AE14" i="2"/>
  <c r="S26" i="4" s="1"/>
  <c r="W14" i="2"/>
  <c r="K26" i="4" s="1"/>
  <c r="Z14" i="2"/>
  <c r="N26" i="4" s="1"/>
  <c r="AJ14" i="2"/>
  <c r="X26" i="4" s="1"/>
  <c r="O14" i="2"/>
  <c r="C26" i="4" s="1"/>
  <c r="R14" i="2"/>
  <c r="F26" i="4" s="1"/>
  <c r="I5" i="8"/>
  <c r="H5" i="8"/>
  <c r="B7" i="7"/>
  <c r="M29" i="1"/>
  <c r="H11" i="7"/>
  <c r="I11" i="7" s="1"/>
  <c r="J11" i="7" s="1"/>
  <c r="K11" i="7" s="1"/>
  <c r="C14" i="7"/>
  <c r="D14" i="7" s="1"/>
  <c r="E14" i="7" s="1"/>
  <c r="F14" i="7" s="1"/>
  <c r="B13" i="8"/>
  <c r="E13" i="8" s="1"/>
  <c r="H13" i="8" s="1"/>
  <c r="C6" i="7"/>
  <c r="D6" i="7" s="1"/>
  <c r="E6" i="7" s="1"/>
  <c r="F6" i="7" s="1"/>
  <c r="B6" i="8"/>
  <c r="E6" i="8" s="1"/>
  <c r="H6" i="8" s="1"/>
  <c r="H9" i="7"/>
  <c r="I9" i="7" s="1"/>
  <c r="J9" i="7" s="1"/>
  <c r="K9" i="7" s="1"/>
  <c r="C9" i="8"/>
  <c r="F9" i="8" s="1"/>
  <c r="I9" i="8" s="1"/>
  <c r="B9" i="7"/>
  <c r="B23" i="7"/>
  <c r="B11" i="7"/>
  <c r="E28" i="4"/>
  <c r="M28" i="4"/>
  <c r="U28" i="4"/>
  <c r="O28" i="4"/>
  <c r="W28" i="4"/>
  <c r="P28" i="4"/>
  <c r="B28" i="4"/>
  <c r="D28" i="4"/>
  <c r="F28" i="4"/>
  <c r="N28" i="4"/>
  <c r="V28" i="4"/>
  <c r="H28" i="4"/>
  <c r="K28" i="4"/>
  <c r="G28" i="4"/>
  <c r="X28" i="4"/>
  <c r="L28" i="4"/>
  <c r="I28" i="4"/>
  <c r="Q28" i="4"/>
  <c r="C28" i="4"/>
  <c r="R28" i="4"/>
  <c r="S28" i="4"/>
  <c r="J28" i="4"/>
  <c r="T28" i="4"/>
  <c r="Q26" i="4"/>
  <c r="L26" i="4"/>
  <c r="V26" i="4"/>
  <c r="R27" i="4"/>
  <c r="D27" i="4"/>
  <c r="J27" i="4"/>
  <c r="G27" i="4"/>
  <c r="W27" i="4"/>
  <c r="F27" i="4"/>
  <c r="N27" i="4"/>
  <c r="O27" i="4"/>
  <c r="C27" i="4"/>
  <c r="G29" i="7" s="1"/>
  <c r="V27" i="4"/>
  <c r="M27" i="4"/>
  <c r="S27" i="4"/>
  <c r="I27" i="4"/>
  <c r="L27" i="4"/>
  <c r="Q27" i="4"/>
  <c r="E27" i="4"/>
  <c r="K27" i="4"/>
  <c r="X27" i="4"/>
  <c r="H27" i="4"/>
  <c r="U27" i="4"/>
  <c r="T27" i="4"/>
  <c r="B27" i="4"/>
  <c r="B29" i="7" s="1"/>
  <c r="P27" i="4"/>
  <c r="H26" i="4"/>
  <c r="D26" i="4"/>
  <c r="M26" i="4"/>
  <c r="B26" i="4"/>
  <c r="Q22" i="1"/>
  <c r="AD22" i="1"/>
  <c r="AF22" i="1"/>
  <c r="AA22" i="1"/>
  <c r="X22" i="1"/>
  <c r="N22" i="1"/>
  <c r="L22" i="1"/>
  <c r="P22" i="1"/>
  <c r="AC22" i="1"/>
  <c r="V22" i="1"/>
  <c r="Z22" i="1"/>
  <c r="U22" i="1"/>
  <c r="R22" i="1"/>
  <c r="AE22" i="1"/>
  <c r="S22" i="1"/>
  <c r="M22" i="1"/>
  <c r="W22" i="1"/>
  <c r="AB22" i="1"/>
  <c r="Y22" i="1"/>
  <c r="O22" i="1"/>
  <c r="T22" i="1"/>
  <c r="K22" i="1"/>
  <c r="J22" i="1"/>
  <c r="G23" i="7" l="1"/>
  <c r="C7" i="7"/>
  <c r="D7" i="7" s="1"/>
  <c r="E7" i="7" s="1"/>
  <c r="F7" i="7" s="1"/>
  <c r="B7" i="8"/>
  <c r="E7" i="8" s="1"/>
  <c r="H7" i="8" s="1"/>
  <c r="C25" i="8"/>
  <c r="B25" i="8"/>
  <c r="C11" i="7"/>
  <c r="D11" i="7" s="1"/>
  <c r="E11" i="7" s="1"/>
  <c r="F11" i="7" s="1"/>
  <c r="B11" i="8"/>
  <c r="E11" i="8" s="1"/>
  <c r="H11" i="8" s="1"/>
  <c r="C23" i="7"/>
  <c r="B22" i="8"/>
  <c r="E22" i="8" s="1"/>
  <c r="H22" i="8" s="1"/>
  <c r="C9" i="7"/>
  <c r="D9" i="7" s="1"/>
  <c r="E9" i="7" s="1"/>
  <c r="F9" i="7" s="1"/>
  <c r="B9" i="8"/>
  <c r="E9" i="8" s="1"/>
  <c r="H9" i="8" s="1"/>
  <c r="H23" i="7" l="1"/>
  <c r="I23" i="7" s="1"/>
  <c r="J23" i="7" s="1"/>
  <c r="K23" i="7" s="1"/>
  <c r="D23" i="7"/>
  <c r="E23" i="7" s="1"/>
  <c r="F23" i="7" s="1"/>
  <c r="C22" i="8"/>
  <c r="F22" i="8" s="1"/>
  <c r="I22" i="8" s="1"/>
  <c r="P3" i="4"/>
  <c r="J3" i="4"/>
  <c r="I3" i="4"/>
  <c r="K3" i="4"/>
  <c r="Q3" i="4"/>
  <c r="F3" i="4"/>
  <c r="O3" i="4"/>
  <c r="W3" i="4"/>
  <c r="H3" i="4"/>
  <c r="C3" i="4"/>
  <c r="E3" i="4"/>
  <c r="N3" i="4"/>
  <c r="M3" i="4"/>
  <c r="V3" i="4"/>
  <c r="T3" i="4"/>
  <c r="X3" i="4"/>
  <c r="D3" i="4"/>
  <c r="U3" i="4"/>
  <c r="R3" i="4"/>
  <c r="G3" i="4"/>
  <c r="S3" i="4"/>
  <c r="L3" i="4"/>
  <c r="G4" i="7" l="1"/>
  <c r="C4" i="8" s="1"/>
  <c r="I4" i="8" s="1"/>
  <c r="O9" i="2"/>
  <c r="B8" i="3" s="1"/>
  <c r="I4" i="7" l="1"/>
  <c r="H4" i="7"/>
  <c r="K4" i="7"/>
  <c r="J4" i="7"/>
  <c r="U9" i="2"/>
  <c r="I9" i="4" s="1"/>
  <c r="X9" i="2"/>
  <c r="L9" i="4" s="1"/>
  <c r="AB9" i="2"/>
  <c r="P9" i="4" s="1"/>
  <c r="V9" i="2"/>
  <c r="J9" i="4" s="1"/>
  <c r="AF9" i="2"/>
  <c r="T9" i="4" s="1"/>
  <c r="AC9" i="2"/>
  <c r="Q9" i="4" s="1"/>
  <c r="AD9" i="2"/>
  <c r="R9" i="4" s="1"/>
  <c r="AH9" i="2"/>
  <c r="V9" i="4" s="1"/>
  <c r="AJ9" i="2"/>
  <c r="X9" i="4" s="1"/>
  <c r="Z9" i="2"/>
  <c r="N9" i="4" s="1"/>
  <c r="W9" i="2"/>
  <c r="K9" i="4" s="1"/>
  <c r="S9" i="2"/>
  <c r="G9" i="4" s="1"/>
  <c r="P9" i="2"/>
  <c r="D9" i="4" s="1"/>
  <c r="Y9" i="2"/>
  <c r="M9" i="4" s="1"/>
  <c r="C9" i="4"/>
  <c r="AE9" i="2"/>
  <c r="S9" i="4" s="1"/>
  <c r="AA9" i="2"/>
  <c r="O9" i="4" s="1"/>
  <c r="R9" i="2"/>
  <c r="F9" i="4" s="1"/>
  <c r="AG9" i="2"/>
  <c r="U9" i="4" s="1"/>
  <c r="T9" i="2"/>
  <c r="H9" i="4" s="1"/>
  <c r="AI9" i="2"/>
  <c r="W9" i="4" s="1"/>
  <c r="Q9" i="2"/>
  <c r="E9" i="4" s="1"/>
  <c r="G10" i="7" l="1"/>
  <c r="Z7" i="2"/>
  <c r="Z35" i="2" s="1"/>
  <c r="U7" i="2"/>
  <c r="U35" i="2" s="1"/>
  <c r="X7" i="2"/>
  <c r="X35" i="2" s="1"/>
  <c r="AH7" i="2"/>
  <c r="AH35" i="2" s="1"/>
  <c r="AJ7" i="2"/>
  <c r="AJ35" i="2" s="1"/>
  <c r="W7" i="2"/>
  <c r="W35" i="2" s="1"/>
  <c r="AB7" i="2"/>
  <c r="AB35" i="2" s="1"/>
  <c r="S7" i="2"/>
  <c r="S35" i="2" s="1"/>
  <c r="O7" i="2"/>
  <c r="B6" i="3" s="1"/>
  <c r="B13" i="3" s="1"/>
  <c r="AE7" i="2"/>
  <c r="AE35" i="2" s="1"/>
  <c r="AA7" i="2"/>
  <c r="AA35" i="2" s="1"/>
  <c r="AI7" i="2"/>
  <c r="AI35" i="2" s="1"/>
  <c r="R7" i="2"/>
  <c r="R35" i="2" s="1"/>
  <c r="AC7" i="2"/>
  <c r="AC35" i="2" s="1"/>
  <c r="P7" i="2"/>
  <c r="P35" i="2" s="1"/>
  <c r="Q7" i="2"/>
  <c r="Q35" i="2" s="1"/>
  <c r="V7" i="2"/>
  <c r="V35" i="2" s="1"/>
  <c r="Y7" i="2"/>
  <c r="Y35" i="2" s="1"/>
  <c r="AF7" i="2"/>
  <c r="AF35" i="2" s="1"/>
  <c r="T7" i="2"/>
  <c r="T35" i="2" s="1"/>
  <c r="AD7" i="2"/>
  <c r="AD35" i="2" s="1"/>
  <c r="AG7" i="2"/>
  <c r="AG35" i="2" s="1"/>
  <c r="O35" i="2" l="1"/>
  <c r="O45" i="2"/>
  <c r="H10" i="7"/>
  <c r="I10" i="7" s="1"/>
  <c r="J10" i="7" s="1"/>
  <c r="K10" i="7" s="1"/>
  <c r="C10" i="8"/>
  <c r="F10" i="8" s="1"/>
  <c r="I10" i="8" s="1"/>
  <c r="D7" i="4"/>
  <c r="D29" i="4" s="1"/>
  <c r="H7" i="4"/>
  <c r="H29" i="4" s="1"/>
  <c r="H30" i="4" s="1"/>
  <c r="X7" i="4"/>
  <c r="X29" i="4" s="1"/>
  <c r="X30" i="4" s="1"/>
  <c r="J7" i="4"/>
  <c r="J29" i="4" s="1"/>
  <c r="J30" i="4" s="1"/>
  <c r="I7" i="4"/>
  <c r="I29" i="4" s="1"/>
  <c r="I30" i="4" s="1"/>
  <c r="M7" i="4"/>
  <c r="M29" i="4" s="1"/>
  <c r="M30" i="4" s="1"/>
  <c r="L7" i="4"/>
  <c r="L29" i="4" s="1"/>
  <c r="L30" i="4" s="1"/>
  <c r="F7" i="4"/>
  <c r="F29" i="4" s="1"/>
  <c r="F30" i="4" s="1"/>
  <c r="U7" i="4"/>
  <c r="U29" i="4" s="1"/>
  <c r="Q7" i="4"/>
  <c r="Q29" i="4" s="1"/>
  <c r="Q30" i="4" s="1"/>
  <c r="W7" i="4"/>
  <c r="W29" i="4" s="1"/>
  <c r="W30" i="4" s="1"/>
  <c r="S7" i="4"/>
  <c r="S29" i="4" s="1"/>
  <c r="S30" i="4" s="1"/>
  <c r="P7" i="4"/>
  <c r="P29" i="4" s="1"/>
  <c r="P30" i="4" s="1"/>
  <c r="O7" i="4"/>
  <c r="O29" i="4" s="1"/>
  <c r="O30" i="4" s="1"/>
  <c r="T7" i="4"/>
  <c r="T29" i="4" s="1"/>
  <c r="T30" i="4" s="1"/>
  <c r="V7" i="4"/>
  <c r="V29" i="4" s="1"/>
  <c r="V30" i="4" s="1"/>
  <c r="G7" i="4"/>
  <c r="G29" i="4" s="1"/>
  <c r="G30" i="4" s="1"/>
  <c r="E7" i="4"/>
  <c r="E29" i="4" s="1"/>
  <c r="E30" i="4" s="1"/>
  <c r="N7" i="4"/>
  <c r="N29" i="4" s="1"/>
  <c r="N30" i="4" s="1"/>
  <c r="R7" i="4"/>
  <c r="R29" i="4" s="1"/>
  <c r="R30" i="4" s="1"/>
  <c r="C7" i="4"/>
  <c r="K7" i="4"/>
  <c r="K29" i="4" s="1"/>
  <c r="K30" i="4" s="1"/>
  <c r="W33" i="4" l="1"/>
  <c r="X33" i="4"/>
  <c r="S33" i="4"/>
  <c r="G33" i="4"/>
  <c r="R33" i="4"/>
  <c r="E33" i="4"/>
  <c r="F33" i="4"/>
  <c r="N33" i="4"/>
  <c r="T33" i="4"/>
  <c r="L33" i="4"/>
  <c r="J33" i="4"/>
  <c r="V33" i="4"/>
  <c r="O33" i="4"/>
  <c r="M33" i="4"/>
  <c r="Q33" i="4"/>
  <c r="H33" i="4"/>
  <c r="K33" i="4"/>
  <c r="P33" i="4"/>
  <c r="I33" i="4"/>
  <c r="U30" i="4"/>
  <c r="D30" i="4"/>
  <c r="C29" i="4"/>
  <c r="C30" i="4" s="1"/>
  <c r="G8" i="7"/>
  <c r="C8" i="8" s="1"/>
  <c r="F8" i="8" s="1"/>
  <c r="D31" i="4" l="1"/>
  <c r="I8" i="8"/>
  <c r="I27" i="8" s="1"/>
  <c r="F27" i="8"/>
  <c r="C13" i="5"/>
  <c r="C33" i="4"/>
  <c r="D33" i="4"/>
  <c r="U31" i="4"/>
  <c r="U33" i="4"/>
  <c r="H8" i="7"/>
  <c r="G31" i="7"/>
  <c r="I29" i="8" l="1"/>
  <c r="I8" i="7"/>
  <c r="J8" i="7" l="1"/>
  <c r="K8" i="7" l="1"/>
  <c r="B3" i="4" l="1"/>
  <c r="B4" i="7" l="1"/>
  <c r="B4" i="8" s="1"/>
  <c r="H4" i="8" s="1"/>
  <c r="D4" i="7" l="1"/>
  <c r="F4" i="7"/>
  <c r="E4" i="7"/>
  <c r="C4" i="7"/>
  <c r="N7" i="2" l="1"/>
  <c r="C6" i="3" s="1"/>
  <c r="N9" i="2"/>
  <c r="B9" i="4" l="1"/>
  <c r="B10" i="7" s="1"/>
  <c r="C8" i="3"/>
  <c r="C13" i="3"/>
  <c r="N35" i="2"/>
  <c r="B7" i="4"/>
  <c r="B8" i="7" l="1"/>
  <c r="B29" i="4"/>
  <c r="B30" i="4" s="1"/>
  <c r="C10" i="7"/>
  <c r="D10" i="7" s="1"/>
  <c r="E10" i="7" s="1"/>
  <c r="F10" i="7" s="1"/>
  <c r="B10" i="8"/>
  <c r="E10" i="8" s="1"/>
  <c r="H10" i="8" s="1"/>
  <c r="B33" i="4" l="1"/>
  <c r="B13" i="5"/>
  <c r="B8" i="8"/>
  <c r="E8" i="8" s="1"/>
  <c r="C8" i="7"/>
  <c r="B31" i="7"/>
  <c r="H8" i="8" l="1"/>
  <c r="H27" i="8" s="1"/>
  <c r="E27" i="8"/>
  <c r="D8" i="7"/>
  <c r="H29" i="8" l="1"/>
  <c r="E8" i="7"/>
  <c r="F8" i="7" l="1"/>
  <c r="C29" i="7" l="1"/>
  <c r="D29" i="7"/>
  <c r="D32" i="7" s="1"/>
  <c r="F29" i="7"/>
  <c r="F32" i="7" s="1"/>
  <c r="E29" i="7"/>
  <c r="E32" i="7" s="1"/>
  <c r="K29" i="7"/>
  <c r="K32" i="7" s="1"/>
  <c r="I29" i="7"/>
  <c r="I32" i="7" s="1"/>
  <c r="J29" i="7"/>
  <c r="J32" i="7" s="1"/>
  <c r="H29" i="7"/>
  <c r="H32" i="7" l="1"/>
  <c r="C32" i="7"/>
</calcChain>
</file>

<file path=xl/sharedStrings.xml><?xml version="1.0" encoding="utf-8"?>
<sst xmlns="http://schemas.openxmlformats.org/spreadsheetml/2006/main" count="315" uniqueCount="184">
  <si>
    <t>thickness (nm)</t>
  </si>
  <si>
    <t>area (m2)</t>
  </si>
  <si>
    <t>density (kg/m3)</t>
  </si>
  <si>
    <t>utilization efficiency</t>
  </si>
  <si>
    <t>mass (kg)</t>
  </si>
  <si>
    <t>note</t>
  </si>
  <si>
    <t>Substrate patterning</t>
  </si>
  <si>
    <t>-</t>
  </si>
  <si>
    <t>Substrate</t>
  </si>
  <si>
    <t>Ethanol</t>
  </si>
  <si>
    <t>Cleaning</t>
  </si>
  <si>
    <t>Deionized water</t>
  </si>
  <si>
    <t>ETL deposition</t>
  </si>
  <si>
    <t>Perovskite layer deposition</t>
  </si>
  <si>
    <t>Solvent of PbI2</t>
  </si>
  <si>
    <t>Isopropanol</t>
  </si>
  <si>
    <t>Solvent of CH3NH3I</t>
  </si>
  <si>
    <t>HTL deposition</t>
  </si>
  <si>
    <t>Cathode deposition</t>
  </si>
  <si>
    <t>ITO glass</t>
  </si>
  <si>
    <t>Ni(NO3)2·6H2O</t>
  </si>
  <si>
    <t>Ethylene glycol</t>
  </si>
  <si>
    <t>Ethylenediamine</t>
  </si>
  <si>
    <t>ITO</t>
  </si>
  <si>
    <t>NiOx</t>
  </si>
  <si>
    <t>perovskite</t>
  </si>
  <si>
    <t>ZnO</t>
  </si>
  <si>
    <t>Al</t>
  </si>
  <si>
    <t>Solvent of Ni(NO3)2·6H2O</t>
  </si>
  <si>
    <t>ZnO powder</t>
  </si>
  <si>
    <t>Chlorobenzene</t>
  </si>
  <si>
    <t>Concentration of 2%</t>
  </si>
  <si>
    <t>The thickness is controlled by the spin speed</t>
  </si>
  <si>
    <t>density</t>
  </si>
  <si>
    <t>NiO</t>
  </si>
  <si>
    <t>Ni2O3</t>
  </si>
  <si>
    <t>NiOx precursor solution</t>
  </si>
  <si>
    <t>Direcet process energy</t>
  </si>
  <si>
    <t>Power (W)</t>
  </si>
  <si>
    <t>Time (s)</t>
  </si>
  <si>
    <t>Electricity consumption (MJ)</t>
  </si>
  <si>
    <t>Sonication</t>
  </si>
  <si>
    <t>Drying</t>
  </si>
  <si>
    <t>Hole transporter layer deposition</t>
  </si>
  <si>
    <t>Electrode deposition</t>
  </si>
  <si>
    <t>Total</t>
  </si>
  <si>
    <t>kWh</t>
  </si>
  <si>
    <t>Direct emissions</t>
  </si>
  <si>
    <t>Mass of module</t>
  </si>
  <si>
    <t>NiOx spin coating</t>
  </si>
  <si>
    <t>ZnO spin coating</t>
  </si>
  <si>
    <t>1st-step spin coating</t>
  </si>
  <si>
    <t>2nd-step spin coating</t>
  </si>
  <si>
    <t>Post-annealing</t>
  </si>
  <si>
    <t>Annealing</t>
  </si>
  <si>
    <t>ZnO nanoparticles</t>
  </si>
  <si>
    <t>total</t>
  </si>
  <si>
    <t>Dimethylformamide</t>
  </si>
  <si>
    <t>Primary energy consumption</t>
  </si>
  <si>
    <t>Carbon footprint</t>
  </si>
  <si>
    <t>UV/O3 cleaning</t>
  </si>
  <si>
    <t>agricultural land occupation</t>
  </si>
  <si>
    <t>climate change</t>
  </si>
  <si>
    <t>fossil depletion</t>
  </si>
  <si>
    <t>freshwater ecotoxicity</t>
  </si>
  <si>
    <t>freshwater eutrophication</t>
  </si>
  <si>
    <t>human toxicity</t>
  </si>
  <si>
    <t>ionising radiation</t>
  </si>
  <si>
    <t>marine ecotoxicity</t>
  </si>
  <si>
    <t>marine eutrophication</t>
  </si>
  <si>
    <t>metal depletion</t>
  </si>
  <si>
    <t>natural land transformation</t>
  </si>
  <si>
    <t>ozone depletion</t>
  </si>
  <si>
    <t>particulate matter formation</t>
  </si>
  <si>
    <t>photochemical oxidant formation</t>
  </si>
  <si>
    <t>terrestrial acidification</t>
  </si>
  <si>
    <t>terrestrial ecotoxicity</t>
  </si>
  <si>
    <t>urban land occupation</t>
  </si>
  <si>
    <t>water depletion</t>
  </si>
  <si>
    <t>ecosystem quality</t>
  </si>
  <si>
    <t>human health</t>
  </si>
  <si>
    <t>resources</t>
  </si>
  <si>
    <t xml:space="preserve">ReCiPe Midpoint (E) </t>
  </si>
  <si>
    <t>ReCiPe Endpoint (E,A)</t>
  </si>
  <si>
    <t>emitted to</t>
  </si>
  <si>
    <t>Cleaning solvent</t>
  </si>
  <si>
    <t>Wasted effective component of NiOx ink</t>
  </si>
  <si>
    <t>Solvent in NiOx ink</t>
  </si>
  <si>
    <t>wastewater</t>
  </si>
  <si>
    <t>air</t>
  </si>
  <si>
    <t>Wasted PbI2</t>
  </si>
  <si>
    <t>Wasted aluminum</t>
  </si>
  <si>
    <t>Wasted effective component of ZnO ink</t>
  </si>
  <si>
    <t>Solvent in ZnO ink</t>
  </si>
  <si>
    <t>Wastewater</t>
  </si>
  <si>
    <t>MAI</t>
  </si>
  <si>
    <t>Treatment</t>
  </si>
  <si>
    <t>item</t>
  </si>
  <si>
    <t>unit</t>
  </si>
  <si>
    <t>module 1</t>
  </si>
  <si>
    <t>Insolation</t>
  </si>
  <si>
    <t>kWh/m2/yr</t>
  </si>
  <si>
    <t>EPBT</t>
  </si>
  <si>
    <t>performance ratio</t>
  </si>
  <si>
    <t>CO2 emission factor</t>
  </si>
  <si>
    <t>module efficiency</t>
  </si>
  <si>
    <t>epsilon</t>
  </si>
  <si>
    <t>MJ/kWh</t>
  </si>
  <si>
    <t>lifetime</t>
  </si>
  <si>
    <t>yr</t>
  </si>
  <si>
    <t>primary energy consumption</t>
  </si>
  <si>
    <t>MJ/m2</t>
  </si>
  <si>
    <t>CO2</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</si>
  <si>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</si>
  <si>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</si>
  <si>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</si>
  <si>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</si>
  <si>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</si>
  <si>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</si>
  <si>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</si>
  <si>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</si>
  <si>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</si>
  <si>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</si>
  <si>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</si>
  <si>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</si>
  <si>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fe33e4f6-50f9-48b9-84b0-62b9bdad9084</t>
  </si>
  <si>
    <t>CB_Block_0</t>
  </si>
  <si>
    <t>㜸〱敤㕣㕢㙣ㅣ㔷ㄹ摥㤹摤㔹敦慣敤搸㡤㤳戶〹愵㌵㉤愵戴づ摢㌸㙤㈸〵㐲昰愵戹ㄴ㈷㜶㘳㈷〵ㄵ戴ㄹ敦㥥戱愷搹㤹㜱㘷㘶ㅤ扢㔴愲搰ㄶ挴晤㈲ち愲㉤ㄷㄵ㠴挴ぢ㠵㤷㐲愱て㈰㈱㠱㔰㉢㈱〴て㐸㍣ㄴ㠴㐰〸㠴㈲㜸攱〱〹扥敦捣捣敥散慥㜷散㙥㕢㜰㤱㑦扡挷㘷捥㙤捥昹敦攷晦捦㌴愳㘴㌲㤹㝦㈳昱㉦㔳㡥㠵慢收搷晤㐰搸愵㈹户㔶ㄳ㤵挰㜲ㅤ扦㌴攱㜹挶晡㡣攵〷㔹㜴挸㤷㉤戴晢㕡搹户敥ㄷ㠵昲慡昰㝣㜴搲㌲㤹㐲㐱㔷搱捥㐹昸ㅢ㡥ㅦ㜴㡥ㅡ挸㈱㕢㤸㥡㥣㕤扣ㄷ戳捥〷慥㈷づ㡣㥥ぢ挷ㅥㄹㅦ㉦㡤㤷㙥扤㙤晣捤愵㠳〷㐶愷敡戵愰敥㠹㈳㡥愸〷㥥㔱㍢㌰㍡㔷㕦慣㔹㤵㜷㠹昵〵昷㠲㜰㡥㠸挵㠳户㉣ㅡ户扥㘵晣搶挳㠷捤摢㙦㝦换〰㕥㥤㌹㍤㌵㌹攷〹搳㝦㤹收搴戸攴㕢愷㐵挵攲摥㠴昰㉣㘷愹㌴㌵㠹晦ㄲ敢挷搳㙤愵昹㘵㈱〲扥㕡㜸挲愹〸㕦挷挰㝥㝢挲昷敢昶ち㠱愷摢挷戰搵㡡攱〷㥡㍤㈵㙡㌵摤㡥㘷㉤搸戳㠰㕤捤㔸ㅦ戰攷㠵攳㕢㠱戵㙡〵敢㜹㝢〱ㄳ㔵〷敤戳扥㌸㘳㌸㑢攲戴㘱ぢ捤㍥㕥户慡戹㌰㘵戲㌷挴㔳㈴ㄷ㈶户㕦㥡昰敤愹㘵挳㤳㉢昲〹㤸㤴扥挷扣㑡㙢摦敢扡捦换愵换㌷㜰捥敢扢昷㐳换㌹挳㙢昴ㅣ敢摥㌳摡㝣敢ち㙥敥摥㍦〱愳搶㌱㌷㜶ㅦ㈳㐱搹摡㕢改㡦攸㕢㐲ㄴ㥢搱昳捣晡㤸ㄵ㤸ㄱ㠱㝡㤱㔹㍦戳〱㘴㑡敥ㅦ攰㤲攴㐰㌶愹㘵㐳㉤㉦慡攵㡡㕡慥慡㘵愱㤶㑤戵扣愴㤶㤷搵戲愵㤶敦㔵换ㄷ搰㈷㑥㠵扥㍥㌵㑡㍦摡㕢㝡㍣ㄸ扦攷昸攷扦晥搴㐳て晤昹敦扦ㅣ搸㠵㑥㜷㐵㡢㥡昶㡣㡢㈰戵㈶ㄵㅦ㉡ㅤ攴扦捤戹〲㑣㘱ㅥ㌶㙦㌳挷挷慢㠷てㅡ户ㄸㅡ户㤵㠲晣ㄶ㐲ㄹ㐶摦〱昳㙥换愹扡ㄷ㈵敥慥㥡㌴㝣搱〴摣㔸搴㌶改搶㥤慡晦㥡㡤ㅢ攷〳㈳㄰晢摢摢㥡㤳㜴っ㥢〷㕢〹㕦扥敦敡昶㘱攷㡣㕡㕤㑣慣㔹㘱昳㙢摢㥡敤㌹捦㕤散摥㝡捣ㄳ昷㌵㕡㍢㔶㌴〱愱戶㉡攷敥搸㘵搸ㄴ慥㙢㜴㙡搹昵㠵㈳㤷㌷㘶捦㔹㤵ぢ挲㥢ㄷㄴ㠹愲㉡户扡㤷㑤ㄱ搷㡦捤㍡搸㈸戸戵㝡㙤戲搶扣㘳㉤〰㌳㡢㉡搶扢㈲扣㘰㝤挱㔸慣㠹换㕢扡㠴敦㐴挳扥㤶敡㘳㙥愵敥㑦戹㑥攰戹戵搶㤶㠹敡慡〱㐹㔳㍤攵㔶㐵㉥㤷㤱㐲〱〲㌷㥢㔵㤴捣㑤摤㜹㐱㈲㈲㠱㘲㌲昲㤵慤㘴㔷㍡㠳摤㘱ㄷ㌵㐱㥡㔴㕦扦挹㘴㕣慦㤴㌱㈹ㅣ㤸搸ㄳ昵〷㕦晡挶㑤愶㙤㘰敥㤵敤慣慡㈳搱敥敦㔸ㄵ㑥㜰挲㜰慡㌵攱愵㙡㍦㠵㉢搲㠷㤰㘹㤷㈰㄰扡㐲㡦慡㑥㔹㔳搶戵㡢㔶㌵㔸捥㉦ぢ㙢㘹㌹㐰ㅤ㌴㘴愱㐰搰㜶㈴晤㌲㔴改扢㤹㡤㈰㉢ㄶ㌳昹㍤散㤴㉦㈲㘵㌴㑡愷ㄴ㕥㙥ㄱ攴ㅣ搷挲换〳收㌱慢ㄶ㠸㔰㈸て㤹挰㐸愸搵㈴晡〶㐹愲㥥㔱〹ㄵ挶ㅥ㜳ち㔴㙡㔸㑥戰摥攴摢づ㉥〹㠹㘸㐷ㄶ㙣㍢㔹㐰㔱搰㉡て㔲㜸つ㐴搳㈶つ搲㍢㈷㠸㠸㙣㤰愲搹㌱㜳㉢㤱戱㝦㡡㡣㐰晦㈴ㄱ戲昷挱敥㌲㠲挴摥㐹愴ㅣ搴㤵ㅦ㜷愴搹㐶戶㝣㈸捤昶〲㜰晡攵捣慥㘰㜶㈵戳㝤挸㤴㍦㐲挲㔱捡愱摣㥡昴搷攰㔹扦㡡搹㙢㤱㐱㍥改㤴㌹㤱愸愲つ戵ㄵ㍢㤲晤〶㘱㈷㑢愳㌸ㄴ㐵戴㡣ㅢ㜶收愰㉤ㄱㅤ㔹㥤摢㐳搷收愴㡥㝤㐳㜷摡㑣㙥㠷ㄴ㤹搲㌵戹搷㑤扡㈶〱挱慥㍤敡慤㙢㌰㔴ㅦ㘵昶㍡㘴㐵晤㕡收㔰㉥㌴㜸户㘶搱搳愴㝣㔵㤸㐵愱㌱搴愳㠲㡦〸㤹㐷㠰ㄴ㈱搷㜱㝣搹戱愱㘹づ㡥㤹慦㝡ㅢ晡㐰㜷晥㡥㤰摥愶㌷㜷昴づ晤㐵㉦搲㡡扥づ散愵晣戶慢㡥戹ㅥ捤晡ㅢ㤸摤㠰慣㑤挷昰昴晤㘲㍤〵搲㉣戶ㄳ㤸摢㑤慦㡢戴㜲ㄷ搶㔷㠴搴㐰〳收㠲攱㉤㠹〰ㅥ㡣㤳搳戰㠵㕤捦ㄳ㌵ㅣ㙡慢戲㠲攷㤷㉢㕡㉢晤㘳㥥㙢戳㝥挷㐶昶㕦ㄵ㡡㈱㤷㔳戳㤹㌶ㅢ㌹挵搶㑣昸㥣ㄲ㤴㐳ㅤ㝣㑢㜷㈱㤱ㄸ搴㑡㕥ㅣ㤷㝥扥摣㤱㈴㍤㐸㤲ㅢ〱㔶晤㈶㘴㤰ㄲ捡慦扢㑡㤴〳散昶㈶搹慤搵㘲愵㠷㉦攵㜴搲收㐳散㤰㈳晤愱挳㜶ㄲ晥〳㝦搰㥥户散㠶戰攸户攷㠴㔷㠱㙦挱慡㠹㘲攸㤶愵愸搹㤱ㄵ慦ㄲ㔹㤱捤㜶㥣愷㔳晣㙢㤲㑥摡愴㐴㉡户愷㌶愶㥣挵㥢㐴㐵㌷㈴㠵㑡㡡㙢愸㈱㠱㐸㜹散扢㈳㘲㝡㄰㌱㌷〳㜰晡㐱㘶攳捣づ㈱搳㥥㠷愴搹㉡攰ㄹづ敢㕢愵㑢扢㕣捥ㄴ㠸〶改㈲㝣慥慢戰㍡捣搷扣㤹搹㙤挸摡捣ㅦ㍡㈰㔳〸㔱愲㍣㐱㠸㌲㡣㘱㥥戳挴㐵搲挰㉥ㄳ㠱愵愹扡ㅦ戸㌶㈳㑢㠳收戴㝢摡つ愶㉤㝦〵㤱愸ㄱ㌳㉡摣扤㉣ㅣ㔰㤷〷摢愷慤捥㕤㔹ㄱ㔵摤㥣㜷敢㄰㙤㈷愷户挳挱ㅣ攰㠰㉤㈹捦收慡㠲搴摢昹ㄸ㔳㈸㠰戴昴户搲ㅢ扢㈵敦㌷て㝤㐳㑤㠸㉥㔸㐱㑤昴㥢㈱搳戱㕣㌰〱㐵㐴づ慡㝤收挲戲㈷挴昴愰㜹摣戳慡㌵换ㄱ㐴〶㙣㑣〶敢㘶挴ㄲ愲〴㜳㉥㘳㠰慥㌳㘸㉥㜸㠶攳慦ㄸっ㈸慥敦㙥㜹㤲㘱ㄱ捤㥣戴ㅣㅦ慦㤱㔸㘴㜹挸㥣㕦㜶㉦㈲㘲㕢户㥤攳挶㡡扦㉤戰㐲愲て㤳㐴㡤愲㉡慡慡ㄴ搴㐲慦昸攱㠱㍣㤳㈱敦攵㤸㐹㕣㘵㌴晡捣㔳戴㌷敤晡㈸㐶㐳㍢㥤㙢ㅡ㐰昴愸㔱㤹㑤㤵挲攴㔴晤㜶㡥㜹㉢戲㍢㡦㥦㍤搹㡣捣扤愴㤸戵㐶㉦㝦㡡㡣㤷㘴搱〸㠴搰㐷户㉢㈴ㄵ搶㤱㜲挰㠱挰㌸㥦摡挹慦㘸捡㍥愴扥㕤捤攲㌱㐴㤲〶捣ㄹ㘳㔱搴㄰㡦戶㡤㘰㔷昸㐰㌳搶㌶㙡㝥搴㌶攵摡戶㐱搲㈲㔹捥㔷っ㔲昰㐴㍤㜰㑦㔹㡥㙥㈲㤳昴ㄷ㔵ㄹ㙢愸㌲搶㘴搵㠰㜹㠶愱㐱㔹收㕣敥㤲攱㔹挱戲㙤㔵ち㝣㘰昸㙥㕢搰㈴㤸㥣㤲㌷㑥戱捣ㄸ㙤戳收捦挲㘴昳㑢㐰㜷〹㜲㤴愰㈳晡㐱戹慡㤲挷㍦愵㐷挷ㄲ〴㡣昴㤴敡㙦挷㙣㥡扣ㅤ〱㤱㈳搳愵昸づ挶愵て愰㈶ㄴ㐲挴㝡ち㠹挰㉢㤸㄰昲㜴㜱攷捤戳㡥ㄵ〰㝢挴搸㌱㉢㤸昶㠱㜲㘴㈸捡攳敤㝥㠹搵挴愰戱㠶㔶戸愶戳愹㐵㑤㕣摤搹㥥搴ㅢ慦摦愰㌹搴㈸〹㐵戲㔹㈷愹㔹㌶㔸攳㜶㔲㌵㡡㔴摣戱戶㔱搲摣愶㑤戸㔳㡡扣〴挵㈴㘹㈶愳扦㐳ㄲち〲扤㤱㡥愲捦㍥㥤㍣ㄲㄱㅢ摡〰㐵敡愹戰㙥㌰ち〹㥥挴戵㤳慡㈸㐶㑦攰敦㕤㔱㜱戶ㅥ戴戴ㄸ㙢㈳㔱换㐴慤㌶敢挰㑡愸ㄸ㕥㜵㥢戰㌴昶ㄶ㙡ㄸ挹㥤扤㙡晦㄰扣〹㐶㡣搸㤰㘱㤱ㄴ㍦㌰搸㄰捣㤵㠸愸搲㍡ㅢ㈴愸ㅢ搵〵㍥㥤ㄲ㠶㈳㌱㌰ㅦ㔴愷挵慡㌴挳㥡㤶晣㠸ㅣ搰㌸㉤㑡㌹慡㥢ㄳ㡢㍥㔴㝡㐰㌹ㅥ㤵㈴㠳敢收ㄹ扡愵㜰㠹〱㘲㌷㉡捤㔵〲㠴㜶ㅢㄳ昰㘴戰㝤戰〳㠸㠴愱ㄳ㕡㘷㤴愰昹ㄴ挲㙤摤〴㜹愷㐷㡣㐲㤰㥡㌲晤敤愸昲搸㤷㤸扥㜵㌴ㄳㄷ㈲㈶㘲戸㉢挵㝡〰㜲㤳㤱㐹㜲搱㐸ㅣ㌰て㈵㥢ㄴ㕡〳㜱ㅤ㑤㡣㐱㥡㝣㕥㠰㕢㍣㡣㘵つ㤱㙤㙡戸攷ㄶ㔸搰愶戵昵㕤收㐹愷㔲慢㔷㠵㔴挵戱慣㤶ㅡ㜹㕢攰㑢㕥〱っ戹㈹〵㉥ㄱ㔰㑥攲㈸挵㉤ㄳ㐹扤摢摤晡㔱っ㤷㐲づ㜳㠴慡㡦〱挸ㄴ户㥣っ㠸㜵摣㔳愰㝤戸扢㜹㠱㐱㕥㥥㠳㐸敢愸愲㉣㥢挱㝤扣㐶ㄴ㔹㜲㕢愲摢㡣㍢攳搲㘶㑦㔴㥤戰挲慡㙤㠱㈳散㌳ㄴ㜸昹㍣㡣㤱ㅥ戹㠳㤳㘴㉥㐵搱摤㑢ㅦ㤰㡦㤹㑢㐰㠵挴㠰挲ㄸ㉦㑦㐱ㄹ㐰ㄵ㡣㐴㠳㕢㙤㕡摤ち愳扦戴扣昵〹㘴ち挳挰㌴㘸搱㌳㌴㜰愶㔰摥摣挰戹〶扤㔲㈲愴挹㘰㉡㘳㤴㈳㜰搸〳㘹攰㈶ㅥ愴ㄷ㕣㈸愱㘰㡦扣ㄸㄶ摦㑤ㅣ戳㜱〴㜲扤换摢㉡攷㡣〰搷㕦㥣㝤㙤搵ㄳ搵㉡捤㕤昸攷戶〵㔶㜱㜵㈳㌴㐷昷戴㕤捡㤲㝢愲㝤㜷㕤㕢㐳㜴㔹昰搰㜴改㠴ㄱ㔴㤶攷㠳昵昰攲㔶慦㈴愱㍤ぢ㝦挴㠶㙦愷捤㥣㜳㜸ㄱ㜵㤵戰㉦㕥㜰摣㡢㡥㕣㤷收昳搶ㅦ㈸〴㔷㈸晢戸挸㘲收摦昸㈷㤳㥡搱㝥㠸ㄹ户戲㙣㑥搰㜴㤰㜰ㅥ㤹㐲㘹㌰㡡㜲ち㥤挰㜶㙦摣ㅡ㈰㥤散㘹愳ㄳ㈹〸㜶〸挵㔹㝡搹〸㐵昹〱搰㑡㘲〹㡦攴㠰昹㌷挱晡捡㌳愸㈱挲昱ㅣ㠹ㄱ敤㜵㈸愵愰㑥ち昲攸㡡〷㉦㠴晣晦㘰㈹收收つ搹改扦挰捣捡昷摢㔱㜴㌵㔱昴扤づㄴ㈹扣〶㈲昹昷捥愸挰〷㡤攱搹ㄷㄵ〸攷㥥㜶づ愰慦昸㠵摦晦攱〱㜴〶ㄸ㘶㤲㌶ㅡ㐲㙤搷愳摣㌰ㄱ戲ㅤ㈶〲㠳昷搲㐴㌸挵㌱㡣攲㠷㈶㐲攴〳㤹㐵挵收㈶〲㘳㝢㈹㠶㘰㈲搴㥡㜰㙢昰〴㜶戹㑤晦搸〹㕣扣ㄵ㍥攲昹㔰㕡晥ㄴ㍣㔲㔷㜴㔶捦ㄹ㥥㘱敦㤳昵挷㍤〱㘵收㉤攰㈶户ㅣ挲ㄱ晢㌷㙣㤱㠳㌶昰㔵挴㕥昶ㅤ㝦捡搶敥慦〳㔳㘱ち摤昷㑡㐱挹扦〴㑦㠹挲㜳㐳收晤㝢扥㝤晣㜷昷㍦㝣㤴户搵㈲㕡搵㙥㐲戹㤷㤰㍤敤〹〴㜵ㄳㄷ㐵昶昲挳㥣㔳昸㐴挹㕡愹㠹㐹挳㤳㔶㤰慦摢㜱㌱㈴扣〴㘱㠶挴户ㅤ㑣㑣摣㝢〸㑤捣㔲㥢扢㔳㝥搸㈴㕤㠴愵挴挲愵㑦㉦づㅢ㉡㕤ㄵ㔹㡦搶愶昶ㅤ愸愲ㄷ戹㤰㔶㉢㤱愷㑥㈶㐵㜹慡㕤搷ㅤ愶慥ぢて㌲っ晢挷㔲ち昱〷㔲㐸昲㈰挳ぢ〱㔲㑡㥤㐱㐱扢ㄹ㔹㑡㘴慤㍤挴㑢㝦挰㡥㄰㄰㡤㑢㝦㍤㝥挴〲㈸〲㡢戱㉦扥搷ㄳ㉤㙤搱㔸㌵㌱㔴㉢㙤㥡㜹ㄴ攴攱㠵ㄵ攳㜱敤〲ち㜱搲づ愱戴㘵㜷ㄴ㕦㌲㘸㠷㠱户㤰戱㌵㥢扥戶愲㝤㠷㔳挷捤て攸㤹扣㔴ㄸ捥㙥㔶攳㐰㉡㘳㜴㘱搷㘲㔸挵㝣㈸㉣㌶〶昵㐷㑤搰㔹捥㍥㥣㑡ㄱ晣攳㤷㐲㙣ㅦ㙢㑥扤户扤㠵㍡捥改挳〶昹㠳晤㜵㜵ち㘳攳慤攴ㄸ㐸搸㉤昵㉡㠴搷挳捦㘲〸㌷㥤㔱昴㘶㔱㍥㉢㠷昱㈷收慣慣摡愱晦ㄹ扤㤶㥣㜵㡥愳ㄹ挶㙥搱晦敦㐶挵愶晡㕦㘱散㑤㈲昲㍤㔱㐱ㅡ愷㡣㥦㙣ㅡ戲㈱㐴攰搹㐶昰㐶ㅥ㡣㜵㔹㘴挸㍢㉣捤攳攳搵戰㔹㑡㜰昸扤㜲敤㔷㈳ㅡ㘳㘹摢昶㜷ㄵ㠰㡣つ㘹摦㠴〸敡㍡扥㔵㙥挵愷摢晣㍤ㄸ戸攷㤴㔵昱㕣摦㌵㠳搱㜹〴㝤㐷昹敤㤹〹㥢㘷㐲昹㐶扢㔰扢づ㤰ㄸ㜸ㅦ挶㥣㥥㠵挰㍥㉤㠲㤷㉢ㄶ挹挸挲搶㈲ㄹ晣づ㘹㌸ㄱ㕥愲㜶昰㉦㌳敦慡ㅢ㌵㝣扡㍡ぢ㕦㘷挰慡㙤愱散㐲㡦㜳晢つつ㠲づ㜷戴摥〵㝦㤰愸㤵㄰ㅣ㤳㕢戸攷㝤㠴㙢㍢っ㕡晢㐶㝢昳搹戳㌷㥦㕢㔱㝢ㄲ㌸摤摡㕢㕡㐹㠶敦攴ㄷ挹㐵扤捣ㅣ㤷昶㡦攲敦搶ㅤ戴㥣㙤〴㜴ㅥ㝤搰㑤㐷搸㔸つ敥戳㉤㐴扦捦㘳愸㌲挱っ㍦摤㠸ち㝣㔰攸攵㈳㉢㉡㕦挱戶挸〰㈸㘷昲ㄵ㘴摤愹晡㠹㡤愸㝡昸㑥㡣㈱扦敡〲搹㘰㔶攱㔱㠳㔴㔹㔴ㅥ㐳㝦㐲㉤摣晤ㄲ敢㜰昴㤰㐷ち㤴昵愴㈴㔷㜸愴㤰敢昹㈲〶㌴搶㜳㉦㙡扢慦攷搱㡤搶愳搰ㄸ㤰晢㑤捥㍦ㅣ㉢ㄳ摤收慢ㅤ㘶㉥戳ㄵ㘴挳㜱捦㈱㡡㐹敥㈵ㅦ㠶ㅡ㥥㈱愶㤰㝥ㄱ晤㝤攱攸昳捦㌱晤昵愸㈲〵㈳㥡㕡㜷㐱挱㈸㜷昱愹攴㉥㝣搴㜶摦挵㈷㌶摡挵㌰㘵愶㠴㙡ㅤ〵㐰戵㡣㍦㜲㔷慢㈸㄰愰晣㈹攷㤹攱搷戲㡡㘱〳㌵㜲散ㅡち㠳㔹㡤㠸㜹㕢㜷敤㐲攳㌱晥ㄴㄶ挱㠱㤶㙦㕥敦挰㌷慣敢㡣㜶㘷昱〹扦㈶㔵㘱㑥㝤㙢㙦㜳挵收㈸㌵㤹昶ㄱ散晡㈵捣挳㑤㌷㝤㡥㥣㜱㍦㝥〵〴㈱㐸㘶ㄲ㈴昷愳㄰〳㑡㈳搶㔳扥㙣㤲挶㈱㙦㠱搲㤱㤵て㍤搱昹搰㈴㈸搸㤱ぢ㝡㕢〸㐶㙣㠹㥦ち㜷搵㘷昹ㅥ慦㌷㈸㡦挴㔴㜸攲㐴晣搹㤸ㅡ〵摣挰〵愱㌹㑥慥㈱㈰㤵㠷攳捥摦㝤扡改㉦㐶〳ㄲ㔸㈵散㑣敥㤲㥤ㅦ㡡㍢ㅦ挲㈷㘹戲㑦㠶〴挵昴㐲摣㤹㕣㈸㍢㝦㈸敥晣㤷㐳晢ㅡ㥤㘳愶ぢ㘷搶挸ㄱ㈹㠶扥㍣晡㈴㍥㑦ㅦ㐲㜷捤愴昱搰㙦㠶搵㈴㐴ㄹ㌷慦㐹昳㘱〰㌷㘱㍣㝣㈰㍥㠳㡢㕤戸晦〲つㄳ晥㝦㈲㑥攲挲搷戴ㄱㄸ昸晥㝢ㄵ㤱㜶㑦㤷㑦ㅣ㥣㌷㘷㍤㔴昴㤹㈷㝤ㅣ㈸慢摢㡡㐴㘰ぢ攵㐲昸㙥ㄲ㤱㐸戱㥢㥢昰㠸㈳㠴㉡㉦搰昴愶㌹㘵㔴㈹愷㍣ㄸ㘳㌶昳㘰㤳㘶昴て〲㌹搰〹挸㔹搰㍦㠴㍣㡣㐲敤㘱挵㌰㠵㥤㤴㘴て戳攱ㄱ㘶ㅦ㐶㔶㔴㈸搹㐸〷昹㡦㈰ㅢ㡡晦㉦ㅤ愳慢搲㔹愴㉡㙢昱换㤲㘴愴㝦㤴〳㍥㠶㉣ぢ摦戵ㄲㄱ㘱㔱晦㌸㙡㤲㉦愵攰㤰㉦晤㈴ㅢ㍥挵散搳挸㡡ㅡㄷ扢㘵愸㜱㑦㍤慡敤捦㘰愸㐲㔰㜰づ晤戳㔱㠱てち攱㐰㜱慥㌸搸㈱㘵㈸戵㑤㐱捤㉢㠴㡤㙣戰愳㠶㈳戲㐱㔱〸㉦搹㔰㡢ㅡ愸换昴㐷㤱㈹㠴〷昷愴㝦㠱㑦〴㠳㝣攱ㄷ愳㠲㝣㈱㘱㈰㠷㉦户扤㤰㜰㤱つ㑢㙤㉦㈴慣㘴㠳㤹㝣攱攳㥣㔴㙥っ㠵㔶㜵挵つ㑡㜸㝦ㄹ㠵挱散㄰搷㜶㌷㝥敡㥡㔲㌹㕦㍤㝦晥㥦㐳戹搱晤戹㜷扦㜳攰㑢㉦晣晣昷㥦晢搵㝢㡦晣改㕦㑦㍣昱慢㍦㝣敥戹㝦㍤扢㜸攴愷㑦㍥昹㤳㍢扦晡摣敦㜷㥢㕦㔳㥦晥攷捣搷ㅥㄸ扦昰挰㝤收搹㥢㡥㍦昰㥥㝢敦ㅡ㥦扢㙣㉣㥢敤敢扢㘱攴㘷㔷扥㜱昸挱晢扥慦晣昸㌷㔷㌸㡡摣㉥㕥搰扡っ㙥㕢㉥攳慢㈸㘰ㄹ㕣昱㉢扡っ㙥㔷〲敡㝣〴愸㐹㔴ㄴ攰晣攰〲㘴㐳戹戵愱晦㍦愹户扤っ</t>
  </si>
  <si>
    <t>Decisioneering:7.0.0.0</t>
  </si>
  <si>
    <t>b381d8ac-5bae-45d2-bae9-ce2f79d122a3</t>
  </si>
  <si>
    <t>CB_Block_7.0.0.0:1</t>
  </si>
  <si>
    <t>㜸〱敤㕣㕢㙣ㅣ㔷ㄹ摥㤹摤㔹敦慣敤搸㡤搳愶〹扤戸㌷㝡㜱㜰攳戴愱ㄴ〸挱㤷㍡㐹㜱㘲㌷㜶搲㈲愸㌶攳摤㌳昶㌴㍢㌳敥捣慣㘳㤷㑡㉤㤰㠲戸㤵㡢〴㠸㔲㉥慡〰㠹ㄷ㉥㉦㕣换〳ㄲㄲ〸戵ㄲて攵〱挴㐳愹㄰㐸㠰㔰㄰㉦㍣㈰挱昷㥤㤹搹㥤摤昵㡥摤㙤ぢ㉥昲㐹昷昸捣戹捤㌹晦晤晣晦㤹㘶㤴㑣㈶昳㙦㈴晥㘵捡戱㜰搵晣扡ㅦ〸㝢㜴搲慤㔶㐵㌹戰㕣挷ㅦㅤ昷㍣㘳㝤挶昲㠳㉣㍡攴㑢ㄶ摡㝤慤攴㕢㡦㠸㐲㘹㔵㜸㍥㍡㘹㤹㑣愱愰慢㘸攷㈴晣つ挶て㍡㐷昵攵㤰㉤㑣㑥捣㉥㍥㠴㔹攷〳搷ㄳ〷㠶捦㠶㘳㡦㡣㡤㡤㡥㡤摥㜹搷搸㥢㐷てㅥㄸ㥥慣㔵㠳㥡㈷㡥㌸愲ㄶ㜸㐶昵挰昰㕣㙤戱㙡㤵摦㈵搶ㄷ摣昳挲㌹㈲ㄶて摥戱㘸摣昹㤶戱㍢てㅦ㌶敦扥晢㉤㝤㜸㜵收搴攴挴㥣㈷㑣晦㔵㥡㔳攳㤲敦㥣ㄲ㘵㡢㝢ㄳ挲戳㥣愵搱挹〹晣㤷㔸㍦㥥敥ㅡ㥤㕦ㄶ㈲攰慢㠵㈷㥣戲昰㜵っ散戵挷㝤扦㘶慦㄰㜸扡㍤㡤慤㤶つ㍦搰散㐹㔱慤敡㜶㍣㙢挱㥥〵散慡挶㝡㥦㍤㉦ㅣ摦ち慣㔵㉢㔸捦摢ぢ㤸愸搲㙦㥦昱挵㘹挳㔹ㄲ愷っ㕢㘸昶戱㥡㔵挹㠵㈹㤳扤㌹㥥㈲戹㌰戹晤搱㜱摦㥥㕣㌶㍣戹㈲㥦㠰㐹改㍢敤㤵㥢晢摥搰㜹㕥㉥㕤扥㠱㜳摥搴戹ㅦ㕡捥ㅡ㕥扤攷㐸攷㥥搱收㥢㔷㜰㝢攷晥〹ㄸ㌵㡦戹戵昳ㄸ〹捡收摥㑡㙦㐴摦ㄲ愲搸㡣㥥㘷搶挳慣挰㡣〸搴㡢捣㝡㤹昵㈱㔳㜲晦〰㤷㈴〷戲㐹㉤ㄹ㙡㘹㔱㉤㤵搵㔲㐵㉤〹戵㘴慡愵㈵戵戴慣㤶㉣戵昴㤰㕡㍡㡦㍥㜱㉡昴昴愸㔱晡挷昴摦捦晦昶㈷ㄷ㘷㍦㝥㍣㍦㜴摤㥦扦扥户㙦ㄷ㍡摤ㄷ㉤㙡捡㌳㉥㠰搴ㅡ㔴㝣㘸昴㈰晦㙤捥ㄵ㘰ち昳戰㜹㤷㌹㌶㔶㌹㝣搰戸挳搰戸慤ㄴ攴㌷ㄱ捡㈰晡昶㤹昷㕢㑥挵扤㈰㜱㜷搵㠴攱㡢〶攰㐶愲戶〹户收㔴晣㌷㙣摣㌸ㅦㄸ㠱搸摦摡搶㤸愴㙤搸㍣搸㑡昸昲㝤搷戴づ㍢㙢㔴㙢㘲㝣捤ち㥢慦㙥㘹戶攷㍣㜷戱㜳敢戴㈷ㅥ慥户戶慤㘸ㅣ㐲㙤㔵捥摤戶换戰㈹㕣搷昰攴戲敢ぢ㐷㉥㙦挴㥥戳捡攷㠵㌷㉦㈸ㄲ㐵㐵㙥昵㜲㌶㐵㕣㍦㌲敢㘰愳攰搶捡昵挹㕡昳㥥戵〰捣㉣㉡㔸敦㡡昰㠲昵〵㘳戱㉡慥㘸敡ㄲ扥ㄳつ晢㥡慡愷摤㜲捤㥦㜴㥤挰㜳慢捤㉤攳㤵㔵〳㤲愶㜲搲慤㠸㕣㉥㈳㠵〲〴㙥㌶慢㈸㤹摢㍡昳㠲㐴㐴〲挵㘴攴㉢㥢挹㙥昴㌴㜶㠷㕤㔴〵㘹㔲扤㜱㤳挹戸㕥㈹㘳㔲㌸㌰戱㈷敡て扥昴㤶㑤愶慤㘳敥戵敤慣慡㐳搱敥敦㔹ㄵ㑥㜰摣㜰㉡㔵攱愵㙡㍦㠵㉢搲〷㤰㘹㤷㈰㄰㍡㐲㡦慡㑥㔹㔳搶戵ぢ㔶㈵㔸捥㉦ぢ㙢㘹㌹㐰ㅤ㌴㘴愱㐰搰戶㈵晤㌲㔴改扢㤹つ㈱㉢ㄶ㌳昹㍤散㤴㉦㈲㘵㌴㑡愷ㄴ㕥㙥ㄲ攴ㅣ搷挴换㝤收戴㔵つ㐴㈸㤴〷㑣㘰㈴搴㙡ㄲ㝤晤㈴㔱捦㈸㠷ち㘳㡦㌹〹㉡㌵㉣㈷㔸㙦昰㙤ㅢ㤷㠴㐴戴㈳ぢ戶㥤㉣愰㈸㘸㤶〷㈹扣〶愲㘹㤱〶改㥤ㄳ㐴㐴㌶㐸搱散㤸戹㤹挸搸㍦㐵㐶愰㝦㤲〸搹晢㘰㘷ㄹ㐱㘲㙦㈷㔲づ敡挸㡦㍢搲㙣㈳㕢㍥㤴㘶㤷〳㜰晡ㄵ捣昶㌲扢㤲搹㍥㘴捡ㅦ㈱攱㈸攵㔰㙥㑥晡ㅢ昰慣㕦挵散㙡㘴㤰㑦㍡㘵㑥㈴慡㘸㐳㙤挵㡥㘴扦㝥搸挹搲㈸づ㐵ㄱ㉤攳扡㥤搹㙦㑢㐴㐷㔶攷昶搰戵㌹愹㘳摦搸㤹㌶㤳摢㈱㐵愶㜴㑤敥㜵㤳慥㐹㐰戰㙢㤷㝡敢㕡っ搵㠷㤹㕤㠷慣愸㕦捦ㅣ捡㠵〶敦搶㉣㝡㥡㤴慦ぢ戳㈸㌴㠶扡㔴昰ㄱ㈱昳〸㤰㈲攴摡㡥㉦㍢㌶㌴捤挱ㄱ昳㜵㙦㐳ㅦ攸捣摦ㄱ搲㕢昴收㡥摥愱扦攸㘵㕡搱㌷㠰扤㤴摦㜵搴㌱㌷愱㔹㝦㈳戳㥢㤱戵攸ㄸ㥥扥㕦慥愷㐰㥡挵㜶〲㜳扢改㜵㤱㔶敥挲晡㡡㤰ㅡ愸捦㕣㌰扣㈵ㄱ挰㠳㜱㘲ち戶戰敢㜹愲㡡㐳㙤㐵㔶昰晣戲户戹搲㥦昶㕣㥢昵㍢㌶戲晦扡㔰っ戹㥣㥡捤戴搸挸㈹戶㘶挲攷㤴愰ㅣ敡攰㍢㍡ぢ㠹挴愰㘶昲攲戸昴昳攵㡥㈴改㐲㤲摣ち戰敡户㈱㠳㤴㔰㝥摤㔱愲ㅣ㘰户㌷挹㙥捤ㄶ㉢㍤㝣㈹愷㤳ㄶㅦ㘲㥢ㅣ改つㅤ戶ㄳ昰ㅦ昸晤昶扣㘵搷㠵㐵慦㍤㈷扣㌲㝣ぢ㔶㔵ㄴ㐳户㉣㐵捤㡥慣㜸㥤挸㡡㙣戶敤㍣㥤攲㕦㤳㜴搲㈲㈵㔲戹㍤戵㌱攵㉣摥㈰㉡扡㈱㈹㔴㔲㕣㐳㜵〹㐴捡㘳摦ㅤㄱ搳㠵㠸戹ㅤ㠰搳て㌲ㅢ㘳㜶〸㤹昶㍣㈴捤㔶〱捦㜰㔸捦㉡㕤摡愵㔲愶㐰㌴㐸ㄷ攱㜳ㅤ㠵搵㘱扥收捤捣敥㐲搶㘲晥搰〱㤹㐲㠸ㄲ攵〹㐲㤴㘱っ昳慣㈵㉥㤰〶㜶㤹〸㉣㑤搶晣挰戵ㄹ㔹敡㌷愷摣㔳㙥㌰㘵昹㉢㠸㐴つ㤹㔱攱晥㘵攱㠰扡㍣搸㍥㉤㜵敥捡㡡愸攸收扣㕢㠳㘸㍢㌱戵ㅤづ收〰〷㙣㐹㜹㌶㔷ㄵ愴敥捥挷㤸㐲〱愴愵扦㤵摥搸㉤㜹扦㜹攸ㅢ㘸㐰㜴挱ち慡愲搷っ㤹㡥攵㠲〹㈸㈲㜲㔰改㌱ㄷ㤶㍤㈱愶晡捤㘳㥥㔵愹㕡㡥㈰㌲㘰㘳㌲㔸㌷㈳㤶㄰㈵㤸㜳ㄹ〳㜴㥤㝥㜳挱㌳ㅣ㝦挵㘰㐰㜱㝤㜷搳㤳っ㡢㘸收㠴攵昸㜸㡤挴㈲换〳收晣戲㝢〱ㄱ摢㥡敤ㅣ㌳㔶晣㙤㠱ㄵㄲ㝤㤸㈴㙡ㄴ㔵㔱㔵愵愰ㄶ扡挵てて攴㤹っ㜹㉦挷㑣攲㉡愳搱㘷㥥愲扤㘹搷㐷㌱ㅡ摡改㕣㔳ㅦ愲㐷昵捡㙣慡ㄴ㈶愷敡㜷㜳捣㕢㤱摤㝢散捣㠹㐶㘴敥ㄵ挵慣㌵㝡昹㔳㘴扣㈴㡢㝡㈰㠴㍥扡㕤㈱愹戰㡥㤴〳づ〴挶昹搴㑡㝥㐵㔳昶㈱昵敤㙡ㄴ愷ㄱ㐹敡㌳㘷㡣㐵㔱㐵㍣摡㌶㠲㕤攱〳捤㔸摢愸晡㔱摢愴㙢摢〶㐹㡢㘴㌹㕦㌶㐸挱攳戵挰㍤㘹㌹扡㠹㑣搲㕦㔴㘵慣愱捡㔸㤳㔵㝤收㘹㠶〶㘵㤹㜳戹㑢㠶㘷〵换戶㔵㉥昰㠱攱扢㙤㐱㤳㘰㜲㑡摥㌸挵㌲㘳戸挵㥡㍦〳㤳捤ㅦ〵扡㐷㈱㐷〹㍡愲ㅦ㤴慢㉡㜹晣㔳扡㜴㉣㐱挰㐸㑦愹晥㜶捣愶挹摢ㄱ㄰㌹㌲㕤㡡敦㘰㕣㝡っ㌵愱㄰㈲搶㔳㐸〴㕥挱㠴㤰愷㡢㍢㙦㥥㜱慣〰搸㈳挶愶慤㘰捡〷捡㤱愱㈸㡦户晢㈵㔶ㄳ㠳㐶敡㕡攱摡昶愶㈶㌵㜱㑤㝢㝢㔲㙦摣戸㐱㜳愸㔱ㄲ㡡㘴戳㑥㔲戳㙣戰挶敤愴㙡ㄴ愹戸㘳㙤愳愴戹㑤ㅢ㜰愷ㄴ㜹〵㡡㐹搲㑣㐶㝦㠷㈴ㄴ〴㝡㈳ㅤ㐵㥦㝤㍡㜹㈴㈲㌶戴〱㡡搴㔳㘱㕤㝦ㄴㄲ㍣㠱㙢㈷ㄵ㔱㡣㥥挰摦扢愲攲㙣㉤㘸㙡㌱搶㠶愲㤶昱㙡㜵搶㠱㤵㔰㌶扣捡㌶㘱㘹散㉤搴㌰㤲㍢扢搵晥㈱㜸ㄳ㡣ㄸ戱㈱挳㈲㈹㝥㘰戰㈱㤸㉢ㄱ㔱愵㜵搶㑦㔰搷慢ぢ㝣㍡㈹っ㐷㘲㘰㍥愸㑣㠹㔵㘹㠶㌵㉣昹㈱㌹愰㝥㕡㤴㜲㔴㌷挷ㄷ㝤愸昴㠰㜲㍣㉡㐹〶搷捤搳㜴㑢攱ㄲ〳挴㙥㔴㥡㉢〷〸敤搶㈷攰挹㘰晢㘰〷㄰〹㐳㈷戴捥㈸㐱昳㈹㠴摢扣〹昲㑥㤷ㄸ㠵㈰㌵㘵晡摢㔱攵愹㉦㌰㝤昳㘸㈶㉥㐴㑣挴㜰㔷㡡昵〰攴㈶㈳㤳攴愲愱㌸㘰ㅥ㑡㌶㈹戴晡攲㍡㥡ㄸ晤㌴昹扣〰户㜸ㄸ换ㅡ㈰摢㔴㜱捦㉤戰愰㑤慢敢扢捣ㄳ㑥戹㕡慢〸愹㡡㘳㔹㉤㌵昲戶挰㤷扣〲ㄸ㜲㔳ち㕣㈲愰㥣挰㔱㡡㕢㈶㤲扡户扢昵愳ㄸ㉥㠵ㅣ收〸㔵ㅦ〳㤰㈹㙥㌹ㄹ㄰㙢扢愷㐰晢㜰㜷攳〲㠳扣㍣〷㤱搶㔶㐵㔹㌶㠳晢㜸昵㈸戲攴戶㐴户ㄹ㜷挶愵捤㥥愸㍡㙥㠵㔵摢〲㐷搸㘷㈸昰昲㜹ㄸ㈳㕤㜲〷㈷挹㕣㡡愲扢㤷ㅥ㤳㡦㤹㑢㐰㠵挴㠰挲ㄸ㉦㑦㐱ㄹ㐰ㄵ㡣㐴㠳㕢㙤㔸摤ち愳扦戴扣昵㜱㘴ち挳挰㌴㘸搱㌳㌴㜰㈶㔱摥摣挰戹ㄶ扤㔲㈲愴挹㘰㉡㘳㤴㐳㜰搸〳㘹攰㈶ㅥ愴ㄷ㕣㈸愱㘰㡦扣ㄸㄶ摦㑤ㅣ戱㜱〴㜲扤㉢㕡㉡攷㡣〰搷㕦㥣㝤㉤搵攳㤵ち捤㕤昸攷戶〵㔶㜱㜵㈳㌴㐷昷戴㕣捡㤲㝢愲㝤㜷㐳㑢㐳㜴㔹昰搰搴攸㜱㈳㈸㉦捦〷敢攱挵慤㙥㐹㐲㝢ㄶ晥㠸つ摦㑥㥢㌹攷昰㈲敡㉡㘱㕦㍣敦戸ㄷㅣ戹㉥捤攷慤㍦㔰〸慥㔰昶㜰㤱挵捣扦昱㑦㈶㌵愳晤ㄸ㌳㙥㘵搹㥣愰攱㈰攱㍣㌲㠵搲㘰ㄸ攵ㄴ㍡㠱敤㕥扦㌵㐰㍡搹搳㐲㈷㔲㄰散㄰㡡戳昴慡ㄱ㡡昲㈳愰㤵挴ㄲㅥ挹〱昳㙦㠰昵㤵ㅦ愲㠶〸挷㜳㈴㐶戴敢㔰㑡㐱㥤ㄴ攴搱ㄵて㕥〸昹晦挱㔲捣捤ㅢ戲搳㝦㠱㤹㤵ㅦ戴愲攸ㅡ愲攸晢㙤㈸㔲㜸つ㐴昲敦扤㔱㠱てㅡ挳戳㉦㉢㄰捥㍤敤ㅣ㐰㕦昳ぢ扦晦挳〳攸っ㌰捣㈴㙤㌴㠴摡㙥㐲戹㙥㈲㘴摢㑣〴〶敦愵㠹㜰㤲㘳ㄸ挵て㑤㠴挸〷㌲㡢㡡捤㑤〴挶昶㔲っ挱㐴愸㌵攱搶攰〹散ち㥢晥戱攳戸㜸㉢㝣挴昳愱戴晣㐹㜸愴昶戶㔷捦ㄹ㥥㘱敦㤳昵挷㍣〱㘵收㉤攰㈶户ㅣ挲ㄱ晢㌷㙣㤱㠳㌶昰㔵挴㕥昶ㅤ㝦捡搶敥慦〳㔳㘱ち摤昷㑡㐱挹扦〲㑦㠹挲㜳㐳收㝤㝢扥㜵散昷㡦㕣㍣捡摢㙡ㄱ慤㙡户愱摣㑤挸㥥昶〴㠲扡㠹㡢㈲㤷昳挳㥣㤳昸㐴挹㕡愹㡡〹挳㤳㔶㤰慦摢㜱㌱㈴扣〴㘱㠶挴户ㅤ㑣㑣摣㝢〸㑤捣搱ㄶ㜷愷晣戰㐹扡〸㐷ㄳぢ㤷㍥扤㌸㙣愸㜴㔴㘴㕤㕡㥢摡㜷愰㡡㕥收㐲㥡慤㐴㥥㍡㤹ㄴ攵摢慤扡敥㌰㜵㕤㜸㤰㘱搸㍦㤶㔲㠸㍦㤰㐲㤲〷ㄹ㕥〸㤰㔲敡㌴ち摡敤挸㔲㈲㙢慤㈱㕥晡〳㜶㠴㠰愸㕦晡敢昲㈳ㄶ㐰ㄱ㔸㡣㝤昱摤㥥㘸㘹㡢挶慡㠹愱㕡㘹搳捣愳㈰て㉦慣ㄸ㡢㙢ㄷ㔰㠸㤳㜶〸愵㉤扢愳昸㤲㝥㍢っ扣㠵㡣慤搹昴戵ㄵ敤㝢㥣ㅡ㙥㝥㐰捦攴愵挲㜰㜶戳ㅡ〷㔲ㄹ愳ぢ扢ㄶ挳㉡收〳㘱戱㍥愸㌷㙡㠲捥㜲昶攱㔴㡡攰ㅦ扦ㄴ㘲晢㐸㘳敡换㕢㕢愸攳㥣ㅥ㙣㤰㍦搸㕦搷愴㌰㌶摥㑡㡥㠱㠴摤㔲慦㐲㜸㍤晣っ㠶㜰搳ㄹ㐵㙦ㄴ攵戳㜲ㄸ㝦㘲捥捡慡㙤晡㥦搱㙢挹㔹㘷㌹㥡㘱散㈶晤晦〰㉡㌶搵晦ち㘳㙦ㄲ㤱敦㡥ち搲㌸㘵晣㘴搳㤰つ㈱〲捦㌶㠲㌷昲㘰慣换㈲㐳摥㘱㘹ㅥㅦ慦㠶捤㔲㠲挳敦㤵㙢扤ㅡ㔱ㅦ㑢摢戶户愳〰㘴㙣㐸晢〶㐴㔰挷昱捤㜲㉢㍥摤收摦㠳㠱㝢㑥㕡㘵捦昵㕤㌳ㄸ㥥㐷搰㜷㤸摦㥥㤹戰㜹挶㤵慦戵ち戵ㅢ〰㠹扥〷㌱收搴㉣〴昶㈹ㄱ扣㕡戱㐸㐶ㄶ戶ㄶ挹攰㜷㐸㠳㠹昰ㄲ戵㠳㝦㤹㜹㕦捤愸攲搳搵㔹昸㍡〳㔶㙤ぢ㘵ㄷ㝡㥣㕢㙦㘸㄰㜴戸愳昵㉥昸㠳㐴㜵ㄴ挱㌱戹㠵昷㍣㐸戸戶挲愰戹㙦戴㌷㥦㍤扢昳戹ㄵ戵㘷㠰搳慤扤愵㤹㘴昸㑥㝥㤱㕣搴㑢捣㜱㘹晦㈸晥㙥摤㐱换搹㠶㐰攷搱〷摤㜴㠴㡤㔴攱㍥摢㐲昴晢ㅣ㠶㉡攳捣昰搳㡤愸挰〷㠵㕥㍥戲愲昲㘵㙣㡢っ㠰㜲㈶㕦㐶搶㤹慡㥦摥㠸慡〷敦挵ㄸ昲慢㉥㤰昵㘷ㄵㅥ㌵㐸㤵㐵攵㈹昴㈷搴挲摤㉦戱づ㐷て㜹愴㐰㔹㑦㑡㜲㠵㐷ち戹㥥捦㘳㐰㝤㍤て愱戶昳㝡㍥扢搱㝡ㄴㅡ〳㜲扦挹昹〷㘳㘵愲摢㝣戵挳捣㘵戶㠲㙣㌰敥㌹㐰㌱挹扤攴挳㔰挳て㠹㈹愴㕦㐵㝦㕦㍣晡晣㜳㑣㝦㍤慡㐸挱㠸愶收㕤㔰㌰捡㕤㍣㤹摣㠵㡦摡捥扢昸昸㐶扢ㄸ愴捣㤴㔰慤愱〰愸㤶昰㐷敥㙡ㄵ〵〲㤴㍦攵ㅣ㌳晣㥡㔶㌱㘸愰㐶㡥㕤㐳愱㍦慢ㄱ㌱㙦敢慣㕤㘸㍣挶㥦挲㈲㌸搰昴捤敢㍤昸㠶㜵㥤搱敥㉣㍥攱搷愴㉡捣愹㙦敤㙥慥搸ㅣ愵㈶搳㍥㡣㕤扦㠲㜹戸改㠶捦㤱㌳敥挷慦㠰㈰〴挹㑣㠲攴ㄱㄴ㘲㐰㘹挴㝡捡㤷㑤搲㌸攴㉤㔰㍡戲昲愱㈷㍡ㅦ㥡〴〵㍢㜲㐱㙦ぢ挱㠸㉤昱㔳攱㡥晡㉣摦攵昵〶攵㠹㤸ち㡦ㅦ㡦㍦ㅢ㔳愳㠰ㅢ戸㈰㌴挷挹㌵〴愴㜲㌱敥晣摤敦㌵晣挵㘸㐰〲慢㠴㥤挹㕤戲昳〷攳捥㠷昰㐹㥡散㤳㈱㐱㌱扤ㄸ㜷㈶ㄷ捡捥ㅦ㠸㍢晦攵搰扥㝡攷㤸改挲㤹㌵㜲㐴㡡愱㉦㡦㍥㠹捦搳〷搰㕤㌳㘹㍣昴㥡㘱㌵〹㔱挶捤慢搲㝣攸挳㑤ㄸてㅦ㠸捦攰㘲ㄷ敥扦㐰挳㠴晦㥦㠸ㄳ戸昰㌵㘵〴〶扥晦㕥㐵愴摤搳攵ㄳ〷攷捤㔹てㄵ㍤收〹ㅦ〷捡捡戶㈲ㄱ搸㐲戹㄰扥㥢㐴㈴㔲散收〶㍣攲〸愱捡ぢ㌴摤㘹㑥ㄹ㔵捡㈹㡦挷㤸捤㍣摥愰ㄹ晤晤㐰づ㜴〲㜲ㄶ昴て㈰て愳㔰㝢㔸㌱㐸㘱㈷㈵搹㐵㌶㍣挱散㐳挸㡡ち㈵ㅢ改㈰晦㘱㘴〳昱晦愵㘳㜸㔵㍡㡢㔴㘵㉤㝥㔹㤲㡣昴㡦㜰挰㐷㤱㘵攱扢㔶㈲㈲㉣敡ㅦ㐳㑤昲愵ㄴㅣ昲愵㥦㘰挳㤳捣㍥㠹慣愸㜱戱㕢㠶ㅡ昷搴愵摡晥ㄴ㠶㉡〴〵攷搰㍦ㅤㄵ昸愰㄰づㄴ攷㡡㠳ㅤ㔲㠶㔲摢ㄴ搴扣㐲搸挸〶㍢㙡㌸㈲ㅢㄴ㠵昰㤲つ搵愸㠱扡㑣晦㉣㌲㠵昰攰㥥昴捦昱㠹㘰㤰㉦晣㝣㔴㤰㉦㈴っ攴昰攵㤶ㄷㄲ㉥戲㘱愹攵㠵㠴㤵㙣㌰㤳㉦晣㈲㈷㤵ㅢ㐳愱㔹㕤㜱㠳ㄲ摥㕦㐲愱㍦㍢挰戵摤㡦㥦扡愶㤴捦㔵捥㥤晢攷㐰㙥㜸㝦敥㠱㜷昶㝤攱挵㕦扥昴㤹ㄷ摥㝢攴㑦晦㝡晡改ㄷ晥昰㤹攷晥昵散攲㤱㥦㍦昳捣捦敥晤捡㜳㉦敤㌶扦慡㝥敦㥦㌳㕦㝤㜴散晣愳て㥢㘷㙥㍢昶攸扢ㅦ扡㙦㙣敥戲㤱㙣戶愷攷收愱㕦㕣㜹换攰攳て晦㐰昹改㙦昶㍡㡡摣㉥㕥搰扣っ㙥㕢㉥攳㉢㈸㘰ㄹ㕣昱㙢扡っ㙥㔷〲敡㕣〴愸〹㔴ㄴ攰晣攰〲㘴㐳愹戹愱昷㍦㜱挲扣㐱</t>
  </si>
  <si>
    <t>Performance ratio</t>
  </si>
  <si>
    <t>Module efficiency</t>
  </si>
  <si>
    <t>Lifetime</t>
  </si>
  <si>
    <t>recycling level of ITO glass</t>
  </si>
  <si>
    <t>Recycling</t>
  </si>
  <si>
    <t>End of life</t>
  </si>
  <si>
    <t>all</t>
  </si>
  <si>
    <t>glass</t>
  </si>
  <si>
    <t>CF</t>
  </si>
  <si>
    <t>Energy consumption of spin coating of PL, kWh (0.206)</t>
  </si>
  <si>
    <t>Energy consumption for sonication, kWh (0.483)</t>
  </si>
  <si>
    <t>Recycling level of substrate (100%)</t>
  </si>
  <si>
    <t>PEC</t>
  </si>
  <si>
    <t>Energy consumption of ZnO spin coating, kWh (0.168)</t>
  </si>
  <si>
    <t>Energy consumption of NiOx spin coating, kWh (0.421)</t>
  </si>
  <si>
    <t>Wasted CH3NH3I</t>
  </si>
  <si>
    <t>GHG emission factor</t>
  </si>
  <si>
    <t>Energy consumption of drying of PL, kWh (0.053)</t>
  </si>
  <si>
    <t>Energy consumption of annealing of PL, kWh (1.065)</t>
  </si>
  <si>
    <t>Energy consumption of post-annealing of HTL, kWh (1.953)</t>
  </si>
  <si>
    <t>HTL spin coating</t>
  </si>
  <si>
    <t>PL 1st-step spin coating</t>
  </si>
  <si>
    <t>PL 2nd-step spin coating</t>
  </si>
  <si>
    <t>PL annealing</t>
  </si>
  <si>
    <t>PL drying</t>
  </si>
  <si>
    <t>HTL annealing</t>
  </si>
  <si>
    <t>ETL spin coating</t>
  </si>
  <si>
    <t>Energy consumption of thermal evaporation, kWh (3.180)</t>
  </si>
  <si>
    <r>
      <t>PbI</t>
    </r>
    <r>
      <rPr>
        <sz val="11"/>
        <color rgb="FFFF0000"/>
        <rFont val="Times New Roman"/>
        <family val="1"/>
      </rPr>
      <t>₂</t>
    </r>
  </si>
  <si>
    <r>
      <t>CH</t>
    </r>
    <r>
      <rPr>
        <sz val="11"/>
        <color rgb="FFFF0000"/>
        <rFont val="Times New Roman"/>
        <family val="1"/>
      </rPr>
      <t>₃</t>
    </r>
    <r>
      <rPr>
        <sz val="11"/>
        <color rgb="FFFF0000"/>
        <rFont val="Calibri"/>
        <family val="2"/>
        <scheme val="minor"/>
      </rPr>
      <t>NH</t>
    </r>
    <r>
      <rPr>
        <sz val="11"/>
        <color rgb="FFFF0000"/>
        <rFont val="Times New Roman"/>
        <family val="1"/>
      </rPr>
      <t>₃</t>
    </r>
    <r>
      <rPr>
        <sz val="11"/>
        <color rgb="FFFF0000"/>
        <rFont val="Calibri"/>
        <family val="2"/>
        <scheme val="minor"/>
      </rPr>
      <t>I</t>
    </r>
  </si>
  <si>
    <r>
      <t>Ni(NO</t>
    </r>
    <r>
      <rPr>
        <sz val="11"/>
        <color rgb="FFFF0000"/>
        <rFont val="Times New Roman"/>
        <family val="1"/>
      </rPr>
      <t>₃</t>
    </r>
    <r>
      <rPr>
        <sz val="11"/>
        <color rgb="FFFF0000"/>
        <rFont val="Calibri"/>
        <family val="2"/>
        <scheme val="minor"/>
      </rPr>
      <t>)</t>
    </r>
    <r>
      <rPr>
        <sz val="11"/>
        <color rgb="FFFF0000"/>
        <rFont val="Times New Roman"/>
        <family val="1"/>
      </rPr>
      <t>₂</t>
    </r>
    <r>
      <rPr>
        <sz val="11"/>
        <color rgb="FFFF0000"/>
        <rFont val="Calibri"/>
        <family val="2"/>
        <scheme val="minor"/>
      </rPr>
      <t>·6H</t>
    </r>
    <r>
      <rPr>
        <sz val="11"/>
        <color rgb="FFFF0000"/>
        <rFont val="Times New Roman"/>
        <family val="1"/>
      </rPr>
      <t>₂</t>
    </r>
    <r>
      <rPr>
        <sz val="11"/>
        <color rgb="FFFF0000"/>
        <rFont val="Calibri"/>
        <family val="2"/>
        <scheme val="minor"/>
      </rPr>
      <t>O</t>
    </r>
  </si>
  <si>
    <r>
      <t>NiO</t>
    </r>
    <r>
      <rPr>
        <sz val="11"/>
        <color rgb="FFFF0000"/>
        <rFont val="Times New Roman"/>
        <family val="1"/>
      </rPr>
      <t>ₓ</t>
    </r>
    <r>
      <rPr>
        <sz val="11"/>
        <color rgb="FFFF0000"/>
        <rFont val="Calibri"/>
        <family val="2"/>
        <scheme val="minor"/>
      </rPr>
      <t xml:space="preserve"> precursor solution</t>
    </r>
  </si>
  <si>
    <t>(0.45+0.56)/1.5*(1+4)/2*10000</t>
  </si>
  <si>
    <t>(0.45+0.56)/1.5*1*10000</t>
  </si>
  <si>
    <t>(0.45+0.56)/1.5*5*10000</t>
  </si>
  <si>
    <t>Spin casting (previous assumption)</t>
  </si>
  <si>
    <t>assume the spin speed</t>
  </si>
  <si>
    <t>Nitrogen</t>
  </si>
  <si>
    <t>Nitrogen glove box</t>
  </si>
  <si>
    <t>Cooling</t>
  </si>
  <si>
    <t>Evaporation</t>
  </si>
  <si>
    <t>Vacuum pump</t>
  </si>
  <si>
    <t>Vacuum evaporation</t>
  </si>
  <si>
    <t>Substrate cleaning</t>
  </si>
  <si>
    <t>Tem</t>
  </si>
  <si>
    <t>80% active area</t>
  </si>
  <si>
    <r>
      <t>UV/O</t>
    </r>
    <r>
      <rPr>
        <sz val="11"/>
        <color rgb="FFFF0000"/>
        <rFont val="Times New Roman"/>
        <family val="1"/>
      </rPr>
      <t>₃</t>
    </r>
    <r>
      <rPr>
        <sz val="11"/>
        <color rgb="FFFF0000"/>
        <rFont val="Calibri"/>
        <family val="2"/>
        <scheme val="minor"/>
      </rPr>
      <t xml:space="preserve"> cleaning</t>
    </r>
  </si>
  <si>
    <t>Celic, 2016</t>
  </si>
  <si>
    <t>Inert gas purging</t>
  </si>
  <si>
    <t>㜸〱敤㝣㝢㜸㕣搵㜵敦散㤱收㐸㝢㈴㔹攳〷〶㍦〰ㄱ散〰戶ㄱ㌳搲㐸㥡〱ㅣ㐹㤶㕦〲扦戰㡣つ㡤ㄳ㌱㡦㜳散挱昳㌰㌳㈳摢攲搲㘰㈷摣㝥㈱户㐹㠰㔰㔲㘸ㅥ㌴㈴攴昲㠶㤲㌶㡦㈶〱〲㑤ㄳ㍥摡㕥ㄲ㐸㥡㌴户ㄷ㜲搳㈴ㄴ〸㄰ㄲ搲愴〹扥扦摦㍡攷㡣捥㍣㈴㍦㐲扥敢㍦㝡愴㔹戳昶摡㙢扦搶㕥㝢敦戵搷摥㘷㝣捡攷昳ㅤ挶挳㙦㍥捤㐴ㄶ㡦㑤㤶捡㘶慥㝢愴㤰捤㥡愹㜲愶㤰㉦㜵てㄷ㡢㠹挹つ㤹㔲戹〹っ挶㜸〶昱愵挰㜸㈹㜳戵搹㍡扥捦㉣㤶挰ㄴ昰昹㕡㕢戵ㅦ昱慤捥㈷攴〶㌴㔳改㘶〲㜰昹戴㐱搰㐲㐰㔶慤〹㠲〰敤㙤〰摢㐶㔶㙤㑥㕥㠹㠲挷捡㠵愲戹愲㙢扢㥤晤捡㐸愴㍢搲ㅤㅤ㠸昴㜷㠷㔷㜴㡤㑣㘴换ㄳ㐵㜳㘵摥㥣㈸ㄷㄳ搹ㄵ㕤㕢㈶㤲搹㑣敡㘲㜳㜲㕢㘱㡦㤹㕦㘹㈶挳扤挹㐴㌴ㄶ㠹昶昵㔹昱㜸慣扤ㅤ㌹㙦ㅡ㔹戵愵㘸㕡愵户㉡捦づ收戹㜹㘴㔵昷㈶戳晣㔶攵㌹ぢ㜹㈲换搵㠵㕣㈲㤳㝦㡢㌲つ㔰晣㝤慢捤㔴㠶晤㘴㥡挵㑣㝥㔷㌷慡㕤㈵㘸㠴〶扡㠷㑢愵㠹摣㕥㜶昹㠸㤹捤㙥㌵㉤改㥦摣敡㔲㜹㑢愲㤸㉢戵攷㈸㍦戳㘸收㔳㘶㘹㔶㙥捤㠱㤴㤹㜵ㄸ㑢慤戹敤㠹攲愶㐴捥㙣㈶搲㤹戳晢㜰㌴㙤收换㤹昲㘴㐷敥搲㤲戹㌵㤱摦㘵㤲㈵㤰㕢㌷㤱㐹慢收㘶晣晢㥡捥㙡㔴㌳改㈸搴㈷㌷戲㍢㔱㉣㑢㠸㕤ㄸ㘹挴敢㔱ㄷ㘹㐵㔵扤愸㔲㕤㌵愹搸㘷㘳㤹摣挵㘶㌱㙦㘶㔹〸㝢㜲㜹つ㤳〸挸敥㠷㡡愴摣收戰㤷㔴㥢㌳㑥搸ㄶ㤶㘲㜴〲㥣扢愱戰㙢㔳愱㤸㠳㑥慥㌳ぢㅢ捤㐴㝥㘵ㅦ戱戱㜲㝡戵戹㙦㈵㜴戸㙦挵㠶㐲㉡㐱ㄹ慦っ敢㄰㤲攸搹㑣㍣〷㘰㕥㌶㘳㤹攵㑣捥散晡摡攷扢㜲㠵昴㐴搶散㡡攸戹攴㤹〷愰㥡㕦挴㔸慤㉤搶㍦㥥昰㡦㈷晤攳㈹晦㜸摡㍦㙥晡挷㉤晦昸㉥晦昸㙥晦㜸挶㍦㝥愵㝦㝣て㔲扡㑦㙢㑢㡢摦㜹ㅥ晣挰扦㤵㥥捤晤㝡攳㍤㍦晤收晤敢㘷㝦敦〳㡡挳㔳㐶昷㝣㈰ㄷ搶㌷㈳ㄲ㡦㠵扢攳㍤戱㐸㍣ㄲ㡥㠴挳〳搵慤㡡㜸㕢㜵㌲㜲搰愷〰ㄸぢ〰摥扥户㤸挹㈵㡡㤳㕤㘶摥㉣敥㥡散㑡㘱㐲㜱戴慣慡㥤ぢ㤹㙡ㄱ㠰㔲㍦㐲㍢搹搶换ㄷ㝣敢㕢㜷慥㝡㜳昴㐳㥤捤㥦摣㝦㘱㜰㕥㠰搳㐷㙦愳㡥慡搵㠱戵㤸㍢㔲㠹㔲搹㔱㑦㑥㌶㙦慤昶ㅥ㔹㜹搷ㄶ㔳㝦㜸攵㐵㈱㙦㠹昲敡㔳㈹晤搳〰㡣搳〱收㡥㙣敥改㌲㜳㤹ㄲ㘷㡣㉥㉢㤱挲㕣慣扢挸㜲〶㠰㔲晦敡㜴搰㔷昳㍦搹扡㈹搴戳收昳搷㥤㜹昹愲㤳戶摥慣㌸戵㡢ㄶ㥤〹㘴戱㌳ㄲ㘴ㄸ㐴〶挲攱ㄵ捥㌰攸㡢㜵挷昵ㄲ㘶户ㄴ挰㜸㍢挰晣搱㝣愹㤰㤵㜱㔱愵ㄵ㘷㤱敢㙣〰愵扥敢ㄴ摡㜲挷㈵㙡昵挴捦搶晥挹㜳㍢㑥晥搵㙦捥扢㕥戱㜷㘵㘱㔹㐶收攵〰挶ち㠰收㌵㕢㔶㙤搳攷㤲搶つ愰搴搳㑥〶㉦敤ㅢ摦晦戵愵晢㉦扡㘵搶戲晦晤昲慦〲て㉢㑥㜳㔲敢㌰㤰㜰扤敥㠷扢〷慡㐷㜱㑦慦㔷摦㈳㉣愲〷挰攸〵㌸㜵慦㔹戴㌸〵㘰㤶散㉡戲㐵㔵つ㡡㤲戹て㐰愹㈷㥤晡㘴慦扤昲㤹㉦晦㜸挱昰㕦摦晡昱㡦㍥㜰攸㤴愰攲㡡㈸昵ㄹ〰戲戲扥㍥㤱㐸㙦㜷㌸摥㍦搰搳ㄳ㠹昵昵昶昵昵捥㌰ㄸ㘳㉣㉦づ㘰㥣て搰挹㡥昵捥㉥ㄷ㌰晡㐲〰愵ㅥ㜷慡㜳晤㜹㑦て扥晥戳搷㠶㙥㘹㍡昷〷㝢㈷㝦戴㑣㜱㙤㤶敡扣〳㐸㑦㝤㜵挲摤㤱㐸㝦慣慡づ攱慡㘹㙥㤰㠵っ〱ㄸ挳〰愷㍡㔳㥢㘹㔹㤹㔴〶㡢挹㘴㔵㡤㔶㤱㜹〴㐰愹㉦㍢㌵㡡㍥㜱敢〵昷摥㜳搱摡㡦扣ㅥ㠸㥤㌷㘷㘷㜳晢ㅡ㐴㕦攲捣扦慢㡢㠹晤㔸搱愶ㄶ换㥥敥㌰晦㡥㙣㈵挰㐸戰晡慣〱㉢ㄲ㐹昷㠵ㄳ扤㠹〰愷攳愳㕤㡥挸摢㙥敤挸攴搳㠵晤戲㍥㉤㕥㤵㈸㤹㔳㈳㝥戹ㄳ户慡㌰㤱㑦㤷ㄶ㌵㡥ㅣ㉢㈷捡收挲摡戸愹㑣敡㤲㡤㘱昵㌶㑢㔲摥㘹戵挹戶㈷戲ㄳ收昰㠱㡣ㅤ㝤㙡㑤㌴搶敥㐲㜲晡搸戵㐵昳慡㑡㙣㕤㡤㠶㘱〷敥㤳扣敢㕡㘹㐷搹昵敡ㅡ搹㕤㈸㤹㜹愹摥昲摣㤶㑣㙡㡦㔹ㅣ㌳㘹㐵㥡㘹㘹敡㐹㡣㜲っ㠸攵㥢昳㘸㈸㑣㠲昴摢扣㔴㙢捤㠱戲㤹㑦㥢㘹搴ㄷ㈳愹㍣戹㉤㤱捣㥡昳慢㔸散㌲ㄱ戱愰㡡扣戶㤰㥡㈸㡤ㄴ昲攵㘲㈱㕢ㅤ㌳㥣摥挷攱㤸摥㔸㐸㥢戰㌹㥡昹昸㤴慦愹㐹㈹摦戲㐶敢〹昳㉤㜵㑢㐷㜸扡㤸㈶挸㈹搵㙡搷扤ㄵ慤㐳㉢戲㈶㜵搲扦攴〸㤹㐹扥捣收㥣改ㄹ㍤㙤愲挹㑤敥戳愷攷㤶㍡㔶㝡敥て换散昷捦㜵㕡扦㘶ㅦっ扢昵㠹㝣㍡㙢ㄶ㘷摣㌰㈸搶㐸慦〵〸㝣ㄱ愳㜹㕡改搱晣㔰〷搴㘴㘰㝦㈶㕤摥㙤散㌶㌳扢㜶㤷㐱挳愶愲戵㤵愲慤㝢昴㝡㤰昴㈸挱㐵〰挱愰捦戸㤸㑣㐶㔰㙦戰挳〱㕡㔶挷㙥㌲㜲摢愲挵㐴挵㝥愲ㄴ挸挱㤶㈸㌵㌵㌵㙡攵晡㐴㘹㜷㤹敡㌹㘳㘴ㅢ昳摢㐸戰〹㈰㐰㝢敥㠸ㄶ㈹㙤挹㘶ㅡ摥ㅤ戹搵愶㤵挰㜶㐷㐶户㑡〴㜲戶〵扤摡㉣愵㌴㑤敤㔱㡣㤵〳〶㌰っ晥昶ㅣ戵摦㍣㔰㕥㥤㈸㈷㕡㜲㌰摡搱㑢ㅡ㑣换㈵㤵㡤㌱㘵㠷搰摣搴㐱㈷㠴ㅣ㐲㠲㝡㜲㘹ㄳ㠲㥤ㄳ〶づ挶㡢慦挹㠱㌳㌷㠲㜵㐷㈳㡣㕡㐵慦㌶扥戱㈷㐸慦㌳昳摢㈶昷㥡㈵戲户ㅡ㌳㡡戲㜶㜸㌱戳捤愹攴愵攵㑣戶搴㡤㥡慥㉢ㄶ㈶昶扥㤵昹㌰㉦扤ㄹ挰㝤〲て㐲㡢㡦扥㑤摣㔰户散㘳摦㡣㡦晢㕡㤹ㅢ㈹㥡搶扥愶戶㈲戳挳昸㤲㐷㡦攱㉢㌸㔳㕣㠰摢㠰㘳搹愸搰㉡㙡捦㐱㐲摢㡡愶㙣扤㕡㈵〰㘹㜷攴㜶ㄴ㡡㝢㤲㠵挲ㅥ敡搳㉣〹㤵㜶㥢㘶㔹戶㌳捥昶㑤戶㘹㑡㌵㌵㔵㙤㍡㍣晢ㅥ㙥㠴㡣ㅤ〰ㅤ挳搹㙣㤷㥢㘳挹戸っ愴㈶㙣慣㡣换㠱㉣挰慣㡢慤捣㜸捦㜸捥㉣㈷戲㕤㠵〳㤹戴搹㝤㈰㕢㍡愰敥㐴昳㘹攸摦晢捦㠷ㅥ扥晦㥤摦㕡昳愵ㄷ晥昱扣挹愷摦㜶㠷晡㡣ㄳ㔱户㑤攱摥㐲㜶㑤㍢㠱愸㍢挰挶㘹〵㜸昵愳摦㡤戰ㅥ㈷戸〲〰㤳㠳㠸ㅢ㜳㐳搲づ㉡敥㑦㌸㍦攸ㄴ㐱ㅡ㐰㜱〷㈲扢㉤ㄳ㠸晢愸摢㤰㍦㍢㕤㍡㡥ㅢ㥡晡㡥换㠰ㅡ搴㌳挴㈹敥㙢搸㜹㥡挲搲ㄴ㡦愶㘸搴つ挸戸愱〰㍥散㐴搴㙤㠱㘸愸捦㘰愳㔴敤㍡㔸㘲㤵㡤搲㙥慤捤㘴换㘶㔱㤶愱㑥ぢ㕦戶㔳㐰挲ㅤ㕣㝡㡢戰昵㈵㌴捦ㅡ挱敡ぢ㉦㐴㜹㜲捡ㅥ愹㕢晤敤挵昱扦㙣㥣ㄳ捥挶ㄱぢ愷捡捥㤹挱㠶㠰搲搴㔸㌹㌳㌳㝢㤴㠸换㝢挳ㄹ㐹㤴愸ㅢ㌹㔷㉢ㄹ昹㙢愷㑦㜱戵㔴昸扤㑡㐸敥昰昴戶て㤵扤㕥㐹㤹㘸㕡㍢攳扦慣戴㐶㙥㕤摢㑡㉢㐲㜰扡㐴㐰换㑢㑦㄰散〳㔰搷㘳㌲攲㌴ㅢ晥捤攱挳㍦〳攱〹㤸㐸㍦㤲昹昰〰㜹㈶〹慥〶愰つ昶摦昰摤㡥㡥攱㠶㘲㠲㥢㍢捣戹搷㠰㘶晣㌱ㄹ㘴㉡改攲㜲ㅦ㔴㡡敥〶㤹㠲摦〳㐴㕦ぢ搰㝥㄰㘰搳㝡㌳ぢ换晦慤昲搳〶扡㤰攷捣戶ち慡换ㄵ㜹㝥㙥㙣㌲㥦摡㕤㉣攴攱搸愶〹㌵㥣㠲愳戳愴ㄲ㐶㙥㐳㘱㘴愲㙣攴搶㘷昰搵㥥摢㙡敥㌵ㄳ攵ㄱ散散㘰㥦㙤㠰㥢㐹慣慦搱昴㠱晦㥦搶㤹㡦㈶㌴㌶捤㔳〶㥡慡ㅤ挵戶㥤攴㠸户㝢㜵〱㑥㜳㔳㕣晢〷㤱搲㌰㘰㘹㥦㠰收㤷㑦ㅦ㐲敤㍥昹摡摤ㄷ㉣晤昸〳㠷㥤敦㙢愱㡤昲攸搳ㄱ㔹扦㈲㕦〷㙡㜰愶㌸㜵〶㌸㉡㉢戲㜱㍤㐲㑤㔰〳㝢㔵㥥㐰搶つ㔷攵戲ㄳ㔱攷昷㕡㠲昴㘲㤶㝣㄰㠸㉡㠲慤戱㔹昲㘱㐴敢ㅢ〸㙥〴昰㤸㈵ㅦ戱㠳㙡㈹扥㘵㑣摣㑣愶㍦〳㔰㜴㠱㠹㔹㜲ぢ㄰昷㔱ㄹ㤴㔱㌱㑢攸㐱慢ㄷ挲㙤愰〶昵っ㜱㡡㡥戵㡡㄰㍣㘶挹戸搳捥㍡扢散摤㑥㐴㥤て㡥慥㌷昱㈱摥挱慡㝣㥡攰㌳〴㜷ㄲ㝣ㄶ㐰㕤㠶愴ㄴ捡摢㝥㜷昸昰㝣㘸改搴㈴㜲ㄷ㜹敥㈶戸〷挰㈳㤴晢㐸㤳㜹㐳愹攵挰㐵㌰て㤰昸㈰㠰㍡ㄷ愰ぢㅦ㥦㝥〸㘰㕡つ㔹㐱㡥㍡㘳晢㜳愰〶昵っ㜱㡡㑥挳㈹攱㔰㐳㙣敤㔸㌳㥤㜰㔶㍢ㄱ㜵晥挵〸搲㡡㜶㝣〵㠸㕡攵〸〲㜸昵愳ㅦ㐱㔸㍦㑡昰ㄸ㠰㐷㄰㡦摢㐱㐵㈷愳〸攱〹㌲晤ㅤ㠰㡡〲㠸㜶㝣ㅤ㠸晢愸㌸捡愸㘸㐷㉦挸昵〲㜸ㄲ搴愰㥥㈱㑥搱㑢㌹㈵㠰㈹愳昵扣改〴搰敤㐴搴㌹㌴㘳挸㐹〴昰㙤㈰㙡挵戴〲㜸ㄶ搱晡㍢〴摦〵昰〸攰㝢㜶㔰挵昱㉤〲昸㍥㤹晥〵㐰搱㠳㈹〲昸〱㄰昷㔱㘷㝡〵㜰㍥挸昵〲㜸づ搴愰㥥㈱㑥搱㉦摡㐸〰ぢ愶ㄳ挰㈹㑥㐴㥤ぢ㜵㄰㌹㠹〰㕥〰愲收㑦㉢㠰ㄷㄱ慤㕦㈲㜸ㄹ挰㈳㠰㔷散愰ㅡ挲户〸攰㔵㈰晡㌵〰㐵㠷愹〸攰攷㐰摣㐷㜵㜸〵㌰っ㜲扤〰摥〰㌵愸㘷㠸㔳㈳攰㘸㈴㠰愶改〴攰㜷㈲㙡㍤戶㠱戵挸改ㄸ㍣㙤㙤慣戰戵㍤㘳敥愷慤㌰换挲昱攱挸㐴愹㕣㄰㍦㐶㠷戵扡戰愹㔰㕥㥤㈹敤捤㈶㈶攷㕡づ戲㘳户㤹㠷㤷戱〸㘷㘳つ慤戰㜷慦㤹搶搶㔸㘱愲㤸㌲㐷㔷㥦〸㕥㐸戴て㕤㈷づ㐸扦挲㜳㝣㡥㌵㉣昷ち㕡㠲挷ㄷ愰㍢慣搶㍦攲戱慣愷㌶㜱搴挳捥㈹㠹㙥换㤴戳㘶㥢㈵昱㠲户㕡㤰㈲㕣户改ㄶ㙢摢㙥昸つ㔶㜷㔸敢㡡㤹㜴㌶㤳㌷搹ㄹ搸ㄸ昲㑣㜶㠳戹ぢ㙥摡㉤㠵㔲㠶㘷㤹ㅤ搶戶㘲㈲㕦摡㑢㡦㔳㙡㜲㑥㔵㐸㡣愳㠰戵㉡㤳㉦愱ㄸ改㐵攲㥤搶搸敥挲㝥摣㌲㤸挸攵搷㈵昶㤶㑥㠸㕥㔱散ㄶ㜹愴㙢㤴㕦昹晤慡搵摦㝡扣晤㘳ㅣ㐶㘶昳㜱㘴㤲㤷㐳攱㉥愸㙡戹㤸㐹㑥㔰㘶㔲っ㘷昴㘶〲改㐶㕦㘰ㄴ搸っ晢㈳敥㤲ㅣ晦㌹㝤挳慣㙥搵戹㘶㐳㌷㘵攵昶〶㜷㐶㥡ㅥ愸㜶㥡㠹ㄷ慤扢㜴㜴敡搴攴昷扡㕦ㄱ戸〸㌹搷㕡㥢戵捡㔷㜱㔲㥦〴收㔹戶ㄶ㤱㐶愵挲攰㠴㌲㌰㔴慢㤹㐱㑢㜸愸愴戳愶搰戵昰㜳戶㕢ㅢㄲ㐹㌳ぢ昷㙣㉥㔱㥥㘵〷戸㔷挴攱㝢挹㠹ㅢ㈹攴㜲〹㙡ㅤ㌵㜶㉣㤵挸㥡慤搶昰㐴戹戰㌱㤳搷ㄶ㠰愸愶㐳㑡ㅣ〰㈹㜱㐰㐸敤搶㔶ㅥ摢〸捥扣ち扢ㄲ挵㑣㜹㜷㉥㤳㙡㘵㠰㐷㉢㈷㠴扡㘲ち㘹㠶㌰摤挷㥤㑥㙡㜷㍢戶摤㡦敥敥挶㌶㥦愲㘳昷㐳愹晤捡挰㥦㍡㑥慦㍥㈶ㅦ㔹㔳㜴ㄳ㜲ぢ搰㙢捥搹㐸㥥㔷摤㉢㐵慦㕥ぢ㡡捣㑦㙡〳ㄹ昰搱扣㘵㐴㠴㥦收㡤〰㌳扡㝣㜹戸ㅢ摣㔰㐸愴搷挲㌳㔵㈸戶㌸昷㠱㕡搱戵㥣㙤㡡㈱㍡攱㐷㜰慥㠳昳愲㝤㤹戴㔹㙣㈵㘱っ㍢戸㘶扡敦つ扢て㘱摤㌷昹〲㠱戶搶㐶㘵㡤扡㜹㉤㜱㕣㥢摥慢㑦愳㜵昹扦㜴㐹㙣㤰㔲て〶㥢〰㜵〰敤搰〶摢戴〹㐱戶愷㠶愱㠵っ慤〰㠱捤㠸慣敤㥢㙡㝦㌸扣收ㅡ㑣捤㜲㤳㠶㥥晡㔶㜸戵挵挵ㅦ㤰㠶戴㜹㕣昳㠶敤㤵㙦㜵慦攷ㄸ㘳搰㜲㌳ㅤ戴愷㔸敥㕦愵㥢晤捤攸㙡愳搶㘵㔸㔷㉣㌲换㡤㤹攲戳㔷ㅤ愸㠲愱㔱攳挵ㅣ㉣挸㝦扣攱捤㤴㕡㥢㍡ㄸ搴㙤㐸攴ぢ慡㌱㐰㔷ㄲ摣㘳〴㠳散㐶摤㑥㐹㜴〰㈸㝡㙦㘹ㄲ㜸ㄶ㌰㐵㤷㉤ㄷ㌱㥦㌱ぢ㉣挷㌰㘹慡㜱㈴攲挴愹㍢㤹昷ㄵ挰㌸ㅦ㔵昴㜳㌶愸㐷搶捦㈴㔳攰愳攷㌰ㄳ㈷愰㔲㐰摣㤶㔰挵㥤㑥㥦ぢ〶㍤㡦㡣改挶っ㈷㤱㠱摢ㅣ㘵㠲㠱ㅤ㙦㥣㡣㔰户㉢搰愳扣ㄴ搳㐰挴ぢ㤰つ㐴㥣昱㤴㝢づ㈹戶㠸ㄷ戲摣㐵〰㠱㈲㠸㌳㑣挹搸散㝡㝣㝥戳挰㙣㔸㤷收㌳㘵捣㤶慣攳摡㑣ㄹ晤摥㙥〱〰ㄵ攷摣㐲㤹㐵㍤㠹㤶㔷っ戴搳敢愳慡㉣戶搳敡攳扤㈶摣㤲〶搱戶㜱攷戱改㡥挴㈴㐶㕥㠳㍡㥥㐸㔶㥦戲㥤㌴㡥攱愷㤶㑥敦摡昴挸㥤慢昶敦㘱㈳ㅡ㡢愱つ敤扢扡㜰昳攳㕣昳慡昳昶散搸敤搳愷㔲㠷ㄴ晥㌰㘴㑦〳㑥晢戱㜴㐴㝤昱戸㝤㘹㥦〷㘹㐳摡戴づ攷㕣〱㤷㜸㌰〵〷㥤㄰ㄶ搸㔹づ扡㜹愲㕣ㄵ㤳㌸㌰搷㠹挱挱搱收㍣捣愲㔴愲㤸㍥㐱搶㔴戴捤戶晥㘴㜹㍣㑥换ㅣ㤹昰昱慣㠴搸㙢㥤敥挸扡㡣㤸㘳昱㥡㜷㠲扦㠳攲慥㌸搳㕢ㄹ攲挵㉡改〵晢㕥㤵㙣㤳戶㤸搸攳攰搲㘵搶㥣㉢〹㉡㐱㔹㍦戴㌵㥣挴㍤慢㠹㌲㡤㈹〷㤳㔱慦慤慤㈶慦㕦敤㌳㘱晢㌸搸㤶㔴ㄹ㘷㐴㤵っ㜸㠳攳挴改㈱㐸愴搹改㈵㈵晤㘴捣㌰搹㔵㌷㠲〳敡㌸㝢ㄵ晤㘷挹昳戳㐱㜵摢慤㝣敥ㅡ昴戹㠸戳ㄱ㥢㐰昶㌳㤸昰㤸㜸扤㐷ㅣㅣ㐹㜳摤㤳㌷㝢扡㤳㤹慣摤愵搱捥敦攰㤶慣㔸挶㌵㈷㕥㘸散攴搰挹挲㄰㉡㘷㘰搲㘶㈷㘷㔹愳昹㔴㜶㈲㙤㡡㍤散㑥攰㘲ㄶ㥦㄰晤㈵搷捡敤扥㥡㐱㉥㡥㔰㐶㜱户摣扤昶㜲晣晢㘲摤㠵㥥ㄲ敢ㄴ㜹〴昵摢㥣㜱挷搳㡣㘳㍥㑦ち㈲搱㥣愹搳㔰戹挶㡣愹慤㡥挴㌹㡤㠷〱㤵㈳㈹ㄹ㜱ㅥ戶つ〵㕣晤挵扥摡㐳㕡㥦戱㐹㈷㐴㍦愱㥤昶挴㘷ㄸ搸ㄵㅣ摦〸㘹㝥敤㤵㌷搴㥣敤㐳㘷㈴㝦戱㘰扢戵㜷挸ㅤ㉤㕣㘳戰捡㈸ㅥㄸ搱挸㔳挶㤹攸㤳戹敢搶慦慢扤㘷捡㕡昸戸㈳㙥㥡摡ㄶ㉢ㅥ㌱㠹㠵户〴愹搴搵〸搹ㄶ㥥㑦㜳㜵搳㙦〷㌸戲㠵挷㘳㈸㌰晡昴㔹捣挴〹㈸ㅥ㍥戹ㄶㅥ㔰搴㔳捣晡戳挱愰捦㈱攳戵㡤ㄹ㤶㤱㘱㌹㐰攰㄰ㄸ㙡㈷㥦㘹㡦㕡㤸㜹㈰㐷敢扣㌵挷㕤ち㠶慥㠱㙢㍢㌸㑡㠲㠹㙣戴戵ㅥ㐴扣㕥㠱㙣晦攱愹愷㔶〲昷愹敢〰摣ち昲挸捣戱昴捥㘵昹摤〰敡㠳㈰搶ㅡ搳ㅦ〶捤㌶愶捦〳换㕣晢㈶敥ㄱ摤て敡〶㈴ㄳ㌹㠷㤹昱㡤〸㔵㔹搲㍤愰ㅥ㔹捥ㅦ㐱㌲㌰晡㜴㉦㌳㜱〲敡㘶㈰㙥㌳㍣㤶㜴ㄴっ扡㡦㡣㝦搶㤸愱㥦っ〳㘴攰昹㠷㔸搲㌱㠴㑥㜳㉤改㘹㉥づ㌷戰㥣捦㐷㌲㔸捥户㜹捡㌹㡢ㄴ摢㜲扥㠰攵㕣挸㜲敥〰㤱搶戳戱ㄲ愱收㐹㌳㔱昴改㜷㌰慤㘳㌱つ〲愷㉥㝦ㅡ㈴㕡㑤敥㔳扤搶て㌹㕣㍣〶攱㝡㑦㐹戸愳㘱扡戵㐳摤〹㍥慥ㅦ㍥㍤っ昶愹〹㙣挴挹散戳㠸攲㈴昶㠵㙦晥搱挲挳㍢晦㙤昰㥦㤶ㅥ捡㉦㡤晦攷愰㥢㌱㉢挶慡摤〵ㅥ改㝥㌹攱㐰愰㝥㐸摤つ㥡㜴昵ㅡ攴慤敥㐱挸ㅤ㔲㙣戶㕥〷㜰攴慥扥て挹挰攸搳敢㤹㠹ㄳ㔰て〰㜱扢ㅡ㈸敡㈴㐳㙡ㄴっ晡㈲㌲㍥搸㤸攱㘲㌲㙣㈰挳㐳㘰㌸㠴㡦摥㠸㔰㘵㈴㝣捥㤳㙣㌱㜰愷攷㌶㌱搹㘶㈶攳昹㑡敤㐸㜸〴㌴㝢㈴㙣〱换戱㙣㉢ㅦ㐵㑡㤱搰㈵捣晢㌱㠴慡〶挳ㄸ愸㐷㤶搰攳㐸〶㐶㥦摥挶㑣㥣㠰㝡〲㠸㉢㈱捦㘰戸ㄴっ㝡㍢ㄹ㜹戶搳㠰㘱〷ㄹ㉥㈳挳搷挱㈰㠳攱㜲㠴㤶扡㠳〱攷收㌳摣㍤㙦㌰㈶摥㠹搴ㄸㄳ㑦㝡㡡㍢㥢ㄴ㝢㑣散㘴㜱敦㘲㜱摦〶戱㔶戲捦㠲㘶㑢昶摤㘰㌹ㄶ挹㝥〷㈹㐵戲攳捣㥢㘷㍤㔵㤲㑤㠰㝡㘴挹昲㑣〸㡣㍥㥤㘴㈶㑥㐰㝤ㅦ㐸〳挱愵挰愰搳㘴攴愱㔱〳〶㤳っㄶㄹ㝥〰〶㤱散㉥㠴㑥㜶㈵㕢㝢㜱扥㠱㉣㌳攰㠷㉣㥦昳ㄴ攰㤱攵㤵㉣㘰てぢ㜸〱っ戵戲㝣ㄱ㌴㕢㤶㔹戰ㅣ㡢㉣㕦㐲㑡㤱㘵㡥㜹扦㡣㔰㤵㉣ぢ愰ㅥ㔹㤶慦㈰ㄹㄸ㝤㝡㉦㌳㜱〲㡡㘷㑣つ㐴㜵ㄵㄸ㜴㤱㡣㍣㝦㙡挰㔰㈲〳㥤搳敡攷㘰㄰㔹㑥㈰㔴搱搲㤹㕦〰㘸㈰搹晤㐸つ挹扥攱㈹敥ㅣ㔲㙣㉤㍤挰攲㈶㔹ㅣ慢㑥㔶㝤戵㠳挸㙡㑢晦㘴慤摢慤捥㈵摡捣晣㉣㍡㐷挷捡㤳㔹㌸愴㠹搲つ㘷㘳㕣慡敤㘸㌸〷ぢ㐵㤸戴捤戵㜷㡣㉡㘹搷㈰慢戶㜹㌵昷挴㈵ㄹ㘳攸㤴ぢ晣昷㌷敢敦㐲㔷搲戳〵㔳㤷㐶㤹㠶㡦㜱つ攸昳㌶㘶㔲挵㐲愹㘰㤵扢挶㜰摥搲挵㝢昷ㄶ㙣摡攱挰晢㤰㘳挳㌲搹戰收㍣㕦扢摢挷㝢愸挱㍤昹挲晥扣搴㈶㔰攲敢〷㉣㑤户戴戰㤸㈰㍥昲㥣〹㈹㠶搰㐶㜱㔷攸昷〰改㘸ち搱搱挹戹捡愰㑦㜷改挸慡㤱慤攳㍤㜸㝦㠲慦愰昴挴ㄳ晤搱㘴戴㈷ㄹ㑢愶㝢㈳攱㥥㔴㕦㑦㉣ㄵ敦敤㌷づ㔶㔸晢晢㤲扤㜱㉢㡡ㄷ㌲晢㤲搱㜰㍣㤵散㡦㕢㘶捣散ㄹ㠸っ昴愵㈳㍤扤㈱扡㔰㤹扤㍥〴㐴扦ㄷ㈰搴攲㤲摥㐷搲㜵㈴搱㡦㉡㕣㘴㄰搶〰㝤㡥㐷敢摥愴㌰㔴㔲愵㔴㕡㤹捤㉤㉤㜵ㅥ㤸㍡户㈸て㈷攴㘶戲㘱㜴㈰㙤㘰ㄲ㘲慥㜵摢㌴㑥㠴㕡㜹㝡㤱㠹㔹戸㝥㍦敢㝤㍤㐰㌰㐴㜷㈸㘹挶〷㠰捣ㄹ㔹㌵㡥ㅢ戳敥ㅤ㕡㙡㥥昱㍦㐰㙦〷㕤㌶ㄲ㕢昱㐶㠲昱愷愰捣〲挵㜳づ㘴㝣㄰戴搹愰㔵扦㜲ㄹ敡〰㔹㑡扣㥣挵捥㈶攰挹㥦扥ㄱ㜴㈵㡥㔲㠶㙥㘲〸〸〷㡡愲愳㤴㠳㐵攵搰㑡慡㈸㠸㍥㑤扤愳㡡愹㍤愰㔰捤慡搵㠴敥㔲㈹攷ㄶ㈰㔰ㄳ扡㐶㐵㑤㍥ち挴㔶㤳㘴㕦㈴ㄹ户愰ㅤ㘹慢㈷ㅡ敥㡤挴㔲攱㘴戲㌷㡡户㠶㈲㘶㈴ㄵ㡦ㄹ㝦㕥㘱㡤て㐴㘳㘶捣敡㡤挵㑤㌳ㅡ戱愲昱㐸㝦扦ㄹ㡥㐵㤳昱㤴ㄹ㐹挷攲㈱㍡㕤㐵〱㙥〵愲㙦〳〸搱搷㉡愴扦㈰改㘳㈴搱昳㉡㈴㌲㘸戲慡〵〰㔴ㄵ㤵㐰ㄳ搸㡤㔲改摢ㄹ晦㤷〰挱搰㐲㐰愱戱㍢㌴㘵慦㈹㙥㑤昹㠶攸㔲㥤㤲收㈹㤴ぢ慦㈲敢扢㐰て搰㥤㔶慢ㄴ㥥搳㉦㡦㉦㡦㙥昰㤰挷挱㉡敡㌵摢扡㘴㈲㤱挵㙢戲㥢戱戱㉦㤳㜴㈲㙣〷㥢㙤昷捡ㄱ㐷㤶㌴攱㥤敦愲㠲搷捡愰㝡㘰㌸㙤㤳搱㜴㝣㥢换㘰㘰㍢晡敤攸㑡㐱㤷搴っ㍦慡㜸㔰摦㠳〸㕡挸㜴㝢㤲㐷摦㑢攸㍣㡡づ扡㍡㙡愰ぢ愴愳昷㕣㌰晤㕣㑣戰捥摢昳㍣㉣㕣㥥㠵ㄳ攷㈸捥㘶敦㘳昱㜴㔶㌰㡦敡㥡㉤㜱愹て㌸〸搵㑦㜱攳㉢㈳㜶ぢ〴攳㡥㔸攳㈱㔰愷㕤㈹搴㈶戰搶て攳戳㤰㐶ㄴ晣㘱㈰ㄸ挶摣晦昲〹㥤攳㈲换㕣㘴戹㠳㜴慥〰挲挹挰㄰捥户㄰㠴捥㐵捥散㉦㝢〴捡㔸㤴㘱挸晤慥搰㑦㘵㈴㜷挳晡㡢㈰㈹搹慥㌲昴㈵㠶㠰挸㝣挶敤慡㐸㘷㡤㐷㍡㔳昳搹㐸㐳㐱昴㈲㤱〸攲慢㐰㈰〸㙥㔰㘵㍥㝢〴㠸㍤㥦昵昶昶㔹改㐸㉣ㅡ㑥昴挵愲扤改㜰㍣搹搳㥦㡣昵㘰㡥㑡昶㥢㝤㠹㠸昱㘸㠵戵ㅦ敢㘲㉡㙣㘲昲敢㡤㐵捤摥㘸㜲㘰㈰搵㍦㄰敤㡢っ昴㈷晡搳㍤㤱㄰户扥㌲㔳㍤〶㐴㝦つ㈰挴ㅤ慦㤰ㅥ㈷改〹㤲戸晦ㄵㄲㄹ㌴㔹搵昹〰㙤㐴攲㘸〶攷㌳㤱换㌷ㄸ晦㑤㠰㘰㠸ㅢ摡㘹攷戳ぢ摤㐸㔹ㅤ㤶㔲㜴㑢〸㥥〶㕤扤〳㠰㜳㕡㔰㜵㈳㕦㡥㌹收ㅤ搴摦㈶つ㘳㘷㤰㑣攴慥ㅡ㍢㐳つ愹挳愰㜶攱愳㥦㘵昴㐸㐳ㅥ搹㠱㌲扦敦㍡搱㜳㄰㔰敢㄰㤰摥㍢ㅢㄵ㜰㜵㕢㔳户㘵㌵㝡㍢愸昵㙡扣ㅥ搱搲攸㝦〱㠲摥ㅢㄵ㜶㐸昰㈲ㄷ戹搸㐵㌶㌸㐸攷㐶㈰㝦ㄸ㌵收捥㔴扡攵㑦㠱搸㑢㡡愸㌱㌷慢㐲㕦挶㔶㉦㈷㜸ㅥ㈴㜵〹〱㐳㍦㜴㄰㌲愹㌱〴㐴㄰愷㝡〵㔱㔹㤶ㄷ㌵ㄴ〴户㥢㈲㠸ㅦ〳㠱㈰㉥挵㤷愸昱㑦㠰搸㙡ㅣ敥㌱〷愲扤扤㤱扥晥㜰㌸㙡挶〷㘲扤昱㠸搵㤳敥㑤㐵晢㔲㔶戲㍦㘹晣戴挲㥡敥〳搹ㅡ攸敢㌷ㄳ㠸敤㌱㤳戱晥㐴捣㑡昶つ㔸攱〱㥡㜵㈱㙥㕡㐵㐱㕦〰愲晦ㅤ㈰戴挳㈵扤㐸搲㑢㈴㜱攷㉡㕣㘴搰㘴㔵敦〴㄰㌵㥥㡤㘶㔴㤶攵㔷ㄹ晦ㅡ㐰㌰戴ㄳ㜰㕡㌵收摥㔴㈲㐵㡤改㌰搴ㄱ㠲㕦㠳慥挶〹ㄸ晡㡤㠳㠸㌴ㄳ〸㠸㌴〳つ愵搹搴㔰㥡㐹㈴㤲㜲摥〴〲㘹愶昰㈵搲㍣っ挴㤶㘶㈴㥡㡡っ㔸㌱㠸㈶㤱㡣挲搸㑤挰捣㐹㠶㝢〶晡㤲㝤㜸㑦㍢㥣㌰㤸挰戱㠷捣㔴戸㍦㍥〰㠳愸愷㍦摡ㅦ戱攲搱㘸㈴ㄵ㐹㈴攳戱扥㜸㌴ㅣ敢つ愵㥤散戵㐲ㅡ敤〷〸搱㑥㘷㠹扡㠹愴㘶㤲戸㕢ㄵ㔲㠵㑢㘵㐰ㄲ㘹晥ㅡ户㙣㉢搲㙣㘵ㄲ晥㌶㑢㌰㜴㈵ㄸ愶㤵收ㅥ㌷㔲愴ㄹ㘷㘹扣戹愹㘷㈳愹捡㈱ㄲ晦㌸ㅦ㘷〸㠸㝣戸扤ㄴ㘹扥㡣〲㉢㠳戴愲㥢㉦㠲㕡㍦㐸戹挹㤴㑡捣㐷㔶㤰收㔵〸〳挳ㄱ㌹愰愳㥢〳戱戰ㄵ挵戴㘹挵㝢愳〳挹㐸挲攲㐴㥡㐸愶〷慣㜸㕦慣㉦㙡㥣㔲㘱ㅤ㠸㈴㘳扤㠹㥥㜴㌲搱㌳㄰挵搶㈳ㄹ㡥㈷攲ㄱ扣㕤㥥散挳㙦㐰愴攳㈱㙥㔵㤹扤㕥〰愸ㄷ〲㠴㑡㉥㘹ㄱ㐹㡢㐹攲㝥ㄵ摦ㅥ㉥戵ㅦ㈴㤱收昳㕥㘹㜶㌱挹ㄹ〰挱㄰㜷㥥搳㑡㜳搲㡤ㄴ㘹づ㌱敢㐱㠲㜳㔸摡搵㙥攴㌲㠴㍡㥡〲敦㐱昸㠲改㡦㠳㍤昶晥㜲ㅣ㤴㔴扤㈰扤〶㉦㍣㑦㈲ㄷ㕦ㄳ㉥扣搸搷㐴㥡晤攷ㅦ㕦㕥㌴收㜸㍣挶㑦攰㔹戴晡昷挸〷㉤昲㔸㘰捣昱㜴㝣昴ち㔴㌵㜰〸㤱つて㘲㙡㝦挸挳晢㘳㉥㌴㌳㑥捡㡤㤶戰ㄳ挲敢㈱摢ち挳㤵㕦㤴㤹敤敥㤰㤶扢敦敤㉥㥤愲戸攷㥣㙥戲捤挵㑡㍡扣〷㡢㉤㌱㈲㤶昳㉤摦㤳愶㐲㥥㙢㌶㡢愶愸㜰㌵攳搰捤㑣扢㌹㤶戰㤹㙦昶㌷搵扤㘷㈱戶扦昳摢㌱扣㔷挳摣昰㑥晡㘸㥡搷㉣ㄶ㌵戸㘴戴㉡㔳㤶㑢㝡㙤㠸㔷晡㕡〸挷攸愶㤸㔶㉥㔹戳愴㍦昰㌴晡愱昶㝣㘱摡㈲慡愵捥〲㌹敢〵㜵ㄸ昹愹昷㈲㤶愲㔷晡㈰换攸戱换ㄸ㔹搲慦晥〱㘵戰ㅣ㔰挰ㅣ㈵昳晢挰攲㤲ㄴ㌷摦っ㌰戳捥昷㈳㄰〰㔲㘳昷扤㑡昵收㌳㈴搰户搸昹敥ㅡ敡扣扥㌶㐵敤㙤㝤㍢挵㍣攷扣攸攷㠳敡㐶愴㤸〷㙡敤ㅢ㤳摦㐰㈵ㅡ扥㥢昱昷㑥㐴敤㉢愳㈱㙥㜱㘵㤰㥥㡦㔶㜵㌴㈹敥㔳㌹摣搴摦㈱〵㜵㕣搴昲㐲㌶昹㔶㤰㙤昹㝣ㄴ㤸昱づ搰愴て〶搴㘳攰㜳摢ㅦ搴㐳㘴扥慤挲捣敤慢戱捡㘶ㅥ㔹㌲愰扥攲㌰㠳〲㘱慥㈶昳㕦㠰愵㈲捣㡦㌹〱ㄱ收敤〸ㅣ㥢㌰晦戲㌶㐵慤㌰㥦㔸昵戹晤㝦昳晡㈷㠶ㅥ晦攵搹㍢㍦晣戵搷〶搵㕤㐸搱㐸㤸㕦㐰㐵ㅢち昳昳㑥㐴敤敢愷敡ㅥ攴㠴㝦昸昱搱㉡搶㥦㥦㤰㙢〷慡晢摣攸ち㠵搱摣戲㐸て㙣㐰㈲昴挰挳〸㑢て㍣㡣㘲㉡㍤戰㠹㜲愲㌵㍦㔵搳敢㔹ㄲ愷㑦㜵晦㜴㌵扤捦㠹愸㝤㈵㈷昴㈵户搰㙤㜶愱㕦㜵ぢ扤挷㕢攸㜶ㄶ晡ㄸ愲散㙥㝦〴㤸㜱ㄹ㘸搲敤㍤敡戳攰㥤敡昶㍦㈲㌳㉤㜰㥢昹㔱㌲敦戴㤹㐷㤶昴愸㍢ㅣ㘶㔰搰敤敦㈶昳攳㘰愹㜴㍢㉤㜹㌷戳㑥ㅡ敡㐷搱敤慤㐳挸っ㑦㘸愸昳㥢㙥㡡㜷愹㌳㙥ㅡづ㍣㜷㙤㙤户ぢ攳つ户つ昵昲㈹㙤ㅣ㔲㑦㈳挵㤴㌰㉦㐳扣㉤捣㑦㌸㌲慢㝢扤攷攳㑥㐴摤敢㍤戴晣昱てㄷ㍡㕡攵㜶扢ㄲ㤳㥥搴慡摥愶ㄱ㉦扤㙤㠱ㄷ扤㑤㑢㕣㝡晢㔶攴㕥改敤摤ㄴ捦昳㠸㥡慡攰㔴㙦摦㍣㕤〵㍦攲㐴搴扥㘲ㄳ愲挱㉣㠵收敤㐲㘹昵㑡愱㌷㝡ぢ摤换㐲㕦㐰㤴摤㠱㌴㠵㡤㈲㘸搲摢扤敡㠳攰㜵㍢㈸愸换㘴愶愱㙡㌳搳ㄸ㌶昶搹捣㈳㑢㝡搵昵づ㌳㈸攸敤〳㘴㝥ㄱ㉣㤵摥愶挱敢㘶搶㐹㝢昶㈸㝡摢㌳㘳搲昸慤㑡搱戰户㝤㍦ㅤ扣㝦摤昳㔷捦扢晦昵㐱㐵㥢㜷㑡㤸㔳扤㝤㥤㈳戳扡摥㝥㥦ㄳ㔱晢扡㑥㠸昶戲〸昳㍤㘸ㄵ㝡昰㑤㠴㐵㤸㠷㤰愲搲㠳〷搹㘴㥡㥥戶㝣㘸〹ㅢ敦㐵㄰挲ㅣ㔹ㄲ㔳㝦㕣㈵㥦敢挸㑣㐳搶㘶昶〱㌳晥挴㘶㕥〳收㐹㠷㤹慡ㄵ搴敦㈷㌳敤摣㡡㌰㘹敦㔶㠴㐹㜳戶㑡㌴㐸㠴㘷㠶攵㠷戶㙦㔵㡡㕡㘱㕥昷挵挱扦ち慦摤㌹㌵㘳搲攴㙤㈴捣戲㈳戳㍡㘱㤶㥣㠸摡㔷㝦㐲㌴㤷㐵㤸ㅦ〲〲㘱搲收ㄵ㘱㕥㠵ㄴㄵ㘱摥〰慡愲㝤㙡换㠷㠶戰㜱ㄳ㠰〸㌳慡㜲㡥㝣㐰㠱㝣㙥挶㤷愲ㅤ㙢㌳搳ㄴ㌶㙥〱㄰㌵㡥慡㡣挳㙣ぢ昳捦挹㑣㌳户㈲㑣㥡扢ㄵ㘱㜶㌱ㅤ㜲㍤晡戵㥣愶㙦㔵㡡㕡㘱㝥昲挲ㄵ捦摣昶攳慦っ攲摣ㄶ捦慢㠳㡡ㄶ㙦㈳㘱愶ㅤ㤹搵〹㌳攵㐴搴扤㐶㐴㙢昹㐸慦ㄱ㜹㝥㈳愹ㄳつぢ㔸昴愵户㔹㌶㤹〶慥摣㑦捣挲㐳㔷㈸戶攳捡㝦ㄱ扦㔲戴〱㉦户攰愲㍦㝥ㄵ搰昱愲攳愵ㄷ摥搱㜰㉦㤵㙢〹㌱戱㘱㙤㉥攲㤶㜹㡢㌵㕡挲つ扣㜴㉢㝥㘵愵㡣㕦㔴挸㥦〸㉥㕢ㅣ㑡㜱愰攰㤱摢㔶晥㠶攷㐱㙢㄰摤搰㥡㤴㑢扥摤㔳昲㜰㙦㘱昹昹愶挰昱㌹㙣㡤㑦愰㍡㥥挳捣戴攷昵㤷㘶㤵㐰㉦摢㥢挳㠳扥挳㔲㙤㑣ぢ晡㜶㈴㤱㔷㔱㘵挱〱〸敡㑦㤱挴㘳㐱〱扥〰户㄰戵㙤攳〱摤㕡搰㝤㌵扦㈰搴搶挶〶扢㑦㌳捤攰㤹㉣㜰㡥㤹㤶摣㜸㠲㍦㜸摡㥡ㅢ捦㥡昹㕤攵摤㤵ㅦ㌹㠵晢ㅥ㉦㐹敢㑦㈳ㄳㄶ挵㡦愲慤捣㕣昵㘷〰㐸攱㐷搱搶愴戲ㅡ㜷〲㑣㉢㠱换ㅢ㑡攰㝦㈲㐹㡤〴敥㈶㘹㑡〲㡡搶㉡愵攰㍥㙡〸〱愹挵扤㐰ㄸ挱㡦㕡敤㔲敦昳㔰㐳㌴摤㘴㐶扡ㅦ㠸㝥㠰攰㐱㠰愰愲㜹㈶㤵㝥〸㐸㈷㜶㐴昲ㅢ㡡㕤晢戸㐹㉡昹搵㈶户戶摦㝥攸攰㔴㝦㍤捣昴㕣扡戹ㄴ〰愲扦晥㥡㈴㑦㙤㘹搹戱戶㘳户㝥㘹攸㜷扤敦ㅡ㔶㌴挹愴愰捦〳㜱㉦㈷㔵㉢挷㝡户㌰㥦㔷㌹扥〸晥ㅡ搱晣㉤㐹㥥挲㘸搱㔵㠹㠶㔶㥢㠸收㉢㐰昰㙦㡢㠶收㤹㔰扦敡愱㠶搲〸㠸㘸ㅥ〱愲ㅦ㈵㜸っ㈰愸㘸换戰挶㥡愲昱慢㤵㙥敤慡㐴昱〴ㄹ慡㐵昱㜵㤲㍣戵愳搹㔳㈵ち摡㉢㈲㡡㙦〰㤹㔶㔱〶摣昲慡愴昱㈴㌳攷㐲㍦㌵㔴㥥㈲挹㔳摥㕥㠴慢愴㐱慢㐶摡晤㡦㐰昰㙦㑢㠳收㡢㔰晦挹㑢攵昲㉦㜵晢㕦㐰愶慤摢㜹つ敢昶㉤㈴愹愹摢㌳㈴㜹敡㜶㄰攱慡扡㕤〷㠲搴攲㍢㐰昰㙦搷敤晤㉥昵扢㕥敡㠷㄰㤰扡晤㌳㤰㘹敢㜶㔶挳扡㝤ㅦ㐹㙡敡昶〳㤲㍣㜵扢〱攱慡扡摤っ㠲搴敤㕦㠱攰摦慥ㅢㄷ㔷愱晥ㅦて㌵㜰㍢〲㐷㍤挵挲㙣㍡摥攳愲攷㔰㡥攲攴挸㍣昴昳づ挲㐰攷愷㥤㐰㉢㈷戴㑥㑥㑤㈴㑢㐸㜱㝥㘱ㄵ昵て㐹扥摢㠹搳晦搷㐱㈴晤扤㑥挰㑥捦改㘳㉡晤晤〸㠹〵戳ㄸ搲愵〵㜳㈱戳昶ㅢ㡡㔳㠹㐴㉣㜲㈲㜸㠱戱ㄵ敦㉥㍣攸㐶㉣㜴㈲攸㈹搰㍦㘱慥㥣㍥愴㌲㍦㘵㠸㌳〷ぢ搲㉦〰挱扦㝣ㄴ㐷扤昰晣㍢愳㌹攰㠵攷㐵〷㤱ち㜳㜰㔷慡搸挹㐱㕤〹㈹づ㘶愹搷扣㥡ち㍦敡㐶捣慤愹㌰〷扤愴㤸攳慤昰㉢捣㤵㠳㕣㉡昳㉡㐳ㅣ摦㔲㤹搷㠰攰㕦㍥敡㐹㘰挲昳㜳㐶㍦㐵挰㐶扤敥㈰っ㜴㜲晣㔵慡搸挹㜱㔷〹㈹づㅥ㐹晦ぢ㤲㌹㙥㈴晤㉦ㅤ㐴搲㜳㡣㔴㔲㜴㜲㙣㔴㐲㡡ち㉥改摦㈰㤹扡㉤改㝦攵㈰㤲㥥㝡㕣㐹搱㐹晤慤㠴搴㜳㙥ち㜷㘳㠷ち晢㐲㔴㌰㤹ㅣ㝦つ〴㤶慣愸て摢㔵挵㐵㌵ㄲ慥晦ㄴ慥㑥昶昲づ㜰昹て愸搴ㄵ改㉢慥昸㡦捥收慥㠵捤㤷つ戵摦晡摣㤳㍦扣改㤹㥤㉢㝦昲摢㡦㝤散㤹ㅦ摤昴搴㙦扦㥣㕣昹昷㥦晡搴ㄳㄷ㝤昲愹ㅦ捥戱㙥昷晦捤㝦㙣戸晤㥡挸㥥㙢慥戲㉥㕤戶敥㥡换慦扣㈴戲㘵昶昲愶愶㤶㤶戳收㝥攳㤴戳㐳〷慦晡㠲㝡散㝢㈷攷㤵㈸づ慢昱㕢㤴挴㐷づ搹愹㐰㔲㡤摦〱搱㙦〲㜴昸㤵攸て㌸慡㙢㑣㍤ㄲ㔶敥㙣㍢㥡㍡搹捤㝦搰ㅡ㡢收戰ㅡ㡡愳ㄳ㡦搴㤸ㅡ㈴搵昰㠳慡昱扥㈲㙢㉣ち〴㡥敡ㅡ㔳㤱㠴㤵扦敤㡤㥥㄰㌵愹攳愲扡〸㔷㡢捤㈵捡㐰㉥ㄹ搴㐰昸㠴愸ㄴ挲挵㥦㘹㐷㕥散㕣㔱晤㌷㝥㙢㡦敥㔵攰㙡挵搵㉡昶愷㐴晣戲㍡㈲㐴戹㌳㠷㡥㘶㐵㘱ぢ捦㉦慡㜹ㄴ㍢㐰㈲㕥㜷㈲攴㉥捡㉣ㄴ㠹㥦攱㜴愲㕥慢㑥ㄳ愲㜴㥣㝣㈹ㄲ㐹晥㙡㌵て摥愰㜷㈲㕥昱收㍢〷㔴㐵搹㐸㥡㤷㙢搲㔰ㅣㄲ昱㔲㜵㐴挸㤵㡢愲㈸㠴攳挵㙡づ挵ち换挰㥡て㐴戱ㄸ〹㥤捣㤰㤰㈰㠶㑡㔷㜱换愳㈴捡㑢攵㥥愴敤晦〱㘴摤摢ㄱ</t>
  </si>
  <si>
    <t>㜸〱捤㔸㕤㙣ㅢ㔹ㄵ㥥㍢昶搸ㅥ挷㙥摤扦敤摦㙥搷摡㉤敡㉥愹摣㌸㘹攸捦㔲敤挶㜶攲㘴㐹㤳㙣敤愶〲㠴㠶戱攷㍡㥥捤晣㠴㤹㜱ㄲ㉦㑦㐸ㄵて㍣愰㈲㈱㄰㙦晣㐹㠰〴㉢搰㍥愰慥㔸㈴昶〵㡡㐴㈵㜸㐰扣㠰㠴戴ㄲ㕡戴㍣昰〰㠸㠷愵㥣敦㡥㥤搸㡥戳摢㠶㈰㜵摡㥣摣㝢捦扤攷㥥㝢敥㌹摦㌹㌷ㄲ㤳㈴改〱㝤昸㡤㉦㡡挶㤳㤵戶ㅦ㜰㍢㔷㜴㉤㡢搷〳搳㜵晣摣㤴攷改敤㜹搳て㈲㌴㈱愶㤹挴昷ㄵ捤㌷㕦攳〹㙤㥤㝢㍥㑤㔲㈴㈹㤱㔰㘵攲㜷㝦㌲摤㠶㡡㔵㙡㤴㐸㡡㘶㐹搵㘲㘱戱昶㉡㠹慥〴慥挷捦㘷㤷㐳〱搷昲昹㕣㍥㜷昱㔲晥㘳戹戱昳搹㘲换ち㕡ㅥ扦收昰㔶攰改搶昹散㔲慢㘶㤹昵㑦昰㜶搵㕤攵捥㌵㕥ㅢ㥢愸改ㄷ㉦攷㉦㑥㑥㌶慥㕣戹㥣㡡㤱攴愵㘲㘱㤶㕢㙢㈴㙦扦愴挶㐹敡㐲戱戰攴昱挶㝥挹㔴㘰㡤㝣㠹搷㑤㤸㡤㜳捦㜴㔶㜲挵〲晤敦戱ち昵㉥攵ㄶ㉢ㄵ敥昸㘶㘰慥㥢㐱ㅢ㤶㔳敤挵㝡㙤㔹户㕡㍣㘶ぢ㤵ㄲ昶戲敥㉤攸㌶㑦摢㌷㝤㝥㐳㜷㔶㌸㝡㡡㕤㙥㤹㐶㤴慥㌳昲晣戰㡤㍡㐶捡㉤ㄶぢ挵愶敥〵愱㐸摡攰挲戰搹㘲愷㕣㡦㉡㘲㡤ㄸ㠵㜹搸㐸挷㘱戰愷搰㌲〱㔵㔵㈲戱㈴㤱㈳㍤㉢戳㘲㘹㌶捦愲晦㈰户敢㕤㌸㐲㌳㘵㑤㤷戵㥡慣搵㘵捤㤰㌵㉥㙢つ㔹㕢㤱戵愶慣㤹戲昶慡慣慤搲㥣敥㤷㠸挷攵捥㜷晦㤷摥愱搳改㜳昳㜷扥昴愷晢㍦㠹㉦ㄶㄸ㍣㑤戸㕣㡡ㅡ㙡㥡㐸散〰㤱㈱㡡㡣㌳昶㜷㔲〴捡㝣昶㡢昳㕦ㅥ扢戳㍣晢摤慦㥦戰㤲昷慥摣㑡㘵㘸挹〲㔹㈸户挰㠳㝤㜲㈷〵㤶㜹昸ㅢ㠱晡㡡ㅤ㕥㘸㠹晢㜵ㄵ户㍤攷ㄸ㝣㌳㐶㉤昲㠲㤴㕤㜴㥤㠰㙦〶㈵㍤搰攳昶㤲敥㜱㈷㔰㘹搲愸㔸ㄵ戶戰㌲㉤挶扡慢㤳㥤ㅥ㐹挸㠸㘶㡦㤴ㄱ㌱㄰㑡㘲〴〷㤱㘸㐸ㄳ戱㘱戸㌰慢晢捤㐰慦㔹晣散㠰攳挰㙥攴慢㌷〳搳昲㜳㈴戲散戹慤㌵㔸㜴扦攴㈰摣㔵戸㔷散㌰ㄱ㠱㘲昸㑤ㅢ扣愴ㅥ愱㕦㐹挱㔴挱愴换㝤〰捥㌶㉦㜵㥣㍡愴㘲挹戵㜵搳搹愷换㑤㥤㈰愱慦㜴㘲愱攴改ㅢㄴ搷摢愲挷㜳㘳昸昷攱挰㐶戸搶㤸㙣㕣㙡攴昳挶攴㤸㍥愱㉢〸愴㐷㡤换愳戴㈶㘵摦㌲ㅤ挳摤㄰㠱㝡搸愶㈸ㄴ挱㔷㙤慦㜱㌱㤴㙡㔴㜵㙦㠵㔳昰㝢㜳愵愳㡤愲敢㜹摣搲〳㙥㠸〱㠰晤昱晥㐱㝦挶㜳㙤㡣㍦㔹搰㝤扥つ〲愳㡤㜰愳㠲摢㜲っ晦昴㜰㘶㈵㈰搱愷〶㜹摢㐲㜶㉣慢㄰㌰㜲㕦㘸㝡㘶㜰㤹㜰晥愹㑤㌳㘴㍦㌵挰㈶㘸㜴㙢扢㜳㘷㍣晥戹㉤敥づ㡤愶㈸攳慤㜳昰㜷㥣㌲㘴㠵㝡ㄱ㤰戹㍥㜷㠴㝡愳昶㤲㔹㕦攵㕥㠵㈳㕦㜲㐳ㅣ昵ㄸ㔸㥣攲戱捥晤搱㐵㤸㥥戰搹㜸愶㜷戴㌱扤ㄹ㜰㡡㘶㠳昴愵㥣ㄵ戴慢㠸愴㈷晡愶㠴㝢ㄲ攳㘴摦昰㡣㕢㙦昹㠸㕡捦戵晡㌹㔳挶扡㑥㝢ㅡ搷㕤㠳㐷愳㜲㐴㡡㑡㔱㝣ㄲ攵㠲〸㠵昲搸㐰愰㡡挴〳搹㝥㉦挲昷㜸づ㈰㝥攲愱ㄶ昵扢ㄷ搶つ㠳㡣慤㔲㠲㥤攸㡦㤵摣つ戲ㅥ㔹挹攲〸㈴㜹㄰㔱㝡ㄴ摤昶ㅡ㙣㌲ㄴ㑦挳ㄳ昵搸っ㝥㡢搹捦敤㝥ㄴ㈱㜶换㌳晥扦㤳㘵昹㐸攷昴搳敢㠴搹戳扡㘳㔸摣晢㘰㝢㐱㈳昵㈴挸㈹㤰搳㐴㤲㤲昲づ愱摢慥㤶㐴㈶㘴㥢慣慤㙣㤸㐶搰㡣㌵戹戹搲っ㘸㡣㑡戵㐴〲㘶晥捡晢てㅥ慣㄰捣晦㥡㝥摥㐵昵愷㍥〵㜲㠶㐸㌲㤹㤴〴㝥挶㤲㙡㔶昴㈵㠶㡣㈴戲㍢昲改㑥㜰㝤ㄶ搳搴て攰㌱㈴㘳〰㥡㝡づ攴㌹㤰攷㠹㈴㈵昶㝢㍡〷捥㜲㤷㌴晡㉢㘹㜲㙦㑢愳㔱捣㍡㡦㔹㍤ㅡ攵愸ㅦ扢㐰㈴㕥收づ愷ち㌱挹愲挰晤㘱㈶摣捡㔲戰㘰㜲摥搵㡤ㄹ扤㑥戵㘷扣㔳㜹㈶㡡慥扤㐶戹搳换㘰㘶㤱㈲㠷㈲㜲摤㌴戸㤷挰㐰㠵捡摣㈸ㄵ㥥㝥㑣攰㡥㑦㐹㌱㈲㈹捡㐸㘲搸㕥㜳㕤㔹㘷㍢昷摢㕢㐶捦敤㤰晦摥㉢㤷㕦㐴㤹㥣㑣㡡㠲㘵㡣㥡㙡㥥㠸㠲㝢㝥攴㔸㍤㐸㡢㥥戰㉢㑤㜷㘳㤶㉥㥡晢㘱㘱攷ㄷ㍤㌳㌸扥㜳㤸㤲扣㙥㥦ㄴ攳㘵㡦ㄳ㍣㝢㔵㐲㈹㜱㐶慣㌸㌵㤴㈳ㄶ㥤ㄲ愱搲〳ㄲ愳㡤㘵㤳㙦㈰戵㍣扤㤳㐵㤵㘹戱攵〷慥愸㐹捥散攴㤷摣〵㌷㈸㤹晥㥡愵户捦づ㘱㠷㥣㕢㑤敥㄰戲㝡〴戰ㅦ㌶挹㕤㕢攳挶㄰ㅤ㉢㙥换慢昳戹搲攳㠰捤㜴㔳攱挷〴㉣戳〴㡢挹㡣扥扤挱〲㠳扢㐸㥦㍦晡㝡昹捦慦摤㝥㌱㐶㘰捦㈸㔸㈸㕣ㄴ㐰挵㕥攰ㅢ㐱㥡敥㉢ㅡ㡥攱㠹㜱㥤㥥㘵收㥡挵ぢ扡㐷㡥敤㝡扥㙡㜷㥢愱攳昵ㄴ晢㘱戴㍣づ挶愶ㅣㄸ㘶扦摣敥攸摦愳戸昰㐱㌸㌳昰㠲ㅤㅤ㐸㔳攲摣挰捥㍤摥㤵㜲㥦㔰敥ㄱㄵ〱㌲挷搷㔱昲㙢㥡㤴㠰㕡昸㤸昲ㅢㄲ㌵㔴㍦〰㝦搴挱㔳㔰慣㑡慥㍡敥㠶㈳㌴㔷㝣㔴㘲〲敡攳㜱ㅣ〳㐵戴昸㈶扢㙥㈳㈹挸㉤愳挳㙣ㄵ㔶捣㕢㙦搵㌹㠳㤲㔷攷㜱㥡挲攳戴敡㜱昱〲㑤㠸づ㤹㌰㙤摦㜲扤搵㥡敢慥攲ㅤ㜳㐰昴晣㈶攷〱㕥㡢㈳㜶昸攴㐵㥢㝣㍦ㄲ改㝢ㄱ㜶散づ㈶敡昵㌰ㄷ㑤㔲㉢㌲攳搵㐵㡦摤愳昳攳昱昶挳㍦㝣攱㡤搷㍦晤扢改㌷摦扤㝦愱晤摢㘷扥挳㝥搵㘱扣户慥㙤扣晤㤱㡤㤷扦㜶攰愳㝦晣摢扦㤴㌷ㄴ愴户㠷㉡㉤昰㔸㌹搸搸挲慥慡ㄹ㔸㝣愴ㄱ扡〶摡㠹〶愱ㄱ㤵㝤㐶扣㔱㙤搲愹㑢改㐶搹㌳つ换㜴㌸㕣㠷ち㙡扣慣攷昹ち㤵㜸㑢㉥㕥昱慥㤳㙥㔴㍤摤昱㤱㙢㥣㝡晢㜰㕦㑦㐴㡢搲㈸㤸㡥㑦摢〸扣㐴晢㘰〳㜰㑥㌷搷戲㥤戲扥收㍦づ攱㐴㝥搲晤㐲昰㤲㤹㉣戳㠴㥣搸㘳㐴㐸戱㉢㈴敦㔰㑦〴㕥捤㑥㉦ㄵ慡㔴〵捡〲搹攴㜱散ㄷ〲ㅡ㑡㤳㠷㉦昹愰㘹㑡晣慤愴㔳㡢㐷㠶㈵敤慤㥡ㄴ㤱愵㕥㈵挲戲㈰昴愳扥搰㘹愰挳㔰攰愰捡ㄸ㐸摢ㅦ愷㈱昵ㅡ㈶㥣㈳〲㉣摥ㄵ㤰ㄹ㙡ㅥ㠰㌲㝢㥢㕣ㄴ㔰㐰㙤㠹戱㕦㔰ぢ搱㍣㈴ㅡㄹ㉡㈴㐴愴昰㜹ㄵㄱ㄰㝡晦㕢㌴㝦愸昷晦慣挳昸戹昳㤷ㅢぢ㤹昱改㥦摥㝥昶㤳愷㡦摤昸㉡㐳㈹㠵〸㘰戱㘹愲搹㍥㡢㤷㘷换㔹㙥㥢㍥晥㉡㤵㙤㠸〲㘹搸〵㌰㔴㘲戸〴㜵〶㠲㔰㠷〹㍢㤵㍢つ㜴㌲愸㘳㔰搶挴㘶㠹ㅣ㉡ㄶ戴㌰捥扢㜰ㄱ㥢愳攱〳㌴摣㔳愰㘷㔰昶㘰㡤晡㌲〸昲てㄳ㌷㠱摥㍣㤱敥㤷挱㡤〰摦搴敢㐴搲㤱っ慣㉦ㄶ㘲㌳ㄵ愲㌳戸ぢ㌱戴㠴㈱ㄴ㥤㑣㘸㡢㕥㥦㉣㘸㉤㘴㔵愸㤱㡥㌰散つ㔳挷挸昹愴昴㤴㘵㘵扢昰攵挷㙥㘲愸晦㑦㘶换㌴㜴㤲㥥㕡㉤㡢㙢攳㥡捤〳摤捡扡㥢㔴㌹收㌶㉤㝦㤳晤愰㜳て晦㝣㘷攲㍦晦㕥扡㍢㝢晢挷戵扢㙦晤攸捥㙤昶晤づ㘳昰㑦㔷㤹慥㜲ち捥昶挲㌰〴摥昱戲ㄹㅤ㝣㐶㑥搳戳戰㡤搳㐷愸㘸㔵〴慥㐴攵慢㝢㤳搵捤㠲〸っ攵㝢愴昵晦㈰〷㥥搱㥦挴㥥愶ㄱ昵㔳㐴ㄸ敥㐹戸㌸散慥挲搲㉡㙣换扥扤㥢〵扦搵㘱っ晥搹㡥攱㈲㘱㍣昶㑤㥡〱㡤挵㈶㍡㡤㈸搸㘹㌰㕢愲戸㥦㠱戱〶㥥㐸㈳㈳挸㡤㤵㙦扣昹搲晢ㄳ㥦㤹㘲㔸㡦攵摤㠱㤱晦〲㥡㠸㈷戵</t>
  </si>
  <si>
    <t>UV/O₃ cleaning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</si>
</sst>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E+00"/>
    <numFmt numFmtId="165" formatCode="0.0"/>
    <numFmt numFmtId="166" formatCode="0.0%"/>
    <numFmt numFmtId="167" formatCode="0.000%"/>
    <numFmt numFmtId="168" formatCode="0.000"/>
    <numFmt numFmtId="169" formatCode="0.0000"/>
  </numFmts>
  <fonts count="10">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9C0006"/>
      <name val="Calibri"/>
      <family val="2"/>
      <scheme val="minor"/>
    </font>
    <font>
      <sz val="11"/>
      <color rgb="FF006100"/>
      <name val="Calibri"/>
      <family val="2"/>
      <scheme val="minor"/>
    </font>
    <font>
      <sz val="9"/>
      <name val="Calibri"/>
      <family val="3"/>
      <charset val="134"/>
      <scheme val="minor"/>
    </font>
    <font>
      <sz val="11"/>
      <color rgb="FFFF0000"/>
      <name val="Times New Roman"/>
      <family val="1"/>
    </font>
    <font>
      <sz val="11"/>
      <color theme="0"/>
      <name val="Calibri"/>
      <family val="2"/>
      <scheme val="minor"/>
    </font>
  </fonts>
  <fills count="11">
    <fill>
      <patternFill patternType="none"/>
    </fill>
    <fill>
      <patternFill patternType="gray125"/>
    </fill>
    <fill>
      <patternFill patternType="solid">
        <fgColor rgb="FFFFC7CE"/>
      </patternFill>
    </fill>
    <fill>
      <patternFill patternType="solid">
        <fgColor rgb="FFC6EFCE"/>
      </patternFill>
    </fill>
    <fill>
      <patternFill patternType="solid">
        <fgColor rgb="FF00FF00"/>
        <bgColor indexed="64"/>
      </patternFill>
    </fill>
    <fill>
      <patternFill patternType="solid">
        <fgColor rgb="FF00FFFF"/>
        <bgColor indexed="64"/>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theme="9"/>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8">
    <xf numFmtId="0" fontId="0" fillId="0" borderId="0"/>
    <xf numFmtId="0" fontId="5" fillId="2" borderId="0" applyNumberFormat="0" applyBorder="0" applyAlignment="0" applyProtection="0"/>
    <xf numFmtId="0" fontId="6" fillId="3"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cellStyleXfs>
  <cellXfs count="122">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horizontal="center"/>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164" fontId="0" fillId="0" borderId="0" xfId="0" applyNumberFormat="1"/>
    <xf numFmtId="164" fontId="1" fillId="0" borderId="0" xfId="0" applyNumberFormat="1" applyFont="1" applyAlignment="1">
      <alignment horizontal="center" vertical="center"/>
    </xf>
    <xf numFmtId="164" fontId="3" fillId="0" borderId="0" xfId="0" applyNumberFormat="1" applyFont="1" applyAlignment="1">
      <alignment horizontal="center" vertical="center"/>
    </xf>
    <xf numFmtId="0" fontId="0" fillId="0" borderId="0" xfId="0" applyAlignment="1">
      <alignment horizontal="center"/>
    </xf>
    <xf numFmtId="0" fontId="2"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9" fontId="1" fillId="0" borderId="0" xfId="0" applyNumberFormat="1" applyFont="1" applyAlignment="1">
      <alignment horizontal="center"/>
    </xf>
    <xf numFmtId="165" fontId="0" fillId="0" borderId="0" xfId="0" applyNumberFormat="1"/>
    <xf numFmtId="9" fontId="0" fillId="4" borderId="0" xfId="0" applyNumberFormat="1" applyFill="1"/>
    <xf numFmtId="10" fontId="0" fillId="4" borderId="0" xfId="0" applyNumberFormat="1" applyFill="1"/>
    <xf numFmtId="0" fontId="0" fillId="4" borderId="0" xfId="0" applyFill="1"/>
    <xf numFmtId="0" fontId="0" fillId="5" borderId="0" xfId="0" applyFill="1"/>
    <xf numFmtId="10" fontId="0" fillId="0" borderId="0" xfId="0" applyNumberFormat="1"/>
    <xf numFmtId="0" fontId="2" fillId="0" borderId="0" xfId="0" applyFont="1"/>
    <xf numFmtId="0" fontId="0" fillId="0" borderId="0" xfId="0" quotePrefix="1"/>
    <xf numFmtId="166" fontId="0" fillId="0" borderId="0" xfId="0" applyNumberFormat="1"/>
    <xf numFmtId="9" fontId="0" fillId="0" borderId="0" xfId="0" applyNumberFormat="1" applyAlignment="1">
      <alignment horizontal="center"/>
    </xf>
    <xf numFmtId="2" fontId="0" fillId="0" borderId="0" xfId="0" applyNumberFormat="1" applyAlignment="1">
      <alignment horizontal="center"/>
    </xf>
    <xf numFmtId="167" fontId="0" fillId="0" borderId="0" xfId="0" applyNumberFormat="1"/>
    <xf numFmtId="9" fontId="0" fillId="0" borderId="0" xfId="0" applyNumberFormat="1"/>
    <xf numFmtId="0" fontId="1" fillId="0" borderId="0" xfId="0" applyFont="1"/>
    <xf numFmtId="2" fontId="0" fillId="0" borderId="0" xfId="0" applyNumberFormat="1"/>
    <xf numFmtId="168" fontId="0" fillId="0" borderId="0" xfId="0" applyNumberFormat="1"/>
    <xf numFmtId="168" fontId="0" fillId="0" borderId="0" xfId="0" applyNumberFormat="1" applyAlignment="1">
      <alignment horizontal="center"/>
    </xf>
    <xf numFmtId="165" fontId="0" fillId="0" borderId="0" xfId="0" applyNumberFormat="1" applyAlignment="1">
      <alignment horizontal="center"/>
    </xf>
    <xf numFmtId="166" fontId="5" fillId="2" borderId="0" xfId="1" applyNumberFormat="1"/>
    <xf numFmtId="0" fontId="0" fillId="0" borderId="0" xfId="0" applyAlignment="1">
      <alignment horizontal="center" vertical="center"/>
    </xf>
    <xf numFmtId="164" fontId="9" fillId="6" borderId="0" xfId="3" applyNumberFormat="1"/>
    <xf numFmtId="164" fontId="9" fillId="6" borderId="0" xfId="3" applyNumberFormat="1" applyAlignment="1">
      <alignment horizontal="center" vertical="center"/>
    </xf>
    <xf numFmtId="0" fontId="9" fillId="6" borderId="0" xfId="3" applyAlignment="1">
      <alignment horizontal="center"/>
    </xf>
    <xf numFmtId="0" fontId="9" fillId="9" borderId="0" xfId="6"/>
    <xf numFmtId="0" fontId="9" fillId="10" borderId="0" xfId="7"/>
    <xf numFmtId="0" fontId="9" fillId="7" borderId="0" xfId="4"/>
    <xf numFmtId="0" fontId="9" fillId="6" borderId="0" xfId="3"/>
    <xf numFmtId="166" fontId="6" fillId="0" borderId="0" xfId="2" applyNumberFormat="1" applyFill="1"/>
    <xf numFmtId="166" fontId="5" fillId="0" borderId="0" xfId="1" applyNumberFormat="1" applyFill="1"/>
    <xf numFmtId="0" fontId="5" fillId="0" borderId="0" xfId="1" applyFill="1"/>
    <xf numFmtId="0" fontId="9" fillId="7" borderId="0" xfId="4" applyAlignment="1">
      <alignment horizontal="center" vertical="center"/>
    </xf>
    <xf numFmtId="164" fontId="9" fillId="7" borderId="0" xfId="4" applyNumberFormat="1" applyAlignment="1">
      <alignment horizontal="center"/>
    </xf>
    <xf numFmtId="0" fontId="9" fillId="9" borderId="2" xfId="6" applyBorder="1"/>
    <xf numFmtId="0" fontId="9" fillId="6" borderId="1" xfId="3" applyBorder="1"/>
    <xf numFmtId="169" fontId="9" fillId="10" borderId="2" xfId="7" applyNumberFormat="1" applyBorder="1"/>
    <xf numFmtId="168" fontId="9" fillId="10" borderId="2" xfId="7" applyNumberFormat="1" applyBorder="1"/>
    <xf numFmtId="2" fontId="9" fillId="10" borderId="2" xfId="7" applyNumberFormat="1" applyBorder="1"/>
    <xf numFmtId="9" fontId="9" fillId="10" borderId="2" xfId="7" applyNumberFormat="1" applyBorder="1"/>
    <xf numFmtId="168" fontId="9" fillId="8" borderId="2" xfId="5" applyNumberFormat="1" applyBorder="1"/>
    <xf numFmtId="9" fontId="9" fillId="8" borderId="2" xfId="5" applyNumberFormat="1" applyBorder="1"/>
    <xf numFmtId="0" fontId="9" fillId="8" borderId="2" xfId="5" applyBorder="1"/>
    <xf numFmtId="169" fontId="9" fillId="7" borderId="2" xfId="4" applyNumberFormat="1" applyBorder="1"/>
    <xf numFmtId="168" fontId="9" fillId="7" borderId="2" xfId="4" applyNumberFormat="1" applyBorder="1"/>
    <xf numFmtId="2" fontId="9" fillId="7" borderId="2" xfId="4" applyNumberFormat="1" applyBorder="1"/>
    <xf numFmtId="0" fontId="9" fillId="7" borderId="2" xfId="4" applyBorder="1"/>
    <xf numFmtId="0" fontId="0" fillId="0" borderId="0" xfId="0" applyNumberFormat="1"/>
    <xf numFmtId="0" fontId="9" fillId="9" borderId="0" xfId="6" applyAlignment="1">
      <alignment horizontal="center"/>
    </xf>
    <xf numFmtId="0" fontId="9" fillId="10" borderId="0" xfId="7" applyAlignment="1">
      <alignment horizontal="center"/>
    </xf>
    <xf numFmtId="164" fontId="9" fillId="7" borderId="0" xfId="4" applyNumberFormat="1" applyAlignment="1">
      <alignment horizontal="center" vertical="center"/>
    </xf>
    <xf numFmtId="0" fontId="9" fillId="7" borderId="0" xfId="4" applyAlignment="1">
      <alignment horizontal="center"/>
    </xf>
    <xf numFmtId="0" fontId="9" fillId="6" borderId="0" xfId="3" applyAlignment="1">
      <alignment horizontal="center" vertical="center"/>
    </xf>
    <xf numFmtId="164" fontId="9" fillId="7" borderId="0" xfId="4" applyNumberFormat="1"/>
    <xf numFmtId="164" fontId="2" fillId="0" borderId="3" xfId="0" applyNumberFormat="1" applyFon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xf numFmtId="164" fontId="9" fillId="7" borderId="6" xfId="4" applyNumberFormat="1" applyBorder="1" applyAlignment="1">
      <alignment horizontal="center" vertical="center"/>
    </xf>
    <xf numFmtId="164" fontId="9" fillId="7" borderId="7" xfId="4" applyNumberFormat="1" applyBorder="1" applyAlignment="1">
      <alignment horizontal="center" vertical="center"/>
    </xf>
    <xf numFmtId="3" fontId="9" fillId="7" borderId="7" xfId="4" applyNumberFormat="1" applyBorder="1" applyAlignment="1">
      <alignment horizontal="center" vertical="center"/>
    </xf>
    <xf numFmtId="168" fontId="9" fillId="7" borderId="7" xfId="4" applyNumberFormat="1" applyBorder="1" applyAlignment="1">
      <alignment horizontal="center" vertical="center"/>
    </xf>
    <xf numFmtId="168" fontId="9" fillId="7" borderId="8" xfId="4" applyNumberFormat="1" applyBorder="1"/>
    <xf numFmtId="3" fontId="0" fillId="0" borderId="4" xfId="0" applyNumberFormat="1" applyBorder="1" applyAlignment="1">
      <alignment horizontal="center" vertical="center"/>
    </xf>
    <xf numFmtId="168" fontId="0" fillId="0" borderId="4" xfId="0" applyNumberFormat="1" applyBorder="1" applyAlignment="1">
      <alignment horizontal="center" vertical="center"/>
    </xf>
    <xf numFmtId="168" fontId="0" fillId="0" borderId="5" xfId="0" applyNumberFormat="1" applyBorder="1"/>
    <xf numFmtId="164" fontId="9" fillId="9" borderId="9" xfId="6" applyNumberFormat="1" applyBorder="1" applyAlignment="1">
      <alignment horizontal="center" vertical="center"/>
    </xf>
    <xf numFmtId="164" fontId="9" fillId="9" borderId="0" xfId="6" applyNumberFormat="1" applyBorder="1" applyAlignment="1">
      <alignment horizontal="center" vertical="center"/>
    </xf>
    <xf numFmtId="3" fontId="9" fillId="9" borderId="0" xfId="6" applyNumberFormat="1" applyBorder="1" applyAlignment="1">
      <alignment horizontal="center" vertical="center"/>
    </xf>
    <xf numFmtId="168" fontId="9" fillId="9" borderId="0" xfId="6" applyNumberFormat="1" applyBorder="1" applyAlignment="1">
      <alignment horizontal="center" vertical="center"/>
    </xf>
    <xf numFmtId="168" fontId="9" fillId="9" borderId="10" xfId="6" applyNumberFormat="1" applyBorder="1"/>
    <xf numFmtId="164" fontId="9" fillId="9" borderId="6" xfId="6" applyNumberFormat="1" applyBorder="1" applyAlignment="1">
      <alignment horizontal="center" vertical="center"/>
    </xf>
    <xf numFmtId="164" fontId="9" fillId="9" borderId="7" xfId="6" applyNumberFormat="1" applyBorder="1" applyAlignment="1">
      <alignment horizontal="center" vertical="center"/>
    </xf>
    <xf numFmtId="3" fontId="9" fillId="9" borderId="7" xfId="6" applyNumberFormat="1" applyBorder="1" applyAlignment="1">
      <alignment horizontal="center" vertical="center"/>
    </xf>
    <xf numFmtId="168" fontId="9" fillId="9" borderId="7" xfId="6" applyNumberFormat="1" applyBorder="1" applyAlignment="1">
      <alignment horizontal="center" vertical="center"/>
    </xf>
    <xf numFmtId="168" fontId="9" fillId="9" borderId="8" xfId="6" applyNumberFormat="1" applyBorder="1"/>
    <xf numFmtId="0" fontId="9" fillId="7" borderId="9" xfId="4" applyBorder="1" applyAlignment="1">
      <alignment horizontal="center" vertical="center"/>
    </xf>
    <xf numFmtId="164" fontId="9" fillId="7" borderId="0" xfId="4" applyNumberFormat="1" applyBorder="1" applyAlignment="1">
      <alignment horizontal="center" vertical="center"/>
    </xf>
    <xf numFmtId="3" fontId="9" fillId="7" borderId="0" xfId="4" applyNumberFormat="1" applyBorder="1" applyAlignment="1">
      <alignment horizontal="center" vertical="center"/>
    </xf>
    <xf numFmtId="168" fontId="9" fillId="7" borderId="0" xfId="4" applyNumberFormat="1" applyBorder="1" applyAlignment="1">
      <alignment horizontal="center" vertical="center"/>
    </xf>
    <xf numFmtId="168" fontId="9" fillId="7" borderId="10" xfId="4" applyNumberFormat="1" applyBorder="1"/>
    <xf numFmtId="164" fontId="1" fillId="0" borderId="9" xfId="0" applyNumberFormat="1" applyFont="1" applyBorder="1" applyAlignment="1">
      <alignment horizontal="center" vertical="center"/>
    </xf>
    <xf numFmtId="164" fontId="0" fillId="0" borderId="0" xfId="0" applyNumberFormat="1" applyBorder="1" applyAlignment="1">
      <alignment horizontal="center" vertical="center"/>
    </xf>
    <xf numFmtId="3" fontId="0" fillId="0" borderId="0" xfId="0" applyNumberFormat="1" applyBorder="1" applyAlignment="1">
      <alignment horizontal="center" vertical="center"/>
    </xf>
    <xf numFmtId="168" fontId="0" fillId="0" borderId="0" xfId="0" applyNumberFormat="1" applyBorder="1" applyAlignment="1">
      <alignment horizontal="center" vertical="center"/>
    </xf>
    <xf numFmtId="168" fontId="0" fillId="0" borderId="10" xfId="0" applyNumberFormat="1" applyBorder="1"/>
    <xf numFmtId="164" fontId="1" fillId="0" borderId="6" xfId="0" applyNumberFormat="1" applyFont="1" applyBorder="1" applyAlignment="1">
      <alignment horizontal="center" vertical="center"/>
    </xf>
    <xf numFmtId="164"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0" fillId="0" borderId="7" xfId="0" applyNumberFormat="1" applyBorder="1" applyAlignment="1">
      <alignment horizontal="center" vertical="center"/>
    </xf>
    <xf numFmtId="168" fontId="0" fillId="0" borderId="8" xfId="0" applyNumberFormat="1" applyBorder="1"/>
    <xf numFmtId="164" fontId="4" fillId="0" borderId="3" xfId="0" applyNumberFormat="1" applyFont="1" applyBorder="1" applyAlignment="1">
      <alignment horizontal="center" vertical="center"/>
    </xf>
    <xf numFmtId="164" fontId="9" fillId="7" borderId="9" xfId="4" applyNumberFormat="1" applyBorder="1" applyAlignment="1">
      <alignment horizontal="center" vertical="center"/>
    </xf>
    <xf numFmtId="0" fontId="9" fillId="7" borderId="0" xfId="4" applyBorder="1" applyAlignment="1">
      <alignment horizontal="center" vertical="center"/>
    </xf>
    <xf numFmtId="164" fontId="9" fillId="7" borderId="6" xfId="4" applyNumberFormat="1" applyBorder="1" applyAlignment="1">
      <alignment horizontal="center"/>
    </xf>
    <xf numFmtId="164" fontId="9" fillId="7" borderId="7" xfId="4" applyNumberFormat="1" applyBorder="1" applyAlignment="1">
      <alignment horizontal="center"/>
    </xf>
    <xf numFmtId="0" fontId="0" fillId="0" borderId="0" xfId="0" applyNumberFormat="1" applyAlignment="1">
      <alignment horizontal="center"/>
    </xf>
    <xf numFmtId="164" fontId="9" fillId="9" borderId="0" xfId="6" applyNumberFormat="1"/>
    <xf numFmtId="0" fontId="9" fillId="8" borderId="0" xfId="5"/>
    <xf numFmtId="0" fontId="3" fillId="0" borderId="0" xfId="0" applyFont="1" applyAlignment="1">
      <alignment horizontal="center"/>
    </xf>
    <xf numFmtId="2" fontId="9" fillId="7" borderId="0" xfId="4" applyNumberFormat="1"/>
    <xf numFmtId="0" fontId="0" fillId="0" borderId="0" xfId="0" applyAlignment="1">
      <alignment horizontal="center" vertical="center"/>
    </xf>
    <xf numFmtId="0" fontId="2" fillId="0" borderId="0" xfId="0" applyFont="1" applyAlignment="1">
      <alignment horizontal="center" vertical="center" wrapText="1"/>
    </xf>
    <xf numFmtId="164" fontId="2" fillId="0" borderId="0" xfId="0" applyNumberFormat="1" applyFont="1" applyAlignment="1">
      <alignment horizontal="center" vertical="center"/>
    </xf>
    <xf numFmtId="0" fontId="4" fillId="0" borderId="0" xfId="0" applyFont="1" applyAlignment="1">
      <alignment horizontal="center"/>
    </xf>
    <xf numFmtId="164" fontId="4" fillId="0" borderId="0" xfId="0" applyNumberFormat="1" applyFont="1" applyAlignment="1">
      <alignment horizontal="center" vertical="center"/>
    </xf>
    <xf numFmtId="9" fontId="0" fillId="0" borderId="0" xfId="0" applyNumberFormat="1" applyAlignment="1">
      <alignment horizontal="center"/>
    </xf>
  </cellXfs>
  <cellStyles count="8">
    <cellStyle name="Accent1" xfId="3" builtinId="29"/>
    <cellStyle name="Accent2" xfId="4" builtinId="33"/>
    <cellStyle name="Accent4" xfId="5" builtinId="41"/>
    <cellStyle name="Accent5" xfId="6" builtinId="45"/>
    <cellStyle name="Accent6" xfId="7" builtinId="49"/>
    <cellStyle name="Bad" xfId="1" builtinId="27"/>
    <cellStyle name="Good" xfId="2" builtinId="26"/>
    <cellStyle name="Normal" xfId="0" builtinId="0"/>
  </cellStyles>
  <dxfs count="0"/>
  <tableStyles count="0" defaultTableStyle="TableStyleMedium2" defaultPivotStyle="PivotStyleLight16"/>
  <colors>
    <mruColors>
      <color rgb="FFFB8072"/>
      <color rgb="FFBEBADA"/>
      <color rgb="FF8DD3C7"/>
      <color rgb="FFFDB462"/>
      <color rgb="FFD9D9D9"/>
      <color rgb="FF80B1D3"/>
      <color rgb="FFB3DE69"/>
      <color rgb="FFFFFFB3"/>
      <color rgb="FFFC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255293088363954"/>
          <c:y val="0.22210666375036453"/>
          <c:w val="0.45284711286089241"/>
          <c:h val="0.75474518810148727"/>
        </c:manualLayout>
      </c:layout>
      <c:pieChart>
        <c:varyColors val="1"/>
        <c:ser>
          <c:idx val="0"/>
          <c:order val="0"/>
          <c:tx>
            <c:strRef>
              <c:f>'material inventory'!$O$2</c:f>
              <c:strCache>
                <c:ptCount val="1"/>
                <c:pt idx="0">
                  <c:v>Primary energy consumption</c:v>
                </c:pt>
              </c:strCache>
            </c:strRef>
          </c:tx>
          <c:dPt>
            <c:idx val="0"/>
            <c:bubble3D val="0"/>
            <c:spPr>
              <a:solidFill>
                <a:srgbClr val="80B1D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14-4015-A53B-85F876388109}"/>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D84-46DE-B14D-3CCCF31896CE}"/>
              </c:ext>
            </c:extLst>
          </c:dPt>
          <c:dPt>
            <c:idx val="2"/>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0D84-46DE-B14D-3CCCF31896CE}"/>
              </c:ext>
            </c:extLst>
          </c:dPt>
          <c:dPt>
            <c:idx val="3"/>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D84-46DE-B14D-3CCCF31896CE}"/>
              </c:ext>
            </c:extLst>
          </c:dPt>
          <c:dPt>
            <c:idx val="4"/>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0D84-46DE-B14D-3CCCF31896CE}"/>
              </c:ext>
            </c:extLst>
          </c:dPt>
          <c:dPt>
            <c:idx val="5"/>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D84-46DE-B14D-3CCCF31896C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0D84-46DE-B14D-3CCCF31896C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84-46DE-B14D-3CCCF31896C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D84-46DE-B14D-3CCCF31896CE}"/>
              </c:ext>
            </c:extLst>
          </c:dPt>
          <c:dPt>
            <c:idx val="9"/>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84-46DE-B14D-3CCCF31896C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BFDA-442B-A969-79E46CD9828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4E1-4482-BD90-54AF1EF64338}"/>
              </c:ext>
            </c:extLst>
          </c:dPt>
          <c:dLbls>
            <c:dLbl>
              <c:idx val="1"/>
              <c:delete val="1"/>
              <c:extLst>
                <c:ext xmlns:c15="http://schemas.microsoft.com/office/drawing/2012/chart" uri="{CE6537A1-D6FC-4f65-9D91-7224C49458BB}"/>
                <c:ext xmlns:c16="http://schemas.microsoft.com/office/drawing/2014/chart" uri="{C3380CC4-5D6E-409C-BE32-E72D297353CC}">
                  <c16:uniqueId val="{00000009-0D84-46DE-B14D-3CCCF31896CE}"/>
                </c:ext>
              </c:extLst>
            </c:dLbl>
            <c:dLbl>
              <c:idx val="2"/>
              <c:delete val="1"/>
              <c:extLst>
                <c:ext xmlns:c15="http://schemas.microsoft.com/office/drawing/2012/chart" uri="{CE6537A1-D6FC-4f65-9D91-7224C49458BB}"/>
                <c:ext xmlns:c16="http://schemas.microsoft.com/office/drawing/2014/chart" uri="{C3380CC4-5D6E-409C-BE32-E72D297353CC}">
                  <c16:uniqueId val="{00000008-0D84-46DE-B14D-3CCCF31896CE}"/>
                </c:ext>
              </c:extLst>
            </c:dLbl>
            <c:dLbl>
              <c:idx val="3"/>
              <c:delete val="1"/>
              <c:extLst>
                <c:ext xmlns:c15="http://schemas.microsoft.com/office/drawing/2012/chart" uri="{CE6537A1-D6FC-4f65-9D91-7224C49458BB}"/>
                <c:ext xmlns:c16="http://schemas.microsoft.com/office/drawing/2014/chart" uri="{C3380CC4-5D6E-409C-BE32-E72D297353CC}">
                  <c16:uniqueId val="{00000007-0D84-46DE-B14D-3CCCF31896CE}"/>
                </c:ext>
              </c:extLst>
            </c:dLbl>
            <c:dLbl>
              <c:idx val="4"/>
              <c:delete val="1"/>
              <c:extLst>
                <c:ext xmlns:c15="http://schemas.microsoft.com/office/drawing/2012/chart" uri="{CE6537A1-D6FC-4f65-9D91-7224C49458BB}"/>
                <c:ext xmlns:c16="http://schemas.microsoft.com/office/drawing/2014/chart" uri="{C3380CC4-5D6E-409C-BE32-E72D297353CC}">
                  <c16:uniqueId val="{00000006-0D84-46DE-B14D-3CCCF31896CE}"/>
                </c:ext>
              </c:extLst>
            </c:dLbl>
            <c:dLbl>
              <c:idx val="5"/>
              <c:delete val="1"/>
              <c:extLst>
                <c:ext xmlns:c15="http://schemas.microsoft.com/office/drawing/2012/chart" uri="{CE6537A1-D6FC-4f65-9D91-7224C49458BB}"/>
                <c:ext xmlns:c16="http://schemas.microsoft.com/office/drawing/2014/chart" uri="{C3380CC4-5D6E-409C-BE32-E72D297353CC}">
                  <c16:uniqueId val="{00000005-0D84-46DE-B14D-3CCCF31896CE}"/>
                </c:ext>
              </c:extLst>
            </c:dLbl>
            <c:dLbl>
              <c:idx val="6"/>
              <c:delete val="1"/>
              <c:extLst>
                <c:ext xmlns:c15="http://schemas.microsoft.com/office/drawing/2012/chart" uri="{CE6537A1-D6FC-4f65-9D91-7224C49458BB}"/>
                <c:ext xmlns:c16="http://schemas.microsoft.com/office/drawing/2014/chart" uri="{C3380CC4-5D6E-409C-BE32-E72D297353CC}">
                  <c16:uniqueId val="{00000004-0D84-46DE-B14D-3CCCF31896CE}"/>
                </c:ext>
              </c:extLst>
            </c:dLbl>
            <c:dLbl>
              <c:idx val="7"/>
              <c:delete val="1"/>
              <c:extLst>
                <c:ext xmlns:c15="http://schemas.microsoft.com/office/drawing/2012/chart" uri="{CE6537A1-D6FC-4f65-9D91-7224C49458BB}"/>
                <c:ext xmlns:c16="http://schemas.microsoft.com/office/drawing/2014/chart" uri="{C3380CC4-5D6E-409C-BE32-E72D297353CC}">
                  <c16:uniqueId val="{00000003-0D84-46DE-B14D-3CCCF31896CE}"/>
                </c:ext>
              </c:extLst>
            </c:dLbl>
            <c:dLbl>
              <c:idx val="9"/>
              <c:layout>
                <c:manualLayout>
                  <c:x val="7.9877296587926458E-2"/>
                  <c:y val="2.808034412365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D84-46DE-B14D-3CCCF31896CE}"/>
                </c:ext>
              </c:extLst>
            </c:dLbl>
            <c:dLbl>
              <c:idx val="10"/>
              <c:delete val="1"/>
              <c:extLst>
                <c:ext xmlns:c15="http://schemas.microsoft.com/office/drawing/2012/chart" uri="{CE6537A1-D6FC-4f65-9D91-7224C49458BB}"/>
                <c:ext xmlns:c16="http://schemas.microsoft.com/office/drawing/2014/chart" uri="{C3380CC4-5D6E-409C-BE32-E72D297353CC}">
                  <c16:uniqueId val="{00000014-BFDA-442B-A969-79E46CD9828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'material inventory'!$M$3:$M$14</c:f>
              <c:strCache>
                <c:ptCount val="12"/>
                <c:pt idx="0">
                  <c:v>ITO glass</c:v>
                </c:pt>
                <c:pt idx="1">
                  <c:v>Ethanol</c:v>
                </c:pt>
                <c:pt idx="2">
                  <c:v>Deionized water</c:v>
                </c:pt>
                <c:pt idx="3">
                  <c:v>NiOₓ precursor solution</c:v>
                </c:pt>
                <c:pt idx="4">
                  <c:v>PbI₂</c:v>
                </c:pt>
                <c:pt idx="5">
                  <c:v>Dimethylformamide</c:v>
                </c:pt>
                <c:pt idx="6">
                  <c:v>MAI</c:v>
                </c:pt>
                <c:pt idx="7">
                  <c:v>Isopropanol</c:v>
                </c:pt>
                <c:pt idx="8">
                  <c:v>Nitrogen</c:v>
                </c:pt>
                <c:pt idx="9">
                  <c:v>ZnO nanoparticles</c:v>
                </c:pt>
                <c:pt idx="10">
                  <c:v>Al</c:v>
                </c:pt>
                <c:pt idx="11">
                  <c:v>Direct emissions</c:v>
                </c:pt>
              </c:strCache>
            </c:strRef>
          </c:cat>
          <c:val>
            <c:numRef>
              <c:f>'material inventory'!$O$3:$O$14</c:f>
              <c:numCache>
                <c:formatCode>0.000E+00</c:formatCode>
                <c:ptCount val="12"/>
                <c:pt idx="0">
                  <c:v>292.22870408888105</c:v>
                </c:pt>
                <c:pt idx="1">
                  <c:v>1.0715802776700001</c:v>
                </c:pt>
                <c:pt idx="2">
                  <c:v>7.8310930304560005E-4</c:v>
                </c:pt>
                <c:pt idx="3">
                  <c:v>0.85144954245080751</c:v>
                </c:pt>
                <c:pt idx="4">
                  <c:v>4.564611525436902E-2</c:v>
                </c:pt>
                <c:pt idx="5">
                  <c:v>0.13488868978770066</c:v>
                </c:pt>
                <c:pt idx="6">
                  <c:v>0.99552313780157675</c:v>
                </c:pt>
                <c:pt idx="7">
                  <c:v>0.27495055147511466</c:v>
                </c:pt>
                <c:pt idx="8">
                  <c:v>22.304788348898221</c:v>
                </c:pt>
                <c:pt idx="9">
                  <c:v>2.0283601209157971</c:v>
                </c:pt>
                <c:pt idx="10">
                  <c:v>6.5261304301170733E-2</c:v>
                </c:pt>
                <c:pt idx="11">
                  <c:v>0</c:v>
                </c:pt>
              </c:numCache>
            </c:numRef>
          </c:val>
          <c:extLst>
            <c:ext xmlns:c16="http://schemas.microsoft.com/office/drawing/2014/chart" uri="{C3380CC4-5D6E-409C-BE32-E72D297353CC}">
              <c16:uniqueId val="{00000000-0D84-46DE-B14D-3CCCF31896C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795297462817152"/>
          <c:y val="0.18107356372120154"/>
          <c:w val="0.28538035870516187"/>
          <c:h val="0.78125546806649171"/>
        </c:manualLayout>
      </c:layout>
      <c:overlay val="0"/>
      <c:spPr>
        <a:solidFill>
          <a:schemeClr val="bg1">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5845909886264214"/>
          <c:y val="0.21337962962962964"/>
          <c:w val="0.41641666666666666"/>
          <c:h val="0.6940277777777778"/>
        </c:manualLayout>
      </c:layout>
      <c:doughnutChart>
        <c:varyColors val="1"/>
        <c:ser>
          <c:idx val="0"/>
          <c:order val="0"/>
          <c:tx>
            <c:strRef>
              <c:f>recycling!$B$1</c:f>
              <c:strCache>
                <c:ptCount val="1"/>
                <c:pt idx="0">
                  <c:v>Primary energy consumption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DF9-4A35-BCAF-5B7CE1EE91BF}"/>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CB-4D41-822C-59C6D774928F}"/>
              </c:ext>
            </c:extLst>
          </c:dPt>
          <c:dPt>
            <c:idx val="2"/>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F9-4A35-BCAF-5B7CE1EE91BF}"/>
              </c:ext>
            </c:extLst>
          </c:dPt>
          <c:dPt>
            <c:idx val="3"/>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ECB-4D41-822C-59C6D774928F}"/>
              </c:ext>
            </c:extLst>
          </c:dPt>
          <c:dPt>
            <c:idx val="4"/>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DF9-4A35-BCAF-5B7CE1EE91BF}"/>
              </c:ext>
            </c:extLst>
          </c:dPt>
          <c:dPt>
            <c:idx val="5"/>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ECB-4D41-822C-59C6D774928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ECB-4D41-822C-59C6D774928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ECB-4D41-822C-59C6D774928F}"/>
              </c:ext>
            </c:extLst>
          </c:dPt>
          <c:dPt>
            <c:idx val="8"/>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ECB-4D41-822C-59C6D774928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F9-4A35-BCAF-5B7CE1EE91B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BB5-4478-970E-55F10E7AE2E0}"/>
              </c:ext>
            </c:extLst>
          </c:dPt>
          <c:dLbls>
            <c:dLbl>
              <c:idx val="0"/>
              <c:delete val="1"/>
              <c:extLst>
                <c:ext xmlns:c15="http://schemas.microsoft.com/office/drawing/2012/chart" uri="{CE6537A1-D6FC-4f65-9D91-7224C49458BB}"/>
                <c:ext xmlns:c16="http://schemas.microsoft.com/office/drawing/2014/chart" uri="{C3380CC4-5D6E-409C-BE32-E72D297353CC}">
                  <c16:uniqueId val="{00000002-7DF9-4A35-BCAF-5B7CE1EE91BF}"/>
                </c:ext>
              </c:extLst>
            </c:dLbl>
            <c:dLbl>
              <c:idx val="2"/>
              <c:delete val="1"/>
              <c:extLst>
                <c:ext xmlns:c15="http://schemas.microsoft.com/office/drawing/2012/chart" uri="{CE6537A1-D6FC-4f65-9D91-7224C49458BB}"/>
                <c:ext xmlns:c16="http://schemas.microsoft.com/office/drawing/2014/chart" uri="{C3380CC4-5D6E-409C-BE32-E72D297353CC}">
                  <c16:uniqueId val="{00000003-7DF9-4A35-BCAF-5B7CE1EE91BF}"/>
                </c:ext>
              </c:extLst>
            </c:dLbl>
            <c:dLbl>
              <c:idx val="4"/>
              <c:delete val="1"/>
              <c:extLst>
                <c:ext xmlns:c15="http://schemas.microsoft.com/office/drawing/2012/chart" uri="{CE6537A1-D6FC-4f65-9D91-7224C49458BB}"/>
                <c:ext xmlns:c16="http://schemas.microsoft.com/office/drawing/2014/chart" uri="{C3380CC4-5D6E-409C-BE32-E72D297353CC}">
                  <c16:uniqueId val="{00000004-7DF9-4A35-BCAF-5B7CE1EE91BF}"/>
                </c:ext>
              </c:extLst>
            </c:dLbl>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D-6ECB-4D41-822C-59C6D774928F}"/>
                </c:ext>
              </c:extLst>
            </c:dLbl>
            <c:dLbl>
              <c:idx val="7"/>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F-6ECB-4D41-822C-59C6D774928F}"/>
                </c:ext>
              </c:extLst>
            </c:dLbl>
            <c:dLbl>
              <c:idx val="9"/>
              <c:delete val="1"/>
              <c:extLst>
                <c:ext xmlns:c15="http://schemas.microsoft.com/office/drawing/2012/chart" uri="{CE6537A1-D6FC-4f65-9D91-7224C49458BB}"/>
                <c:ext xmlns:c16="http://schemas.microsoft.com/office/drawing/2014/chart" uri="{C3380CC4-5D6E-409C-BE32-E72D297353CC}">
                  <c16:uniqueId val="{00000001-7DF9-4A35-BCAF-5B7CE1EE91B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recycling!$A$2:$A$12</c:f>
              <c:strCache>
                <c:ptCount val="11"/>
                <c:pt idx="0">
                  <c:v>ITO glass</c:v>
                </c:pt>
                <c:pt idx="1">
                  <c:v>Ethanol</c:v>
                </c:pt>
                <c:pt idx="2">
                  <c:v>Deionized water</c:v>
                </c:pt>
                <c:pt idx="3">
                  <c:v>NiOₓ precursor solution</c:v>
                </c:pt>
                <c:pt idx="4">
                  <c:v>PbI₂</c:v>
                </c:pt>
                <c:pt idx="5">
                  <c:v>Dimethylformamide</c:v>
                </c:pt>
                <c:pt idx="6">
                  <c:v>MAI</c:v>
                </c:pt>
                <c:pt idx="7">
                  <c:v>Isopropanol</c:v>
                </c:pt>
                <c:pt idx="8">
                  <c:v>Nitrogen</c:v>
                </c:pt>
                <c:pt idx="9">
                  <c:v>ZnO nanoparticles</c:v>
                </c:pt>
                <c:pt idx="10">
                  <c:v>Al</c:v>
                </c:pt>
              </c:strCache>
            </c:strRef>
          </c:cat>
          <c:val>
            <c:numRef>
              <c:f>recycling!$B$2:$B$12</c:f>
              <c:numCache>
                <c:formatCode>0.000E+00</c:formatCode>
                <c:ptCount val="11"/>
                <c:pt idx="0">
                  <c:v>0</c:v>
                </c:pt>
                <c:pt idx="1">
                  <c:v>1.0715802776700001</c:v>
                </c:pt>
                <c:pt idx="2">
                  <c:v>7.8310930304560005E-4</c:v>
                </c:pt>
                <c:pt idx="3">
                  <c:v>0.85144954245080751</c:v>
                </c:pt>
                <c:pt idx="4">
                  <c:v>4.564611525436902E-2</c:v>
                </c:pt>
                <c:pt idx="5">
                  <c:v>0.13488868978770066</c:v>
                </c:pt>
                <c:pt idx="6">
                  <c:v>0.99552313780157675</c:v>
                </c:pt>
                <c:pt idx="7">
                  <c:v>0.27495055147511466</c:v>
                </c:pt>
                <c:pt idx="8">
                  <c:v>22.304788348898221</c:v>
                </c:pt>
                <c:pt idx="9">
                  <c:v>2.0283601209157971</c:v>
                </c:pt>
                <c:pt idx="10">
                  <c:v>6.5261304301170733E-2</c:v>
                </c:pt>
              </c:numCache>
            </c:numRef>
          </c:val>
          <c:extLst>
            <c:ext xmlns:c16="http://schemas.microsoft.com/office/drawing/2014/chart" uri="{C3380CC4-5D6E-409C-BE32-E72D297353CC}">
              <c16:uniqueId val="{00000000-7DF9-4A35-BCAF-5B7CE1EE91B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bg1">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5467519685039369"/>
          <c:y val="0.18768081073199183"/>
          <c:w val="0.42471369203849513"/>
          <c:h val="0.70785615339749186"/>
        </c:manualLayout>
      </c:layout>
      <c:doughnutChart>
        <c:varyColors val="1"/>
        <c:ser>
          <c:idx val="0"/>
          <c:order val="0"/>
          <c:tx>
            <c:strRef>
              <c:f>recycling!$C$1</c:f>
              <c:strCache>
                <c:ptCount val="1"/>
                <c:pt idx="0">
                  <c:v>Carbon footprint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068-46C2-9B0B-2D0F033E3641}"/>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1DA-4D3D-B538-7B4E95985D4D}"/>
              </c:ext>
            </c:extLst>
          </c:dPt>
          <c:dPt>
            <c:idx val="2"/>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68-46C2-9B0B-2D0F033E3641}"/>
              </c:ext>
            </c:extLst>
          </c:dPt>
          <c:dPt>
            <c:idx val="3"/>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1DA-4D3D-B538-7B4E95985D4D}"/>
              </c:ext>
            </c:extLst>
          </c:dPt>
          <c:dPt>
            <c:idx val="4"/>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068-46C2-9B0B-2D0F033E3641}"/>
              </c:ext>
            </c:extLst>
          </c:dPt>
          <c:dPt>
            <c:idx val="5"/>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1DA-4D3D-B538-7B4E95985D4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1DA-4D3D-B538-7B4E95985D4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1DA-4D3D-B538-7B4E95985D4D}"/>
              </c:ext>
            </c:extLst>
          </c:dPt>
          <c:dPt>
            <c:idx val="8"/>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1DA-4D3D-B538-7B4E95985D4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68-46C2-9B0B-2D0F033E364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3D3-40BC-B964-95E92F8DD2B3}"/>
              </c:ext>
            </c:extLst>
          </c:dPt>
          <c:dLbls>
            <c:dLbl>
              <c:idx val="0"/>
              <c:delete val="1"/>
              <c:extLst>
                <c:ext xmlns:c15="http://schemas.microsoft.com/office/drawing/2012/chart" uri="{CE6537A1-D6FC-4f65-9D91-7224C49458BB}"/>
                <c:ext xmlns:c16="http://schemas.microsoft.com/office/drawing/2014/chart" uri="{C3380CC4-5D6E-409C-BE32-E72D297353CC}">
                  <c16:uniqueId val="{00000004-9068-46C2-9B0B-2D0F033E3641}"/>
                </c:ext>
              </c:extLst>
            </c:dLbl>
            <c:dLbl>
              <c:idx val="2"/>
              <c:delete val="1"/>
              <c:extLst>
                <c:ext xmlns:c15="http://schemas.microsoft.com/office/drawing/2012/chart" uri="{CE6537A1-D6FC-4f65-9D91-7224C49458BB}"/>
                <c:ext xmlns:c16="http://schemas.microsoft.com/office/drawing/2014/chart" uri="{C3380CC4-5D6E-409C-BE32-E72D297353CC}">
                  <c16:uniqueId val="{00000001-9068-46C2-9B0B-2D0F033E3641}"/>
                </c:ext>
              </c:extLst>
            </c:dLbl>
            <c:dLbl>
              <c:idx val="4"/>
              <c:layout>
                <c:manualLayout>
                  <c:x val="5.5555555555555558E-3"/>
                  <c:y val="-1.851851851851860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068-46C2-9B0B-2D0F033E3641}"/>
                </c:ext>
              </c:extLst>
            </c:dLbl>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D-F1DA-4D3D-B538-7B4E95985D4D}"/>
                </c:ext>
              </c:extLst>
            </c:dLbl>
            <c:dLbl>
              <c:idx val="7"/>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F-F1DA-4D3D-B538-7B4E95985D4D}"/>
                </c:ext>
              </c:extLst>
            </c:dLbl>
            <c:dLbl>
              <c:idx val="9"/>
              <c:layout>
                <c:manualLayout>
                  <c:x val="0"/>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68-46C2-9B0B-2D0F033E364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recycling!$A$2:$A$12</c:f>
              <c:strCache>
                <c:ptCount val="11"/>
                <c:pt idx="0">
                  <c:v>ITO glass</c:v>
                </c:pt>
                <c:pt idx="1">
                  <c:v>Ethanol</c:v>
                </c:pt>
                <c:pt idx="2">
                  <c:v>Deionized water</c:v>
                </c:pt>
                <c:pt idx="3">
                  <c:v>NiOₓ precursor solution</c:v>
                </c:pt>
                <c:pt idx="4">
                  <c:v>PbI₂</c:v>
                </c:pt>
                <c:pt idx="5">
                  <c:v>Dimethylformamide</c:v>
                </c:pt>
                <c:pt idx="6">
                  <c:v>MAI</c:v>
                </c:pt>
                <c:pt idx="7">
                  <c:v>Isopropanol</c:v>
                </c:pt>
                <c:pt idx="8">
                  <c:v>Nitrogen</c:v>
                </c:pt>
                <c:pt idx="9">
                  <c:v>ZnO nanoparticles</c:v>
                </c:pt>
                <c:pt idx="10">
                  <c:v>Al</c:v>
                </c:pt>
              </c:strCache>
            </c:strRef>
          </c:cat>
          <c:val>
            <c:numRef>
              <c:f>recycling!$C$2:$C$12</c:f>
              <c:numCache>
                <c:formatCode>0.000E+00</c:formatCode>
                <c:ptCount val="11"/>
                <c:pt idx="0">
                  <c:v>0</c:v>
                </c:pt>
                <c:pt idx="1">
                  <c:v>3.6067691999999998E-2</c:v>
                </c:pt>
                <c:pt idx="2">
                  <c:v>5.6916582000000001E-5</c:v>
                </c:pt>
                <c:pt idx="3">
                  <c:v>4.2979770179029153E-2</c:v>
                </c:pt>
                <c:pt idx="4">
                  <c:v>3.838655237013149E-3</c:v>
                </c:pt>
                <c:pt idx="5">
                  <c:v>4.9592742707200007E-3</c:v>
                </c:pt>
                <c:pt idx="6">
                  <c:v>4.6867017566034591E-2</c:v>
                </c:pt>
                <c:pt idx="7">
                  <c:v>8.3180559359999993E-3</c:v>
                </c:pt>
                <c:pt idx="8">
                  <c:v>1.6371150925259081</c:v>
                </c:pt>
                <c:pt idx="9">
                  <c:v>8.5029392225674544E-2</c:v>
                </c:pt>
                <c:pt idx="10">
                  <c:v>7.007356097560976E-3</c:v>
                </c:pt>
              </c:numCache>
            </c:numRef>
          </c:val>
          <c:extLst>
            <c:ext xmlns:c16="http://schemas.microsoft.com/office/drawing/2014/chart" uri="{C3380CC4-5D6E-409C-BE32-E72D297353CC}">
              <c16:uniqueId val="{00000000-9068-46C2-9B0B-2D0F033E364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bg1">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6621697287839021"/>
          <c:y val="0.22008821813939924"/>
          <c:w val="0.42193591426071742"/>
          <c:h val="0.70322652376786232"/>
        </c:manualLayout>
      </c:layout>
      <c:doughnutChart>
        <c:varyColors val="1"/>
        <c:ser>
          <c:idx val="0"/>
          <c:order val="0"/>
          <c:tx>
            <c:strRef>
              <c:f>recycling!$B$30</c:f>
              <c:strCache>
                <c:ptCount val="1"/>
                <c:pt idx="0">
                  <c:v>Primary energy consumption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37F-40D4-B953-8C026860926E}"/>
              </c:ext>
            </c:extLst>
          </c:dPt>
          <c:dPt>
            <c:idx val="1"/>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60-4669-BFDA-B1B67291490D}"/>
              </c:ext>
            </c:extLst>
          </c:dPt>
          <c:dPt>
            <c:idx val="2"/>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E60-4669-BFDA-B1B67291490D}"/>
              </c:ext>
            </c:extLst>
          </c:dPt>
          <c:dPt>
            <c:idx val="3"/>
            <c:bubble3D val="0"/>
            <c:spPr>
              <a:solidFill>
                <a:srgbClr val="80B1D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37F-40D4-B953-8C026860926E}"/>
              </c:ext>
            </c:extLst>
          </c:dPt>
          <c:dPt>
            <c:idx val="4"/>
            <c:bubble3D val="0"/>
            <c:spPr>
              <a:solidFill>
                <a:srgbClr val="D9D9D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37F-40D4-B953-8C026860926E}"/>
              </c:ext>
            </c:extLst>
          </c:dPt>
          <c:dPt>
            <c:idx val="5"/>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E60-4669-BFDA-B1B67291490D}"/>
              </c:ext>
            </c:extLst>
          </c:dPt>
          <c:dPt>
            <c:idx val="6"/>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E60-4669-BFDA-B1B67291490D}"/>
              </c:ext>
            </c:extLst>
          </c:dPt>
          <c:dPt>
            <c:idx val="7"/>
            <c:bubble3D val="0"/>
            <c:spPr>
              <a:solidFill>
                <a:srgbClr val="BEBAD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E60-4669-BFDA-B1B67291490D}"/>
              </c:ext>
            </c:extLst>
          </c:dPt>
          <c:dPt>
            <c:idx val="8"/>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E60-4669-BFDA-B1B67291490D}"/>
              </c:ext>
            </c:extLst>
          </c:dPt>
          <c:dPt>
            <c:idx val="9"/>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238-44A1-9D1B-570A08AED94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880A-474B-BD18-4C8ED167763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880A-474B-BD18-4C8ED1677639}"/>
              </c:ext>
            </c:extLst>
          </c:dPt>
          <c:dLbls>
            <c:dLbl>
              <c:idx val="3"/>
              <c:delete val="1"/>
              <c:extLst>
                <c:ext xmlns:c15="http://schemas.microsoft.com/office/drawing/2012/chart" uri="{CE6537A1-D6FC-4f65-9D91-7224C49458BB}"/>
                <c:ext xmlns:c16="http://schemas.microsoft.com/office/drawing/2014/chart" uri="{C3380CC4-5D6E-409C-BE32-E72D297353CC}">
                  <c16:uniqueId val="{00000002-D37F-40D4-B953-8C026860926E}"/>
                </c:ext>
              </c:extLst>
            </c:dLbl>
            <c:dLbl>
              <c:idx val="4"/>
              <c:delete val="1"/>
              <c:extLst>
                <c:ext xmlns:c15="http://schemas.microsoft.com/office/drawing/2012/chart" uri="{CE6537A1-D6FC-4f65-9D91-7224C49458BB}"/>
                <c:ext xmlns:c16="http://schemas.microsoft.com/office/drawing/2014/chart" uri="{C3380CC4-5D6E-409C-BE32-E72D297353CC}">
                  <c16:uniqueId val="{00000003-D37F-40D4-B953-8C026860926E}"/>
                </c:ext>
              </c:extLst>
            </c:dLbl>
            <c:dLbl>
              <c:idx val="9"/>
              <c:delete val="1"/>
              <c:extLst>
                <c:ext xmlns:c15="http://schemas.microsoft.com/office/drawing/2012/chart" uri="{CE6537A1-D6FC-4f65-9D91-7224C49458BB}"/>
                <c:ext xmlns:c16="http://schemas.microsoft.com/office/drawing/2014/chart" uri="{C3380CC4-5D6E-409C-BE32-E72D297353CC}">
                  <c16:uniqueId val="{00000013-1238-44A1-9D1B-570A08AED94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recycling!$A$31:$A$42</c:f>
              <c:strCache>
                <c:ptCount val="12"/>
                <c:pt idx="0">
                  <c:v>Sonication</c:v>
                </c:pt>
                <c:pt idx="1">
                  <c:v>HTL spin coating</c:v>
                </c:pt>
                <c:pt idx="2">
                  <c:v>HTL annealing</c:v>
                </c:pt>
                <c:pt idx="3">
                  <c:v>Inert gas purging</c:v>
                </c:pt>
                <c:pt idx="4">
                  <c:v>PL 1st-step spin coating</c:v>
                </c:pt>
                <c:pt idx="5">
                  <c:v>PL drying</c:v>
                </c:pt>
                <c:pt idx="6">
                  <c:v>PL 2nd-step spin coating</c:v>
                </c:pt>
                <c:pt idx="7">
                  <c:v>PL annealing</c:v>
                </c:pt>
                <c:pt idx="8">
                  <c:v>ETL spin coating</c:v>
                </c:pt>
                <c:pt idx="9">
                  <c:v>Vacuum pump</c:v>
                </c:pt>
                <c:pt idx="10">
                  <c:v>Evaporation</c:v>
                </c:pt>
                <c:pt idx="11">
                  <c:v>Cooling</c:v>
                </c:pt>
              </c:strCache>
            </c:strRef>
          </c:cat>
          <c:val>
            <c:numRef>
              <c:f>recycling!$B$31:$B$42</c:f>
              <c:numCache>
                <c:formatCode>0.000E+00</c:formatCode>
                <c:ptCount val="12"/>
                <c:pt idx="0">
                  <c:v>49.96641093677313</c:v>
                </c:pt>
                <c:pt idx="1">
                  <c:v>83.710479577905772</c:v>
                </c:pt>
                <c:pt idx="2">
                  <c:v>539.63723811714988</c:v>
                </c:pt>
                <c:pt idx="3">
                  <c:v>65.580914354514732</c:v>
                </c:pt>
                <c:pt idx="4">
                  <c:v>1.4881863036072136</c:v>
                </c:pt>
                <c:pt idx="5">
                  <c:v>20.985892593444717</c:v>
                </c:pt>
                <c:pt idx="6">
                  <c:v>74.409315180360679</c:v>
                </c:pt>
                <c:pt idx="7">
                  <c:v>359.75815874476655</c:v>
                </c:pt>
                <c:pt idx="8">
                  <c:v>83.710479577905772</c:v>
                </c:pt>
                <c:pt idx="9">
                  <c:v>114.92274515457818</c:v>
                </c:pt>
                <c:pt idx="10">
                  <c:v>66.621881249030835</c:v>
                </c:pt>
                <c:pt idx="11">
                  <c:v>199.86564374709252</c:v>
                </c:pt>
              </c:numCache>
            </c:numRef>
          </c:val>
          <c:extLst>
            <c:ext xmlns:c16="http://schemas.microsoft.com/office/drawing/2014/chart" uri="{C3380CC4-5D6E-409C-BE32-E72D297353CC}">
              <c16:uniqueId val="{00000000-D37F-40D4-B953-8C026860926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bg1">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6621697287839021"/>
          <c:y val="0.20619932925051035"/>
          <c:w val="0.42471369203849513"/>
          <c:h val="0.70785615339749186"/>
        </c:manualLayout>
      </c:layout>
      <c:doughnutChart>
        <c:varyColors val="1"/>
        <c:ser>
          <c:idx val="0"/>
          <c:order val="0"/>
          <c:tx>
            <c:strRef>
              <c:f>recycling!$C$30</c:f>
              <c:strCache>
                <c:ptCount val="1"/>
                <c:pt idx="0">
                  <c:v>Carbon footprint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8D-4FE7-AEC4-33D249E7AE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A1-4BB9-BB0F-B49CAC81F2D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4A1-4BB9-BB0F-B49CAC81F2D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8D-4FE7-AEC4-33D249E7AE3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B8D-4FE7-AEC4-33D249E7AE3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4A1-4BB9-BB0F-B49CAC81F2D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4A1-4BB9-BB0F-B49CAC81F2D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4A1-4BB9-BB0F-B49CAC81F2D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4A1-4BB9-BB0F-B49CAC81F2D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B05-41A7-9856-36EE45E0A6EA}"/>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936-46B0-B74C-CEEB3E84B0C1}"/>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936-46B0-B74C-CEEB3E84B0C1}"/>
              </c:ext>
            </c:extLst>
          </c:dPt>
          <c:dLbls>
            <c:dLbl>
              <c:idx val="3"/>
              <c:delete val="1"/>
              <c:extLst>
                <c:ext xmlns:c15="http://schemas.microsoft.com/office/drawing/2012/chart" uri="{CE6537A1-D6FC-4f65-9D91-7224C49458BB}"/>
                <c:ext xmlns:c16="http://schemas.microsoft.com/office/drawing/2014/chart" uri="{C3380CC4-5D6E-409C-BE32-E72D297353CC}">
                  <c16:uniqueId val="{00000003-EB8D-4FE7-AEC4-33D249E7AE3C}"/>
                </c:ext>
              </c:extLst>
            </c:dLbl>
            <c:dLbl>
              <c:idx val="4"/>
              <c:delete val="1"/>
              <c:extLst>
                <c:ext xmlns:c15="http://schemas.microsoft.com/office/drawing/2012/chart" uri="{CE6537A1-D6FC-4f65-9D91-7224C49458BB}"/>
                <c:ext xmlns:c16="http://schemas.microsoft.com/office/drawing/2014/chart" uri="{C3380CC4-5D6E-409C-BE32-E72D297353CC}">
                  <c16:uniqueId val="{00000002-EB8D-4FE7-AEC4-33D249E7AE3C}"/>
                </c:ext>
              </c:extLst>
            </c:dLbl>
            <c:dLbl>
              <c:idx val="9"/>
              <c:delete val="1"/>
              <c:extLst>
                <c:ext xmlns:c15="http://schemas.microsoft.com/office/drawing/2012/chart" uri="{CE6537A1-D6FC-4f65-9D91-7224C49458BB}"/>
                <c:ext xmlns:c16="http://schemas.microsoft.com/office/drawing/2014/chart" uri="{C3380CC4-5D6E-409C-BE32-E72D297353CC}">
                  <c16:uniqueId val="{00000013-9B05-41A7-9856-36EE45E0A6E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recycling!$A$31:$A$42</c:f>
              <c:strCache>
                <c:ptCount val="12"/>
                <c:pt idx="0">
                  <c:v>Sonication</c:v>
                </c:pt>
                <c:pt idx="1">
                  <c:v>HTL spin coating</c:v>
                </c:pt>
                <c:pt idx="2">
                  <c:v>HTL annealing</c:v>
                </c:pt>
                <c:pt idx="3">
                  <c:v>Inert gas purging</c:v>
                </c:pt>
                <c:pt idx="4">
                  <c:v>PL 1st-step spin coating</c:v>
                </c:pt>
                <c:pt idx="5">
                  <c:v>PL drying</c:v>
                </c:pt>
                <c:pt idx="6">
                  <c:v>PL 2nd-step spin coating</c:v>
                </c:pt>
                <c:pt idx="7">
                  <c:v>PL annealing</c:v>
                </c:pt>
                <c:pt idx="8">
                  <c:v>ETL spin coating</c:v>
                </c:pt>
                <c:pt idx="9">
                  <c:v>Vacuum pump</c:v>
                </c:pt>
                <c:pt idx="10">
                  <c:v>Evaporation</c:v>
                </c:pt>
                <c:pt idx="11">
                  <c:v>Cooling</c:v>
                </c:pt>
              </c:strCache>
            </c:strRef>
          </c:cat>
          <c:val>
            <c:numRef>
              <c:f>recycling!$C$31:$C$42</c:f>
              <c:numCache>
                <c:formatCode>0.000E+00</c:formatCode>
                <c:ptCount val="12"/>
                <c:pt idx="0">
                  <c:v>2.8396800022717437</c:v>
                </c:pt>
                <c:pt idx="1">
                  <c:v>4.7574154393188799</c:v>
                </c:pt>
                <c:pt idx="2">
                  <c:v>30.668544024534835</c:v>
                </c:pt>
                <c:pt idx="3">
                  <c:v>3.7270800029816638</c:v>
                </c:pt>
                <c:pt idx="4">
                  <c:v>8.4576274476780081E-2</c:v>
                </c:pt>
                <c:pt idx="5">
                  <c:v>1.1926656009541325</c:v>
                </c:pt>
                <c:pt idx="6">
                  <c:v>4.2288137238390036</c:v>
                </c:pt>
                <c:pt idx="7">
                  <c:v>20.445696016356557</c:v>
                </c:pt>
                <c:pt idx="8">
                  <c:v>4.7574154393188799</c:v>
                </c:pt>
                <c:pt idx="9">
                  <c:v>6.5312640052250099</c:v>
                </c:pt>
                <c:pt idx="10">
                  <c:v>3.7862400030289916</c:v>
                </c:pt>
                <c:pt idx="11">
                  <c:v>11.358720009086975</c:v>
                </c:pt>
              </c:numCache>
            </c:numRef>
          </c:val>
          <c:extLst>
            <c:ext xmlns:c16="http://schemas.microsoft.com/office/drawing/2014/chart" uri="{C3380CC4-5D6E-409C-BE32-E72D297353CC}">
              <c16:uniqueId val="{00000000-EB8D-4FE7-AEC4-33D249E7AE3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2103630796150486"/>
          <c:y val="0.19698818897637796"/>
          <c:w val="0.26229702537182853"/>
          <c:h val="0.70312992125984242"/>
        </c:manualLayout>
      </c:layout>
      <c:overlay val="0"/>
      <c:spPr>
        <a:solidFill>
          <a:schemeClr val="bg1">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51-417D-B451-02C378D663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51-417D-B451-02C378D663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51-417D-B451-02C378D663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51-417D-B451-02C378D663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51-417D-B451-02C378D663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A51-417D-B451-02C378D663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A51-417D-B451-02C378D6639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A51-417D-B451-02C378D6639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A51-417D-B451-02C378D6639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A51-417D-B451-02C378D6639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D2C-43C4-9B8D-A6D6D6A8DBB7}"/>
              </c:ext>
            </c:extLst>
          </c:dPt>
          <c:cat>
            <c:strRef>
              <c:f>recycling!$A$2:$A$12</c:f>
              <c:strCache>
                <c:ptCount val="11"/>
                <c:pt idx="0">
                  <c:v>ITO glass</c:v>
                </c:pt>
                <c:pt idx="1">
                  <c:v>Ethanol</c:v>
                </c:pt>
                <c:pt idx="2">
                  <c:v>Deionized water</c:v>
                </c:pt>
                <c:pt idx="3">
                  <c:v>NiOₓ precursor solution</c:v>
                </c:pt>
                <c:pt idx="4">
                  <c:v>PbI₂</c:v>
                </c:pt>
                <c:pt idx="5">
                  <c:v>Dimethylformamide</c:v>
                </c:pt>
                <c:pt idx="6">
                  <c:v>MAI</c:v>
                </c:pt>
                <c:pt idx="7">
                  <c:v>Isopropanol</c:v>
                </c:pt>
                <c:pt idx="8">
                  <c:v>Nitrogen</c:v>
                </c:pt>
                <c:pt idx="9">
                  <c:v>ZnO nanoparticles</c:v>
                </c:pt>
                <c:pt idx="10">
                  <c:v>Al</c:v>
                </c:pt>
              </c:strCache>
            </c:strRef>
          </c:cat>
          <c:val>
            <c:numRef>
              <c:f>recycling!$B$2:$B$12</c:f>
              <c:numCache>
                <c:formatCode>0.000E+00</c:formatCode>
                <c:ptCount val="11"/>
                <c:pt idx="0">
                  <c:v>0</c:v>
                </c:pt>
                <c:pt idx="1">
                  <c:v>1.0715802776700001</c:v>
                </c:pt>
                <c:pt idx="2">
                  <c:v>7.8310930304560005E-4</c:v>
                </c:pt>
                <c:pt idx="3">
                  <c:v>0.85144954245080751</c:v>
                </c:pt>
                <c:pt idx="4">
                  <c:v>4.564611525436902E-2</c:v>
                </c:pt>
                <c:pt idx="5">
                  <c:v>0.13488868978770066</c:v>
                </c:pt>
                <c:pt idx="6">
                  <c:v>0.99552313780157675</c:v>
                </c:pt>
                <c:pt idx="7">
                  <c:v>0.27495055147511466</c:v>
                </c:pt>
                <c:pt idx="8">
                  <c:v>22.304788348898221</c:v>
                </c:pt>
                <c:pt idx="9">
                  <c:v>2.0283601209157971</c:v>
                </c:pt>
                <c:pt idx="10">
                  <c:v>6.5261304301170733E-2</c:v>
                </c:pt>
              </c:numCache>
            </c:numRef>
          </c:val>
          <c:extLst>
            <c:ext xmlns:c16="http://schemas.microsoft.com/office/drawing/2014/chart" uri="{C3380CC4-5D6E-409C-BE32-E72D297353CC}">
              <c16:uniqueId val="{00000000-A0D5-4D92-A0C2-283424CCD5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C1-4F8F-BCE7-C864A9D5BA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C1-4F8F-BCE7-C864A9D5BA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C1-4F8F-BCE7-C864A9D5BA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C1-4F8F-BCE7-C864A9D5BA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C1-4F8F-BCE7-C864A9D5BA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C1-4F8F-BCE7-C864A9D5BA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C1-4F8F-BCE7-C864A9D5BA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C1-4F8F-BCE7-C864A9D5BA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7C1-4F8F-BCE7-C864A9D5BA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7C1-4F8F-BCE7-C864A9D5BAB3}"/>
              </c:ext>
            </c:extLst>
          </c:dPt>
          <c:cat>
            <c:strRef>
              <c:f>recycling!$A$31:$A$40</c:f>
              <c:strCache>
                <c:ptCount val="10"/>
                <c:pt idx="0">
                  <c:v>Sonication</c:v>
                </c:pt>
                <c:pt idx="1">
                  <c:v>HTL spin coating</c:v>
                </c:pt>
                <c:pt idx="2">
                  <c:v>HTL annealing</c:v>
                </c:pt>
                <c:pt idx="3">
                  <c:v>Inert gas purging</c:v>
                </c:pt>
                <c:pt idx="4">
                  <c:v>PL 1st-step spin coating</c:v>
                </c:pt>
                <c:pt idx="5">
                  <c:v>PL drying</c:v>
                </c:pt>
                <c:pt idx="6">
                  <c:v>PL 2nd-step spin coating</c:v>
                </c:pt>
                <c:pt idx="7">
                  <c:v>PL annealing</c:v>
                </c:pt>
                <c:pt idx="8">
                  <c:v>ETL spin coating</c:v>
                </c:pt>
                <c:pt idx="9">
                  <c:v>Vacuum pump</c:v>
                </c:pt>
              </c:strCache>
            </c:strRef>
          </c:cat>
          <c:val>
            <c:numRef>
              <c:f>recycling!$B$31:$B$40</c:f>
              <c:numCache>
                <c:formatCode>0.000E+00</c:formatCode>
                <c:ptCount val="10"/>
                <c:pt idx="0">
                  <c:v>49.96641093677313</c:v>
                </c:pt>
                <c:pt idx="1">
                  <c:v>83.710479577905772</c:v>
                </c:pt>
                <c:pt idx="2">
                  <c:v>539.63723811714988</c:v>
                </c:pt>
                <c:pt idx="3">
                  <c:v>65.580914354514732</c:v>
                </c:pt>
                <c:pt idx="4">
                  <c:v>1.4881863036072136</c:v>
                </c:pt>
                <c:pt idx="5">
                  <c:v>20.985892593444717</c:v>
                </c:pt>
                <c:pt idx="6">
                  <c:v>74.409315180360679</c:v>
                </c:pt>
                <c:pt idx="7">
                  <c:v>359.75815874476655</c:v>
                </c:pt>
                <c:pt idx="8">
                  <c:v>83.710479577905772</c:v>
                </c:pt>
                <c:pt idx="9">
                  <c:v>114.92274515457818</c:v>
                </c:pt>
              </c:numCache>
            </c:numRef>
          </c:val>
          <c:extLst>
            <c:ext xmlns:c16="http://schemas.microsoft.com/office/drawing/2014/chart" uri="{C3380CC4-5D6E-409C-BE32-E72D297353CC}">
              <c16:uniqueId val="{00000000-6386-4563-8004-E57DB287180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SA!$K$4:$K$12</c:f>
              <c:strCache>
                <c:ptCount val="9"/>
                <c:pt idx="0">
                  <c:v>Energy consumption of drying of PL, kWh (0.053)</c:v>
                </c:pt>
                <c:pt idx="1">
                  <c:v>Energy consumption of ZnO spin coating, kWh (0.168)</c:v>
                </c:pt>
                <c:pt idx="2">
                  <c:v>Energy consumption of spin coating of PL, kWh (0.206)</c:v>
                </c:pt>
                <c:pt idx="3">
                  <c:v>Energy consumption of NiOx spin coating, kWh (0.421)</c:v>
                </c:pt>
                <c:pt idx="4">
                  <c:v>Energy consumption for sonication, kWh (0.483)</c:v>
                </c:pt>
                <c:pt idx="5">
                  <c:v>Energy consumption of annealing of PL, kWh (1.065)</c:v>
                </c:pt>
                <c:pt idx="6">
                  <c:v>Energy consumption of post-annealing of HTL, kWh (1.953)</c:v>
                </c:pt>
                <c:pt idx="7">
                  <c:v>Energy consumption of thermal evaporation, kWh (3.180)</c:v>
                </c:pt>
                <c:pt idx="8">
                  <c:v>Recycling level of substrate (100%)</c:v>
                </c:pt>
              </c:strCache>
            </c:strRef>
          </c:cat>
          <c:val>
            <c:numRef>
              <c:f>SA!$M$4:$M$12</c:f>
              <c:numCache>
                <c:formatCode>General</c:formatCode>
                <c:ptCount val="9"/>
                <c:pt idx="0">
                  <c:v>5.9410805449246</c:v>
                </c:pt>
                <c:pt idx="1">
                  <c:v>5.924743740527969</c:v>
                </c:pt>
                <c:pt idx="2">
                  <c:v>5.9194324871903872</c:v>
                </c:pt>
                <c:pt idx="3">
                  <c:v>5.8888927804992885</c:v>
                </c:pt>
                <c:pt idx="4">
                  <c:v>5.8800530761443905</c:v>
                </c:pt>
                <c:pt idx="5">
                  <c:v>5.7973676680973014</c:v>
                </c:pt>
                <c:pt idx="6">
                  <c:v>5.6713037410558114</c:v>
                </c:pt>
                <c:pt idx="7">
                  <c:v>5.497110704194732</c:v>
                </c:pt>
                <c:pt idx="8">
                  <c:v>7.6307979075457828</c:v>
                </c:pt>
              </c:numCache>
            </c:numRef>
          </c:val>
          <c:extLst>
            <c:ext xmlns:c16="http://schemas.microsoft.com/office/drawing/2014/chart" uri="{C3380CC4-5D6E-409C-BE32-E72D297353CC}">
              <c16:uniqueId val="{00000000-FE0C-429E-BA50-142FFFB7608D}"/>
            </c:ext>
          </c:extLst>
        </c:ser>
        <c:dLbls>
          <c:showLegendKey val="0"/>
          <c:showVal val="0"/>
          <c:showCatName val="0"/>
          <c:showSerName val="0"/>
          <c:showPercent val="0"/>
          <c:showBubbleSize val="0"/>
        </c:dLbls>
        <c:gapWidth val="182"/>
        <c:axId val="725940623"/>
        <c:axId val="1988644975"/>
      </c:barChart>
      <c:barChart>
        <c:barDir val="bar"/>
        <c:grouping val="clustered"/>
        <c:varyColors val="0"/>
        <c:ser>
          <c:idx val="1"/>
          <c:order val="1"/>
          <c:spPr>
            <a:solidFill>
              <a:schemeClr val="accent2"/>
            </a:solidFill>
            <a:ln>
              <a:noFill/>
            </a:ln>
            <a:effectLst/>
          </c:spPr>
          <c:invertIfNegative val="0"/>
          <c:cat>
            <c:strRef>
              <c:f>SA!$K$4:$K$12</c:f>
              <c:strCache>
                <c:ptCount val="9"/>
                <c:pt idx="0">
                  <c:v>Energy consumption of drying of PL, kWh (0.053)</c:v>
                </c:pt>
                <c:pt idx="1">
                  <c:v>Energy consumption of ZnO spin coating, kWh (0.168)</c:v>
                </c:pt>
                <c:pt idx="2">
                  <c:v>Energy consumption of spin coating of PL, kWh (0.206)</c:v>
                </c:pt>
                <c:pt idx="3">
                  <c:v>Energy consumption of NiOx spin coating, kWh (0.421)</c:v>
                </c:pt>
                <c:pt idx="4">
                  <c:v>Energy consumption for sonication, kWh (0.483)</c:v>
                </c:pt>
                <c:pt idx="5">
                  <c:v>Energy consumption of annealing of PL, kWh (1.065)</c:v>
                </c:pt>
                <c:pt idx="6">
                  <c:v>Energy consumption of post-annealing of HTL, kWh (1.953)</c:v>
                </c:pt>
                <c:pt idx="7">
                  <c:v>Energy consumption of thermal evaporation, kWh (3.180)</c:v>
                </c:pt>
                <c:pt idx="8">
                  <c:v>Recycling level of substrate (100%)</c:v>
                </c:pt>
              </c:strCache>
            </c:strRef>
          </c:cat>
          <c:val>
            <c:numRef>
              <c:f>SA!$Q$4:$Q$12</c:f>
              <c:numCache>
                <c:formatCode>General</c:formatCode>
                <c:ptCount val="9"/>
                <c:pt idx="0">
                  <c:v>5.9562082161695793</c:v>
                </c:pt>
                <c:pt idx="1">
                  <c:v>5.9725450205662094</c:v>
                </c:pt>
                <c:pt idx="2">
                  <c:v>5.977856273903793</c:v>
                </c:pt>
                <c:pt idx="3">
                  <c:v>6.0083959805948917</c:v>
                </c:pt>
                <c:pt idx="4">
                  <c:v>6.0172356849497888</c:v>
                </c:pt>
                <c:pt idx="5">
                  <c:v>6.0999210929968788</c:v>
                </c:pt>
                <c:pt idx="6">
                  <c:v>6.2259850200383688</c:v>
                </c:pt>
                <c:pt idx="7">
                  <c:v>6.4001780568994464</c:v>
                </c:pt>
                <c:pt idx="8">
                  <c:v>5.9486443805470897</c:v>
                </c:pt>
              </c:numCache>
            </c:numRef>
          </c:val>
          <c:extLst>
            <c:ext xmlns:c16="http://schemas.microsoft.com/office/drawing/2014/chart" uri="{C3380CC4-5D6E-409C-BE32-E72D297353CC}">
              <c16:uniqueId val="{00000001-FE0C-429E-BA50-142FFFB7608D}"/>
            </c:ext>
          </c:extLst>
        </c:ser>
        <c:dLbls>
          <c:showLegendKey val="0"/>
          <c:showVal val="0"/>
          <c:showCatName val="0"/>
          <c:showSerName val="0"/>
          <c:showPercent val="0"/>
          <c:showBubbleSize val="0"/>
        </c:dLbls>
        <c:gapWidth val="182"/>
        <c:axId val="471911503"/>
        <c:axId val="1770732895"/>
      </c:barChart>
      <c:catAx>
        <c:axId val="72594062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644975"/>
        <c:crossesAt val="5.6175618719999987"/>
        <c:auto val="1"/>
        <c:lblAlgn val="ctr"/>
        <c:lblOffset val="100"/>
        <c:noMultiLvlLbl val="0"/>
      </c:catAx>
      <c:valAx>
        <c:axId val="1988644975"/>
        <c:scaling>
          <c:orientation val="minMax"/>
          <c:max val="8.5"/>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40623"/>
        <c:crosses val="autoZero"/>
        <c:crossBetween val="between"/>
      </c:valAx>
      <c:valAx>
        <c:axId val="1770732895"/>
        <c:scaling>
          <c:orientation val="minMax"/>
          <c:max val="8.5"/>
          <c:min val="5"/>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911503"/>
        <c:crosses val="max"/>
        <c:crossBetween val="between"/>
      </c:valAx>
      <c:catAx>
        <c:axId val="471911503"/>
        <c:scaling>
          <c:orientation val="minMax"/>
        </c:scaling>
        <c:delete val="1"/>
        <c:axPos val="l"/>
        <c:numFmt formatCode="General" sourceLinked="1"/>
        <c:majorTickMark val="out"/>
        <c:minorTickMark val="none"/>
        <c:tickLblPos val="nextTo"/>
        <c:crossAx val="1770732895"/>
        <c:crossesAt val="5.6175618719999987"/>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SA!$K$16:$K$24</c:f>
              <c:strCache>
                <c:ptCount val="9"/>
                <c:pt idx="0">
                  <c:v>Energy consumption of drying of PL, kWh (0.053)</c:v>
                </c:pt>
                <c:pt idx="1">
                  <c:v>Energy consumption of ZnO spin coating, kWh (0.168)</c:v>
                </c:pt>
                <c:pt idx="2">
                  <c:v>Energy consumption of spin coating of PL, kWh (0.206)</c:v>
                </c:pt>
                <c:pt idx="3">
                  <c:v>Energy consumption of NiOx spin coating, kWh (0.421)</c:v>
                </c:pt>
                <c:pt idx="4">
                  <c:v>Energy consumption for sonication, kWh (0.483)</c:v>
                </c:pt>
                <c:pt idx="5">
                  <c:v>Energy consumption of annealing of PL, kWh (1.065)</c:v>
                </c:pt>
                <c:pt idx="6">
                  <c:v>Energy consumption of post-annealing of HTL, kWh (1.953)</c:v>
                </c:pt>
                <c:pt idx="7">
                  <c:v>Energy consumption of thermal evaporation, kWh (3.180)</c:v>
                </c:pt>
                <c:pt idx="8">
                  <c:v>Recycling level of substrate (100%)</c:v>
                </c:pt>
              </c:strCache>
            </c:strRef>
          </c:cat>
          <c:val>
            <c:numRef>
              <c:f>SA!$M$16:$M$24</c:f>
              <c:numCache>
                <c:formatCode>General</c:formatCode>
                <c:ptCount val="9"/>
                <c:pt idx="0">
                  <c:v>106.80540888279243</c:v>
                </c:pt>
                <c:pt idx="1">
                  <c:v>106.51794991515426</c:v>
                </c:pt>
                <c:pt idx="2">
                  <c:v>106.42449422062437</c:v>
                </c:pt>
                <c:pt idx="3">
                  <c:v>105.88712397707751</c:v>
                </c:pt>
                <c:pt idx="4">
                  <c:v>105.73158240196938</c:v>
                </c:pt>
                <c:pt idx="5">
                  <c:v>104.27666738561174</c:v>
                </c:pt>
                <c:pt idx="6">
                  <c:v>102.05847308983921</c:v>
                </c:pt>
                <c:pt idx="7">
                  <c:v>98.993409119546058</c:v>
                </c:pt>
                <c:pt idx="8">
                  <c:v>136.13264026313826</c:v>
                </c:pt>
              </c:numCache>
            </c:numRef>
          </c:val>
          <c:extLst>
            <c:ext xmlns:c16="http://schemas.microsoft.com/office/drawing/2014/chart" uri="{C3380CC4-5D6E-409C-BE32-E72D297353CC}">
              <c16:uniqueId val="{00000000-4198-4F47-8BC7-86DC6198ACA8}"/>
            </c:ext>
          </c:extLst>
        </c:ser>
        <c:dLbls>
          <c:showLegendKey val="0"/>
          <c:showVal val="0"/>
          <c:showCatName val="0"/>
          <c:showSerName val="0"/>
          <c:showPercent val="0"/>
          <c:showBubbleSize val="0"/>
        </c:dLbls>
        <c:gapWidth val="182"/>
        <c:axId val="725904223"/>
        <c:axId val="674652287"/>
      </c:barChart>
      <c:barChart>
        <c:barDir val="bar"/>
        <c:grouping val="clustered"/>
        <c:varyColors val="0"/>
        <c:ser>
          <c:idx val="1"/>
          <c:order val="1"/>
          <c:spPr>
            <a:solidFill>
              <a:schemeClr val="accent2"/>
            </a:solidFill>
            <a:ln>
              <a:noFill/>
            </a:ln>
            <a:effectLst/>
          </c:spPr>
          <c:invertIfNegative val="0"/>
          <c:cat>
            <c:strRef>
              <c:f>SA!$K$16:$K$24</c:f>
              <c:strCache>
                <c:ptCount val="9"/>
                <c:pt idx="0">
                  <c:v>Energy consumption of drying of PL, kWh (0.053)</c:v>
                </c:pt>
                <c:pt idx="1">
                  <c:v>Energy consumption of ZnO spin coating, kWh (0.168)</c:v>
                </c:pt>
                <c:pt idx="2">
                  <c:v>Energy consumption of spin coating of PL, kWh (0.206)</c:v>
                </c:pt>
                <c:pt idx="3">
                  <c:v>Energy consumption of NiOx spin coating, kWh (0.421)</c:v>
                </c:pt>
                <c:pt idx="4">
                  <c:v>Energy consumption for sonication, kWh (0.483)</c:v>
                </c:pt>
                <c:pt idx="5">
                  <c:v>Energy consumption of annealing of PL, kWh (1.065)</c:v>
                </c:pt>
                <c:pt idx="6">
                  <c:v>Energy consumption of post-annealing of HTL, kWh (1.953)</c:v>
                </c:pt>
                <c:pt idx="7">
                  <c:v>Energy consumption of thermal evaporation, kWh (3.180)</c:v>
                </c:pt>
                <c:pt idx="8">
                  <c:v>Recycling level of substrate (100%)</c:v>
                </c:pt>
              </c:strCache>
            </c:strRef>
          </c:cat>
          <c:val>
            <c:numRef>
              <c:f>SA!$Q$16:$Q$24</c:f>
              <c:numCache>
                <c:formatCode>General</c:formatCode>
                <c:ptCount val="9"/>
                <c:pt idx="0">
                  <c:v>107.07159219828513</c:v>
                </c:pt>
                <c:pt idx="1">
                  <c:v>107.35905116592328</c:v>
                </c:pt>
                <c:pt idx="2">
                  <c:v>107.45250686045317</c:v>
                </c:pt>
                <c:pt idx="3">
                  <c:v>107.98987710400003</c:v>
                </c:pt>
                <c:pt idx="4">
                  <c:v>108.14541867910818</c:v>
                </c:pt>
                <c:pt idx="5">
                  <c:v>109.60033369546581</c:v>
                </c:pt>
                <c:pt idx="6">
                  <c:v>111.81852799123833</c:v>
                </c:pt>
                <c:pt idx="7">
                  <c:v>114.88359196153149</c:v>
                </c:pt>
                <c:pt idx="8">
                  <c:v>106.93850054053878</c:v>
                </c:pt>
              </c:numCache>
            </c:numRef>
          </c:val>
          <c:extLst>
            <c:ext xmlns:c16="http://schemas.microsoft.com/office/drawing/2014/chart" uri="{C3380CC4-5D6E-409C-BE32-E72D297353CC}">
              <c16:uniqueId val="{00000001-4198-4F47-8BC7-86DC6198ACA8}"/>
            </c:ext>
          </c:extLst>
        </c:ser>
        <c:dLbls>
          <c:showLegendKey val="0"/>
          <c:showVal val="0"/>
          <c:showCatName val="0"/>
          <c:showSerName val="0"/>
          <c:showPercent val="0"/>
          <c:showBubbleSize val="0"/>
        </c:dLbls>
        <c:gapWidth val="182"/>
        <c:axId val="461606543"/>
        <c:axId val="674663103"/>
      </c:barChart>
      <c:catAx>
        <c:axId val="72590422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52287"/>
        <c:crossesAt val="100.8819562"/>
        <c:auto val="1"/>
        <c:lblAlgn val="ctr"/>
        <c:lblOffset val="100"/>
        <c:noMultiLvlLbl val="0"/>
      </c:catAx>
      <c:valAx>
        <c:axId val="674652287"/>
        <c:scaling>
          <c:orientation val="minMax"/>
          <c:max val="150"/>
          <c:min val="9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04223"/>
        <c:crosses val="autoZero"/>
        <c:crossBetween val="between"/>
      </c:valAx>
      <c:valAx>
        <c:axId val="674663103"/>
        <c:scaling>
          <c:orientation val="minMax"/>
          <c:max val="150"/>
          <c:min val="90"/>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06543"/>
        <c:crosses val="max"/>
        <c:crossBetween val="between"/>
      </c:valAx>
      <c:catAx>
        <c:axId val="461606543"/>
        <c:scaling>
          <c:orientation val="minMax"/>
        </c:scaling>
        <c:delete val="1"/>
        <c:axPos val="l"/>
        <c:numFmt formatCode="General" sourceLinked="1"/>
        <c:majorTickMark val="out"/>
        <c:minorTickMark val="none"/>
        <c:tickLblPos val="nextTo"/>
        <c:crossAx val="674663103"/>
        <c:crossesAt val="100.8819562"/>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 (2)'!$A$3</c:f>
              <c:strCache>
                <c:ptCount val="1"/>
                <c:pt idx="0">
                  <c:v>ITO glass</c:v>
                </c:pt>
              </c:strCache>
            </c:strRef>
          </c:tx>
          <c:spPr>
            <a:solidFill>
              <a:schemeClr val="accent1"/>
            </a:solidFill>
            <a:ln>
              <a:noFill/>
            </a:ln>
            <a:effectLst/>
          </c:spPr>
          <c:invertIfNegative val="0"/>
          <c:cat>
            <c:strRef>
              <c:f>'results (2)'!$D$2:$X$2</c:f>
              <c:strCache>
                <c:ptCount val="5"/>
                <c:pt idx="3">
                  <c:v>Carbon footprint</c:v>
                </c:pt>
                <c:pt idx="4">
                  <c:v>Primary energy consumption</c:v>
                </c:pt>
              </c:strCache>
            </c:strRef>
          </c:cat>
          <c:val>
            <c:numRef>
              <c:f>'results (2)'!$D$3:$X$3</c:f>
              <c:numCache>
                <c:formatCode>General</c:formatCode>
                <c:ptCount val="21"/>
                <c:pt idx="3">
                  <c:v>1.6837863429999995</c:v>
                </c:pt>
                <c:pt idx="4">
                  <c:v>29.222870408888099</c:v>
                </c:pt>
              </c:numCache>
            </c:numRef>
          </c:val>
          <c:extLst>
            <c:ext xmlns:c16="http://schemas.microsoft.com/office/drawing/2014/chart" uri="{C3380CC4-5D6E-409C-BE32-E72D297353CC}">
              <c16:uniqueId val="{00000000-3AC3-42FD-8082-C56C8D41720D}"/>
            </c:ext>
          </c:extLst>
        </c:ser>
        <c:ser>
          <c:idx val="1"/>
          <c:order val="1"/>
          <c:tx>
            <c:strRef>
              <c:f>'results (2)'!$A$4</c:f>
              <c:strCache>
                <c:ptCount val="1"/>
                <c:pt idx="0">
                  <c:v>Ethanol</c:v>
                </c:pt>
              </c:strCache>
            </c:strRef>
          </c:tx>
          <c:spPr>
            <a:solidFill>
              <a:schemeClr val="accent2"/>
            </a:solidFill>
            <a:ln>
              <a:noFill/>
            </a:ln>
            <a:effectLst/>
          </c:spPr>
          <c:invertIfNegative val="0"/>
          <c:cat>
            <c:strRef>
              <c:f>'results (2)'!$D$2:$X$2</c:f>
              <c:strCache>
                <c:ptCount val="5"/>
                <c:pt idx="3">
                  <c:v>Carbon footprint</c:v>
                </c:pt>
                <c:pt idx="4">
                  <c:v>Primary energy consumption</c:v>
                </c:pt>
              </c:strCache>
            </c:strRef>
          </c:cat>
          <c:val>
            <c:numRef>
              <c:f>'results (2)'!$D$4:$X$4</c:f>
              <c:numCache>
                <c:formatCode>General</c:formatCode>
                <c:ptCount val="21"/>
                <c:pt idx="3">
                  <c:v>3.6067691999999998E-2</c:v>
                </c:pt>
                <c:pt idx="4">
                  <c:v>1.0715802776700001</c:v>
                </c:pt>
              </c:numCache>
            </c:numRef>
          </c:val>
          <c:extLst>
            <c:ext xmlns:c16="http://schemas.microsoft.com/office/drawing/2014/chart" uri="{C3380CC4-5D6E-409C-BE32-E72D297353CC}">
              <c16:uniqueId val="{00000001-3AC3-42FD-8082-C56C8D41720D}"/>
            </c:ext>
          </c:extLst>
        </c:ser>
        <c:ser>
          <c:idx val="2"/>
          <c:order val="2"/>
          <c:tx>
            <c:strRef>
              <c:f>'results (2)'!$A$5</c:f>
              <c:strCache>
                <c:ptCount val="1"/>
                <c:pt idx="0">
                  <c:v>Deionized water</c:v>
                </c:pt>
              </c:strCache>
            </c:strRef>
          </c:tx>
          <c:spPr>
            <a:solidFill>
              <a:schemeClr val="accent3"/>
            </a:solidFill>
            <a:ln>
              <a:noFill/>
            </a:ln>
            <a:effectLst/>
          </c:spPr>
          <c:invertIfNegative val="0"/>
          <c:cat>
            <c:strRef>
              <c:f>'results (2)'!$D$2:$X$2</c:f>
              <c:strCache>
                <c:ptCount val="5"/>
                <c:pt idx="3">
                  <c:v>Carbon footprint</c:v>
                </c:pt>
                <c:pt idx="4">
                  <c:v>Primary energy consumption</c:v>
                </c:pt>
              </c:strCache>
            </c:strRef>
          </c:cat>
          <c:val>
            <c:numRef>
              <c:f>'results (2)'!$D$5:$X$5</c:f>
              <c:numCache>
                <c:formatCode>General</c:formatCode>
                <c:ptCount val="21"/>
                <c:pt idx="3">
                  <c:v>5.6916582000000001E-5</c:v>
                </c:pt>
                <c:pt idx="4">
                  <c:v>7.8310930304560005E-4</c:v>
                </c:pt>
              </c:numCache>
            </c:numRef>
          </c:val>
          <c:extLst>
            <c:ext xmlns:c16="http://schemas.microsoft.com/office/drawing/2014/chart" uri="{C3380CC4-5D6E-409C-BE32-E72D297353CC}">
              <c16:uniqueId val="{00000002-3AC3-42FD-8082-C56C8D41720D}"/>
            </c:ext>
          </c:extLst>
        </c:ser>
        <c:ser>
          <c:idx val="3"/>
          <c:order val="3"/>
          <c:tx>
            <c:strRef>
              <c:f>'results (2)'!$A$6</c:f>
              <c:strCache>
                <c:ptCount val="1"/>
                <c:pt idx="0">
                  <c:v>NiOₓ precursor solution</c:v>
                </c:pt>
              </c:strCache>
            </c:strRef>
          </c:tx>
          <c:spPr>
            <a:solidFill>
              <a:schemeClr val="accent4"/>
            </a:solidFill>
            <a:ln>
              <a:noFill/>
            </a:ln>
            <a:effectLst/>
          </c:spPr>
          <c:invertIfNegative val="0"/>
          <c:cat>
            <c:strRef>
              <c:f>'results (2)'!$D$2:$X$2</c:f>
              <c:strCache>
                <c:ptCount val="5"/>
                <c:pt idx="3">
                  <c:v>Carbon footprint</c:v>
                </c:pt>
                <c:pt idx="4">
                  <c:v>Primary energy consumption</c:v>
                </c:pt>
              </c:strCache>
            </c:strRef>
          </c:cat>
          <c:val>
            <c:numRef>
              <c:f>'results (2)'!$D$6:$X$6</c:f>
              <c:numCache>
                <c:formatCode>General</c:formatCode>
                <c:ptCount val="21"/>
                <c:pt idx="3">
                  <c:v>3.2234827634271858E-2</c:v>
                </c:pt>
                <c:pt idx="4">
                  <c:v>0.63858715683810552</c:v>
                </c:pt>
              </c:numCache>
            </c:numRef>
          </c:val>
          <c:extLst>
            <c:ext xmlns:c16="http://schemas.microsoft.com/office/drawing/2014/chart" uri="{C3380CC4-5D6E-409C-BE32-E72D297353CC}">
              <c16:uniqueId val="{00000003-3AC3-42FD-8082-C56C8D41720D}"/>
            </c:ext>
          </c:extLst>
        </c:ser>
        <c:ser>
          <c:idx val="4"/>
          <c:order val="4"/>
          <c:tx>
            <c:strRef>
              <c:f>'results (2)'!$A$7</c:f>
              <c:strCache>
                <c:ptCount val="1"/>
                <c:pt idx="0">
                  <c:v>PbI₂</c:v>
                </c:pt>
              </c:strCache>
            </c:strRef>
          </c:tx>
          <c:spPr>
            <a:solidFill>
              <a:schemeClr val="accent5"/>
            </a:solidFill>
            <a:ln>
              <a:noFill/>
            </a:ln>
            <a:effectLst/>
          </c:spPr>
          <c:invertIfNegative val="0"/>
          <c:cat>
            <c:strRef>
              <c:f>'results (2)'!$D$2:$X$2</c:f>
              <c:strCache>
                <c:ptCount val="5"/>
                <c:pt idx="3">
                  <c:v>Carbon footprint</c:v>
                </c:pt>
                <c:pt idx="4">
                  <c:v>Primary energy consumption</c:v>
                </c:pt>
              </c:strCache>
            </c:strRef>
          </c:cat>
          <c:val>
            <c:numRef>
              <c:f>'results (2)'!$D$7:$X$7</c:f>
              <c:numCache>
                <c:formatCode>General</c:formatCode>
                <c:ptCount val="21"/>
                <c:pt idx="3">
                  <c:v>2.8789914277598614E-3</c:v>
                </c:pt>
                <c:pt idx="4">
                  <c:v>3.423458644077676E-2</c:v>
                </c:pt>
              </c:numCache>
            </c:numRef>
          </c:val>
          <c:extLst>
            <c:ext xmlns:c16="http://schemas.microsoft.com/office/drawing/2014/chart" uri="{C3380CC4-5D6E-409C-BE32-E72D297353CC}">
              <c16:uniqueId val="{00000004-3AC3-42FD-8082-C56C8D41720D}"/>
            </c:ext>
          </c:extLst>
        </c:ser>
        <c:ser>
          <c:idx val="5"/>
          <c:order val="5"/>
          <c:tx>
            <c:strRef>
              <c:f>'results (2)'!$A$8</c:f>
              <c:strCache>
                <c:ptCount val="1"/>
                <c:pt idx="0">
                  <c:v>Dimethylformamide</c:v>
                </c:pt>
              </c:strCache>
            </c:strRef>
          </c:tx>
          <c:spPr>
            <a:solidFill>
              <a:schemeClr val="accent6"/>
            </a:solidFill>
            <a:ln>
              <a:noFill/>
            </a:ln>
            <a:effectLst/>
          </c:spPr>
          <c:invertIfNegative val="0"/>
          <c:cat>
            <c:strRef>
              <c:f>'results (2)'!$D$2:$X$2</c:f>
              <c:strCache>
                <c:ptCount val="5"/>
                <c:pt idx="3">
                  <c:v>Carbon footprint</c:v>
                </c:pt>
                <c:pt idx="4">
                  <c:v>Primary energy consumption</c:v>
                </c:pt>
              </c:strCache>
            </c:strRef>
          </c:cat>
          <c:val>
            <c:numRef>
              <c:f>'results (2)'!$D$8:$X$8</c:f>
              <c:numCache>
                <c:formatCode>General</c:formatCode>
                <c:ptCount val="21"/>
                <c:pt idx="3">
                  <c:v>3.7194557030399995E-3</c:v>
                </c:pt>
                <c:pt idx="4">
                  <c:v>0.10116651734077545</c:v>
                </c:pt>
              </c:numCache>
            </c:numRef>
          </c:val>
          <c:extLst>
            <c:ext xmlns:c16="http://schemas.microsoft.com/office/drawing/2014/chart" uri="{C3380CC4-5D6E-409C-BE32-E72D297353CC}">
              <c16:uniqueId val="{00000005-3AC3-42FD-8082-C56C8D41720D}"/>
            </c:ext>
          </c:extLst>
        </c:ser>
        <c:ser>
          <c:idx val="6"/>
          <c:order val="6"/>
          <c:tx>
            <c:strRef>
              <c:f>'results (2)'!$A$9</c:f>
              <c:strCache>
                <c:ptCount val="1"/>
                <c:pt idx="0">
                  <c:v>MAI</c:v>
                </c:pt>
              </c:strCache>
            </c:strRef>
          </c:tx>
          <c:spPr>
            <a:solidFill>
              <a:schemeClr val="accent1">
                <a:lumMod val="60000"/>
              </a:schemeClr>
            </a:solidFill>
            <a:ln>
              <a:noFill/>
            </a:ln>
            <a:effectLst/>
          </c:spPr>
          <c:invertIfNegative val="0"/>
          <c:cat>
            <c:strRef>
              <c:f>'results (2)'!$D$2:$X$2</c:f>
              <c:strCache>
                <c:ptCount val="5"/>
                <c:pt idx="3">
                  <c:v>Carbon footprint</c:v>
                </c:pt>
                <c:pt idx="4">
                  <c:v>Primary energy consumption</c:v>
                </c:pt>
              </c:strCache>
            </c:strRef>
          </c:cat>
          <c:val>
            <c:numRef>
              <c:f>'results (2)'!$D$9:$X$9</c:f>
              <c:numCache>
                <c:formatCode>General</c:formatCode>
                <c:ptCount val="21"/>
                <c:pt idx="3">
                  <c:v>3.5150263174525943E-2</c:v>
                </c:pt>
                <c:pt idx="4">
                  <c:v>0.74664235335118256</c:v>
                </c:pt>
              </c:numCache>
            </c:numRef>
          </c:val>
          <c:extLst>
            <c:ext xmlns:c16="http://schemas.microsoft.com/office/drawing/2014/chart" uri="{C3380CC4-5D6E-409C-BE32-E72D297353CC}">
              <c16:uniqueId val="{00000006-3AC3-42FD-8082-C56C8D41720D}"/>
            </c:ext>
          </c:extLst>
        </c:ser>
        <c:ser>
          <c:idx val="7"/>
          <c:order val="7"/>
          <c:tx>
            <c:strRef>
              <c:f>'results (2)'!$A$10</c:f>
              <c:strCache>
                <c:ptCount val="1"/>
                <c:pt idx="0">
                  <c:v>Isopropanol</c:v>
                </c:pt>
              </c:strCache>
            </c:strRef>
          </c:tx>
          <c:spPr>
            <a:solidFill>
              <a:schemeClr val="accent2">
                <a:lumMod val="60000"/>
              </a:schemeClr>
            </a:solidFill>
            <a:ln>
              <a:noFill/>
            </a:ln>
            <a:effectLst/>
          </c:spPr>
          <c:invertIfNegative val="0"/>
          <c:cat>
            <c:strRef>
              <c:f>'results (2)'!$D$2:$X$2</c:f>
              <c:strCache>
                <c:ptCount val="5"/>
                <c:pt idx="3">
                  <c:v>Carbon footprint</c:v>
                </c:pt>
                <c:pt idx="4">
                  <c:v>Primary energy consumption</c:v>
                </c:pt>
              </c:strCache>
            </c:strRef>
          </c:cat>
          <c:val>
            <c:numRef>
              <c:f>'results (2)'!$D$10:$X$10</c:f>
              <c:numCache>
                <c:formatCode>General</c:formatCode>
                <c:ptCount val="21"/>
                <c:pt idx="3">
                  <c:v>6.2385419519999999E-3</c:v>
                </c:pt>
                <c:pt idx="4">
                  <c:v>0.20621291360633598</c:v>
                </c:pt>
              </c:numCache>
            </c:numRef>
          </c:val>
          <c:extLst>
            <c:ext xmlns:c16="http://schemas.microsoft.com/office/drawing/2014/chart" uri="{C3380CC4-5D6E-409C-BE32-E72D297353CC}">
              <c16:uniqueId val="{00000007-3AC3-42FD-8082-C56C8D41720D}"/>
            </c:ext>
          </c:extLst>
        </c:ser>
        <c:ser>
          <c:idx val="8"/>
          <c:order val="8"/>
          <c:tx>
            <c:strRef>
              <c:f>'results (2)'!$A$12</c:f>
              <c:strCache>
                <c:ptCount val="1"/>
                <c:pt idx="0">
                  <c:v>ZnO nanoparticles</c:v>
                </c:pt>
              </c:strCache>
            </c:strRef>
          </c:tx>
          <c:spPr>
            <a:solidFill>
              <a:schemeClr val="accent3">
                <a:lumMod val="60000"/>
              </a:schemeClr>
            </a:solidFill>
            <a:ln>
              <a:noFill/>
            </a:ln>
            <a:effectLst/>
          </c:spPr>
          <c:invertIfNegative val="0"/>
          <c:cat>
            <c:strRef>
              <c:f>'results (2)'!$D$2:$X$2</c:f>
              <c:strCache>
                <c:ptCount val="5"/>
                <c:pt idx="3">
                  <c:v>Carbon footprint</c:v>
                </c:pt>
                <c:pt idx="4">
                  <c:v>Primary energy consumption</c:v>
                </c:pt>
              </c:strCache>
            </c:strRef>
          </c:cat>
          <c:val>
            <c:numRef>
              <c:f>'results (2)'!$D$12:$X$12</c:f>
              <c:numCache>
                <c:formatCode>General</c:formatCode>
                <c:ptCount val="21"/>
                <c:pt idx="3">
                  <c:v>6.3772044169255901E-2</c:v>
                </c:pt>
                <c:pt idx="4">
                  <c:v>1.5212700906868477</c:v>
                </c:pt>
              </c:numCache>
            </c:numRef>
          </c:val>
          <c:extLst>
            <c:ext xmlns:c16="http://schemas.microsoft.com/office/drawing/2014/chart" uri="{C3380CC4-5D6E-409C-BE32-E72D297353CC}">
              <c16:uniqueId val="{00000008-3AC3-42FD-8082-C56C8D41720D}"/>
            </c:ext>
          </c:extLst>
        </c:ser>
        <c:ser>
          <c:idx val="9"/>
          <c:order val="9"/>
          <c:tx>
            <c:strRef>
              <c:f>'results (2)'!$A$13</c:f>
              <c:strCache>
                <c:ptCount val="1"/>
                <c:pt idx="0">
                  <c:v>Al</c:v>
                </c:pt>
              </c:strCache>
            </c:strRef>
          </c:tx>
          <c:spPr>
            <a:solidFill>
              <a:schemeClr val="accent4">
                <a:lumMod val="60000"/>
              </a:schemeClr>
            </a:solidFill>
            <a:ln>
              <a:noFill/>
            </a:ln>
            <a:effectLst/>
          </c:spPr>
          <c:invertIfNegative val="0"/>
          <c:cat>
            <c:strRef>
              <c:f>'results (2)'!$D$2:$X$2</c:f>
              <c:strCache>
                <c:ptCount val="5"/>
                <c:pt idx="3">
                  <c:v>Carbon footprint</c:v>
                </c:pt>
                <c:pt idx="4">
                  <c:v>Primary energy consumption</c:v>
                </c:pt>
              </c:strCache>
            </c:strRef>
          </c:cat>
          <c:val>
            <c:numRef>
              <c:f>'results (2)'!$D$13:$X$13</c:f>
              <c:numCache>
                <c:formatCode>General</c:formatCode>
                <c:ptCount val="21"/>
                <c:pt idx="3">
                  <c:v>7.007356097560976E-3</c:v>
                </c:pt>
                <c:pt idx="4">
                  <c:v>6.5261304301170733E-2</c:v>
                </c:pt>
              </c:numCache>
            </c:numRef>
          </c:val>
          <c:extLst>
            <c:ext xmlns:c16="http://schemas.microsoft.com/office/drawing/2014/chart" uri="{C3380CC4-5D6E-409C-BE32-E72D297353CC}">
              <c16:uniqueId val="{00000009-3AC3-42FD-8082-C56C8D41720D}"/>
            </c:ext>
          </c:extLst>
        </c:ser>
        <c:ser>
          <c:idx val="10"/>
          <c:order val="10"/>
          <c:tx>
            <c:strRef>
              <c:f>'results (2)'!$A$15</c:f>
              <c:strCache>
                <c:ptCount val="1"/>
                <c:pt idx="0">
                  <c:v>Sonication</c:v>
                </c:pt>
              </c:strCache>
            </c:strRef>
          </c:tx>
          <c:spPr>
            <a:solidFill>
              <a:schemeClr val="accent5">
                <a:lumMod val="60000"/>
              </a:schemeClr>
            </a:solidFill>
            <a:ln>
              <a:noFill/>
            </a:ln>
            <a:effectLst/>
          </c:spPr>
          <c:invertIfNegative val="0"/>
          <c:cat>
            <c:strRef>
              <c:f>'results (2)'!$D$2:$X$2</c:f>
              <c:strCache>
                <c:ptCount val="5"/>
                <c:pt idx="3">
                  <c:v>Carbon footprint</c:v>
                </c:pt>
                <c:pt idx="4">
                  <c:v>Primary energy consumption</c:v>
                </c:pt>
              </c:strCache>
            </c:strRef>
          </c:cat>
          <c:val>
            <c:numRef>
              <c:f>'results (2)'!$D$15:$X$15</c:f>
              <c:numCache>
                <c:formatCode>General</c:formatCode>
                <c:ptCount val="21"/>
                <c:pt idx="3">
                  <c:v>0.28396800022717433</c:v>
                </c:pt>
                <c:pt idx="4">
                  <c:v>4.9966410936773125</c:v>
                </c:pt>
              </c:numCache>
            </c:numRef>
          </c:val>
          <c:extLst>
            <c:ext xmlns:c16="http://schemas.microsoft.com/office/drawing/2014/chart" uri="{C3380CC4-5D6E-409C-BE32-E72D297353CC}">
              <c16:uniqueId val="{0000000A-3AC3-42FD-8082-C56C8D41720D}"/>
            </c:ext>
          </c:extLst>
        </c:ser>
        <c:ser>
          <c:idx val="11"/>
          <c:order val="11"/>
          <c:tx>
            <c:strRef>
              <c:f>'results (2)'!$A$16</c:f>
              <c:strCache>
                <c:ptCount val="1"/>
                <c:pt idx="0">
                  <c:v>HTL spin coating</c:v>
                </c:pt>
              </c:strCache>
            </c:strRef>
          </c:tx>
          <c:spPr>
            <a:solidFill>
              <a:schemeClr val="accent6">
                <a:lumMod val="60000"/>
              </a:schemeClr>
            </a:solidFill>
            <a:ln>
              <a:noFill/>
            </a:ln>
            <a:effectLst/>
          </c:spPr>
          <c:invertIfNegative val="0"/>
          <c:cat>
            <c:strRef>
              <c:f>'results (2)'!$D$2:$X$2</c:f>
              <c:strCache>
                <c:ptCount val="5"/>
                <c:pt idx="3">
                  <c:v>Carbon footprint</c:v>
                </c:pt>
                <c:pt idx="4">
                  <c:v>Primary energy consumption</c:v>
                </c:pt>
              </c:strCache>
            </c:strRef>
          </c:cat>
          <c:val>
            <c:numRef>
              <c:f>'results (2)'!$D$16:$X$16</c:f>
              <c:numCache>
                <c:formatCode>General</c:formatCode>
                <c:ptCount val="21"/>
                <c:pt idx="3">
                  <c:v>4.7574154393188799</c:v>
                </c:pt>
                <c:pt idx="4">
                  <c:v>83.710479577905772</c:v>
                </c:pt>
              </c:numCache>
            </c:numRef>
          </c:val>
          <c:extLst>
            <c:ext xmlns:c16="http://schemas.microsoft.com/office/drawing/2014/chart" uri="{C3380CC4-5D6E-409C-BE32-E72D297353CC}">
              <c16:uniqueId val="{0000000B-3AC3-42FD-8082-C56C8D41720D}"/>
            </c:ext>
          </c:extLst>
        </c:ser>
        <c:ser>
          <c:idx val="12"/>
          <c:order val="12"/>
          <c:tx>
            <c:strRef>
              <c:f>'results (2)'!$A$17</c:f>
              <c:strCache>
                <c:ptCount val="1"/>
                <c:pt idx="0">
                  <c:v>HTL annealing</c:v>
                </c:pt>
              </c:strCache>
            </c:strRef>
          </c:tx>
          <c:spPr>
            <a:solidFill>
              <a:schemeClr val="accent1">
                <a:lumMod val="80000"/>
                <a:lumOff val="20000"/>
              </a:schemeClr>
            </a:solidFill>
            <a:ln>
              <a:noFill/>
            </a:ln>
            <a:effectLst/>
          </c:spPr>
          <c:invertIfNegative val="0"/>
          <c:cat>
            <c:strRef>
              <c:f>'results (2)'!$D$2:$X$2</c:f>
              <c:strCache>
                <c:ptCount val="5"/>
                <c:pt idx="3">
                  <c:v>Carbon footprint</c:v>
                </c:pt>
                <c:pt idx="4">
                  <c:v>Primary energy consumption</c:v>
                </c:pt>
              </c:strCache>
            </c:strRef>
          </c:cat>
          <c:val>
            <c:numRef>
              <c:f>'results (2)'!$D$17:$X$17</c:f>
              <c:numCache>
                <c:formatCode>General</c:formatCode>
                <c:ptCount val="21"/>
                <c:pt idx="3">
                  <c:v>30.668544024534835</c:v>
                </c:pt>
                <c:pt idx="4">
                  <c:v>539.63723811714988</c:v>
                </c:pt>
              </c:numCache>
            </c:numRef>
          </c:val>
          <c:extLst>
            <c:ext xmlns:c16="http://schemas.microsoft.com/office/drawing/2014/chart" uri="{C3380CC4-5D6E-409C-BE32-E72D297353CC}">
              <c16:uniqueId val="{0000000C-3AC3-42FD-8082-C56C8D41720D}"/>
            </c:ext>
          </c:extLst>
        </c:ser>
        <c:ser>
          <c:idx val="13"/>
          <c:order val="13"/>
          <c:tx>
            <c:strRef>
              <c:f>'results (2)'!$A$18</c:f>
              <c:strCache>
                <c:ptCount val="1"/>
                <c:pt idx="0">
                  <c:v>Inert gas purging</c:v>
                </c:pt>
              </c:strCache>
            </c:strRef>
          </c:tx>
          <c:spPr>
            <a:solidFill>
              <a:schemeClr val="accent2">
                <a:lumMod val="80000"/>
                <a:lumOff val="20000"/>
              </a:schemeClr>
            </a:solidFill>
            <a:ln>
              <a:noFill/>
            </a:ln>
            <a:effectLst/>
          </c:spPr>
          <c:invertIfNegative val="0"/>
          <c:cat>
            <c:strRef>
              <c:f>'results (2)'!$D$2:$X$2</c:f>
              <c:strCache>
                <c:ptCount val="5"/>
                <c:pt idx="3">
                  <c:v>Carbon footprint</c:v>
                </c:pt>
                <c:pt idx="4">
                  <c:v>Primary energy consumption</c:v>
                </c:pt>
              </c:strCache>
            </c:strRef>
          </c:cat>
          <c:val>
            <c:numRef>
              <c:f>'results (2)'!$D$18:$X$18</c:f>
              <c:numCache>
                <c:formatCode>General</c:formatCode>
                <c:ptCount val="21"/>
                <c:pt idx="3">
                  <c:v>3.7270800029816638</c:v>
                </c:pt>
                <c:pt idx="4">
                  <c:v>65.580914354514732</c:v>
                </c:pt>
              </c:numCache>
            </c:numRef>
          </c:val>
          <c:extLst>
            <c:ext xmlns:c16="http://schemas.microsoft.com/office/drawing/2014/chart" uri="{C3380CC4-5D6E-409C-BE32-E72D297353CC}">
              <c16:uniqueId val="{0000000D-3AC3-42FD-8082-C56C8D41720D}"/>
            </c:ext>
          </c:extLst>
        </c:ser>
        <c:ser>
          <c:idx val="14"/>
          <c:order val="14"/>
          <c:tx>
            <c:strRef>
              <c:f>'results (2)'!$A$19</c:f>
              <c:strCache>
                <c:ptCount val="1"/>
                <c:pt idx="0">
                  <c:v>PL 1st-step spin coating</c:v>
                </c:pt>
              </c:strCache>
            </c:strRef>
          </c:tx>
          <c:spPr>
            <a:solidFill>
              <a:schemeClr val="accent3">
                <a:lumMod val="80000"/>
                <a:lumOff val="20000"/>
              </a:schemeClr>
            </a:solidFill>
            <a:ln>
              <a:noFill/>
            </a:ln>
            <a:effectLst/>
          </c:spPr>
          <c:invertIfNegative val="0"/>
          <c:cat>
            <c:strRef>
              <c:f>'results (2)'!$D$2:$X$2</c:f>
              <c:strCache>
                <c:ptCount val="5"/>
                <c:pt idx="3">
                  <c:v>Carbon footprint</c:v>
                </c:pt>
                <c:pt idx="4">
                  <c:v>Primary energy consumption</c:v>
                </c:pt>
              </c:strCache>
            </c:strRef>
          </c:cat>
          <c:val>
            <c:numRef>
              <c:f>'results (2)'!$D$19:$X$19</c:f>
              <c:numCache>
                <c:formatCode>General</c:formatCode>
                <c:ptCount val="21"/>
                <c:pt idx="3">
                  <c:v>8.4576274476780081E-2</c:v>
                </c:pt>
                <c:pt idx="4">
                  <c:v>1.4881863036072136</c:v>
                </c:pt>
              </c:numCache>
            </c:numRef>
          </c:val>
          <c:extLst>
            <c:ext xmlns:c16="http://schemas.microsoft.com/office/drawing/2014/chart" uri="{C3380CC4-5D6E-409C-BE32-E72D297353CC}">
              <c16:uniqueId val="{0000000E-3AC3-42FD-8082-C56C8D41720D}"/>
            </c:ext>
          </c:extLst>
        </c:ser>
        <c:ser>
          <c:idx val="15"/>
          <c:order val="15"/>
          <c:tx>
            <c:strRef>
              <c:f>'results (2)'!$A$20</c:f>
              <c:strCache>
                <c:ptCount val="1"/>
                <c:pt idx="0">
                  <c:v>PL drying</c:v>
                </c:pt>
              </c:strCache>
            </c:strRef>
          </c:tx>
          <c:spPr>
            <a:solidFill>
              <a:schemeClr val="accent4">
                <a:lumMod val="80000"/>
                <a:lumOff val="20000"/>
              </a:schemeClr>
            </a:solidFill>
            <a:ln>
              <a:noFill/>
            </a:ln>
            <a:effectLst/>
          </c:spPr>
          <c:invertIfNegative val="0"/>
          <c:cat>
            <c:strRef>
              <c:f>'results (2)'!$D$2:$X$2</c:f>
              <c:strCache>
                <c:ptCount val="5"/>
                <c:pt idx="3">
                  <c:v>Carbon footprint</c:v>
                </c:pt>
                <c:pt idx="4">
                  <c:v>Primary energy consumption</c:v>
                </c:pt>
              </c:strCache>
            </c:strRef>
          </c:cat>
          <c:val>
            <c:numRef>
              <c:f>'results (2)'!$D$20:$X$20</c:f>
              <c:numCache>
                <c:formatCode>General</c:formatCode>
                <c:ptCount val="21"/>
                <c:pt idx="3">
                  <c:v>1.1926656009541325</c:v>
                </c:pt>
                <c:pt idx="4">
                  <c:v>20.985892593444717</c:v>
                </c:pt>
              </c:numCache>
            </c:numRef>
          </c:val>
          <c:extLst>
            <c:ext xmlns:c16="http://schemas.microsoft.com/office/drawing/2014/chart" uri="{C3380CC4-5D6E-409C-BE32-E72D297353CC}">
              <c16:uniqueId val="{0000000F-3AC3-42FD-8082-C56C8D41720D}"/>
            </c:ext>
          </c:extLst>
        </c:ser>
        <c:ser>
          <c:idx val="16"/>
          <c:order val="16"/>
          <c:tx>
            <c:strRef>
              <c:f>'results (2)'!$A$21</c:f>
              <c:strCache>
                <c:ptCount val="1"/>
                <c:pt idx="0">
                  <c:v>PL 2nd-step spin coating</c:v>
                </c:pt>
              </c:strCache>
            </c:strRef>
          </c:tx>
          <c:spPr>
            <a:solidFill>
              <a:schemeClr val="accent5">
                <a:lumMod val="80000"/>
                <a:lumOff val="20000"/>
              </a:schemeClr>
            </a:solidFill>
            <a:ln>
              <a:noFill/>
            </a:ln>
            <a:effectLst/>
          </c:spPr>
          <c:invertIfNegative val="0"/>
          <c:cat>
            <c:strRef>
              <c:f>'results (2)'!$D$2:$X$2</c:f>
              <c:strCache>
                <c:ptCount val="5"/>
                <c:pt idx="3">
                  <c:v>Carbon footprint</c:v>
                </c:pt>
                <c:pt idx="4">
                  <c:v>Primary energy consumption</c:v>
                </c:pt>
              </c:strCache>
            </c:strRef>
          </c:cat>
          <c:val>
            <c:numRef>
              <c:f>'results (2)'!$D$21:$X$21</c:f>
              <c:numCache>
                <c:formatCode>General</c:formatCode>
                <c:ptCount val="21"/>
                <c:pt idx="3">
                  <c:v>4.2288137238390036</c:v>
                </c:pt>
                <c:pt idx="4">
                  <c:v>74.409315180360679</c:v>
                </c:pt>
              </c:numCache>
            </c:numRef>
          </c:val>
          <c:extLst>
            <c:ext xmlns:c16="http://schemas.microsoft.com/office/drawing/2014/chart" uri="{C3380CC4-5D6E-409C-BE32-E72D297353CC}">
              <c16:uniqueId val="{00000010-3AC3-42FD-8082-C56C8D41720D}"/>
            </c:ext>
          </c:extLst>
        </c:ser>
        <c:ser>
          <c:idx val="17"/>
          <c:order val="17"/>
          <c:tx>
            <c:strRef>
              <c:f>'results (2)'!$A$22</c:f>
              <c:strCache>
                <c:ptCount val="1"/>
                <c:pt idx="0">
                  <c:v>PL annealing</c:v>
                </c:pt>
              </c:strCache>
            </c:strRef>
          </c:tx>
          <c:spPr>
            <a:solidFill>
              <a:schemeClr val="accent6">
                <a:lumMod val="80000"/>
                <a:lumOff val="20000"/>
              </a:schemeClr>
            </a:solidFill>
            <a:ln>
              <a:noFill/>
            </a:ln>
            <a:effectLst/>
          </c:spPr>
          <c:invertIfNegative val="0"/>
          <c:cat>
            <c:strRef>
              <c:f>'results (2)'!$D$2:$X$2</c:f>
              <c:strCache>
                <c:ptCount val="5"/>
                <c:pt idx="3">
                  <c:v>Carbon footprint</c:v>
                </c:pt>
                <c:pt idx="4">
                  <c:v>Primary energy consumption</c:v>
                </c:pt>
              </c:strCache>
            </c:strRef>
          </c:cat>
          <c:val>
            <c:numRef>
              <c:f>'results (2)'!$D$22:$X$22</c:f>
              <c:numCache>
                <c:formatCode>General</c:formatCode>
                <c:ptCount val="21"/>
                <c:pt idx="3">
                  <c:v>20.445696016356557</c:v>
                </c:pt>
                <c:pt idx="4">
                  <c:v>359.75815874476655</c:v>
                </c:pt>
              </c:numCache>
            </c:numRef>
          </c:val>
          <c:extLst>
            <c:ext xmlns:c16="http://schemas.microsoft.com/office/drawing/2014/chart" uri="{C3380CC4-5D6E-409C-BE32-E72D297353CC}">
              <c16:uniqueId val="{00000011-3AC3-42FD-8082-C56C8D41720D}"/>
            </c:ext>
          </c:extLst>
        </c:ser>
        <c:ser>
          <c:idx val="18"/>
          <c:order val="18"/>
          <c:tx>
            <c:strRef>
              <c:f>'results (2)'!$A$23</c:f>
              <c:strCache>
                <c:ptCount val="1"/>
                <c:pt idx="0">
                  <c:v>ETL spin coating</c:v>
                </c:pt>
              </c:strCache>
            </c:strRef>
          </c:tx>
          <c:spPr>
            <a:solidFill>
              <a:schemeClr val="accent1">
                <a:lumMod val="80000"/>
              </a:schemeClr>
            </a:solidFill>
            <a:ln>
              <a:noFill/>
            </a:ln>
            <a:effectLst/>
          </c:spPr>
          <c:invertIfNegative val="0"/>
          <c:cat>
            <c:strRef>
              <c:f>'results (2)'!$D$2:$X$2</c:f>
              <c:strCache>
                <c:ptCount val="5"/>
                <c:pt idx="3">
                  <c:v>Carbon footprint</c:v>
                </c:pt>
                <c:pt idx="4">
                  <c:v>Primary energy consumption</c:v>
                </c:pt>
              </c:strCache>
            </c:strRef>
          </c:cat>
          <c:val>
            <c:numRef>
              <c:f>'results (2)'!$D$23:$X$23</c:f>
              <c:numCache>
                <c:formatCode>General</c:formatCode>
                <c:ptCount val="21"/>
                <c:pt idx="3">
                  <c:v>4.7574154393188799</c:v>
                </c:pt>
                <c:pt idx="4">
                  <c:v>83.710479577905772</c:v>
                </c:pt>
              </c:numCache>
            </c:numRef>
          </c:val>
          <c:extLst>
            <c:ext xmlns:c16="http://schemas.microsoft.com/office/drawing/2014/chart" uri="{C3380CC4-5D6E-409C-BE32-E72D297353CC}">
              <c16:uniqueId val="{00000012-3AC3-42FD-8082-C56C8D41720D}"/>
            </c:ext>
          </c:extLst>
        </c:ser>
        <c:ser>
          <c:idx val="19"/>
          <c:order val="19"/>
          <c:tx>
            <c:strRef>
              <c:f>'results (2)'!$A$24</c:f>
              <c:strCache>
                <c:ptCount val="1"/>
                <c:pt idx="0">
                  <c:v>Vacuum pump</c:v>
                </c:pt>
              </c:strCache>
            </c:strRef>
          </c:tx>
          <c:spPr>
            <a:solidFill>
              <a:schemeClr val="accent2">
                <a:lumMod val="80000"/>
              </a:schemeClr>
            </a:solidFill>
            <a:ln>
              <a:noFill/>
            </a:ln>
            <a:effectLst/>
          </c:spPr>
          <c:invertIfNegative val="0"/>
          <c:cat>
            <c:strRef>
              <c:f>'results (2)'!$D$2:$X$2</c:f>
              <c:strCache>
                <c:ptCount val="5"/>
                <c:pt idx="3">
                  <c:v>Carbon footprint</c:v>
                </c:pt>
                <c:pt idx="4">
                  <c:v>Primary energy consumption</c:v>
                </c:pt>
              </c:strCache>
            </c:strRef>
          </c:cat>
          <c:val>
            <c:numRef>
              <c:f>'results (2)'!$D$24:$X$24</c:f>
              <c:numCache>
                <c:formatCode>General</c:formatCode>
                <c:ptCount val="21"/>
                <c:pt idx="3">
                  <c:v>6.5312640052250099</c:v>
                </c:pt>
                <c:pt idx="4">
                  <c:v>114.92274515457818</c:v>
                </c:pt>
              </c:numCache>
            </c:numRef>
          </c:val>
          <c:extLst>
            <c:ext xmlns:c16="http://schemas.microsoft.com/office/drawing/2014/chart" uri="{C3380CC4-5D6E-409C-BE32-E72D297353CC}">
              <c16:uniqueId val="{00000013-3AC3-42FD-8082-C56C8D41720D}"/>
            </c:ext>
          </c:extLst>
        </c:ser>
        <c:ser>
          <c:idx val="20"/>
          <c:order val="20"/>
          <c:tx>
            <c:strRef>
              <c:f>'results (2)'!$A$25</c:f>
              <c:strCache>
                <c:ptCount val="1"/>
                <c:pt idx="0">
                  <c:v>Evaporation</c:v>
                </c:pt>
              </c:strCache>
            </c:strRef>
          </c:tx>
          <c:spPr>
            <a:solidFill>
              <a:schemeClr val="accent3">
                <a:lumMod val="80000"/>
              </a:schemeClr>
            </a:solidFill>
            <a:ln>
              <a:noFill/>
            </a:ln>
            <a:effectLst/>
          </c:spPr>
          <c:invertIfNegative val="0"/>
          <c:cat>
            <c:strRef>
              <c:f>'results (2)'!$D$2:$X$2</c:f>
              <c:strCache>
                <c:ptCount val="5"/>
                <c:pt idx="3">
                  <c:v>Carbon footprint</c:v>
                </c:pt>
                <c:pt idx="4">
                  <c:v>Primary energy consumption</c:v>
                </c:pt>
              </c:strCache>
            </c:strRef>
          </c:cat>
          <c:val>
            <c:numRef>
              <c:f>'results (2)'!$D$25:$X$25</c:f>
              <c:numCache>
                <c:formatCode>General</c:formatCode>
                <c:ptCount val="21"/>
                <c:pt idx="3">
                  <c:v>3.7862400030289916</c:v>
                </c:pt>
                <c:pt idx="4">
                  <c:v>66.621881249030835</c:v>
                </c:pt>
              </c:numCache>
            </c:numRef>
          </c:val>
          <c:extLst>
            <c:ext xmlns:c16="http://schemas.microsoft.com/office/drawing/2014/chart" uri="{C3380CC4-5D6E-409C-BE32-E72D297353CC}">
              <c16:uniqueId val="{00000014-3AC3-42FD-8082-C56C8D41720D}"/>
            </c:ext>
          </c:extLst>
        </c:ser>
        <c:ser>
          <c:idx val="21"/>
          <c:order val="21"/>
          <c:tx>
            <c:strRef>
              <c:f>'results (2)'!$A$26</c:f>
              <c:strCache>
                <c:ptCount val="1"/>
                <c:pt idx="0">
                  <c:v>Cooling</c:v>
                </c:pt>
              </c:strCache>
            </c:strRef>
          </c:tx>
          <c:spPr>
            <a:solidFill>
              <a:schemeClr val="accent4">
                <a:lumMod val="80000"/>
              </a:schemeClr>
            </a:solidFill>
            <a:ln>
              <a:noFill/>
            </a:ln>
            <a:effectLst/>
          </c:spPr>
          <c:invertIfNegative val="0"/>
          <c:cat>
            <c:strRef>
              <c:f>'results (2)'!$D$2:$X$2</c:f>
              <c:strCache>
                <c:ptCount val="5"/>
                <c:pt idx="3">
                  <c:v>Carbon footprint</c:v>
                </c:pt>
                <c:pt idx="4">
                  <c:v>Primary energy consumption</c:v>
                </c:pt>
              </c:strCache>
            </c:strRef>
          </c:cat>
          <c:val>
            <c:numRef>
              <c:f>'results (2)'!$D$26:$X$26</c:f>
              <c:numCache>
                <c:formatCode>General</c:formatCode>
                <c:ptCount val="21"/>
                <c:pt idx="3">
                  <c:v>11.358720009086975</c:v>
                </c:pt>
                <c:pt idx="4">
                  <c:v>199.86564374709252</c:v>
                </c:pt>
              </c:numCache>
            </c:numRef>
          </c:val>
          <c:extLst>
            <c:ext xmlns:c16="http://schemas.microsoft.com/office/drawing/2014/chart" uri="{C3380CC4-5D6E-409C-BE32-E72D297353CC}">
              <c16:uniqueId val="{00000015-3AC3-42FD-8082-C56C8D41720D}"/>
            </c:ext>
          </c:extLst>
        </c:ser>
        <c:ser>
          <c:idx val="22"/>
          <c:order val="22"/>
          <c:tx>
            <c:strRef>
              <c:f>'results (2)'!$A$27</c:f>
              <c:strCache>
                <c:ptCount val="1"/>
                <c:pt idx="0">
                  <c:v>Direct emissions</c:v>
                </c:pt>
              </c:strCache>
            </c:strRef>
          </c:tx>
          <c:spPr>
            <a:solidFill>
              <a:schemeClr val="accent5">
                <a:lumMod val="80000"/>
              </a:schemeClr>
            </a:solidFill>
            <a:ln>
              <a:noFill/>
            </a:ln>
            <a:effectLst/>
          </c:spPr>
          <c:invertIfNegative val="0"/>
          <c:cat>
            <c:strRef>
              <c:f>'results (2)'!$D$2:$X$2</c:f>
              <c:strCache>
                <c:ptCount val="5"/>
                <c:pt idx="3">
                  <c:v>Carbon footprint</c:v>
                </c:pt>
                <c:pt idx="4">
                  <c:v>Primary energy consumption</c:v>
                </c:pt>
              </c:strCache>
            </c:strRef>
          </c:cat>
          <c:val>
            <c:numRef>
              <c:f>'results (2)'!$D$27:$X$27</c:f>
              <c:numCache>
                <c:formatCode>General</c:formatCode>
                <c:ptCount val="21"/>
                <c:pt idx="3">
                  <c:v>0</c:v>
                </c:pt>
                <c:pt idx="4">
                  <c:v>0</c:v>
                </c:pt>
              </c:numCache>
            </c:numRef>
          </c:val>
          <c:extLst>
            <c:ext xmlns:c16="http://schemas.microsoft.com/office/drawing/2014/chart" uri="{C3380CC4-5D6E-409C-BE32-E72D297353CC}">
              <c16:uniqueId val="{00000016-3AC3-42FD-8082-C56C8D41720D}"/>
            </c:ext>
          </c:extLst>
        </c:ser>
        <c:ser>
          <c:idx val="23"/>
          <c:order val="23"/>
          <c:tx>
            <c:strRef>
              <c:f>'results (2)'!$A$28</c:f>
              <c:strCache>
                <c:ptCount val="1"/>
                <c:pt idx="0">
                  <c:v>Treatment</c:v>
                </c:pt>
              </c:strCache>
            </c:strRef>
          </c:tx>
          <c:spPr>
            <a:solidFill>
              <a:schemeClr val="accent6">
                <a:lumMod val="80000"/>
              </a:schemeClr>
            </a:solidFill>
            <a:ln>
              <a:noFill/>
            </a:ln>
            <a:effectLst/>
          </c:spPr>
          <c:invertIfNegative val="0"/>
          <c:cat>
            <c:strRef>
              <c:f>'results (2)'!$D$2:$X$2</c:f>
              <c:strCache>
                <c:ptCount val="5"/>
                <c:pt idx="3">
                  <c:v>Carbon footprint</c:v>
                </c:pt>
                <c:pt idx="4">
                  <c:v>Primary energy consumption</c:v>
                </c:pt>
              </c:strCache>
            </c:strRef>
          </c:cat>
          <c:val>
            <c:numRef>
              <c:f>'results (2)'!$D$28:$X$28</c:f>
              <c:numCache>
                <c:formatCode>General</c:formatCode>
                <c:ptCount val="21"/>
                <c:pt idx="3">
                  <c:v>1.44631779E-4</c:v>
                </c:pt>
                <c:pt idx="4">
                  <c:v>1.2086428794910004E-3</c:v>
                </c:pt>
              </c:numCache>
            </c:numRef>
          </c:val>
          <c:extLst>
            <c:ext xmlns:c16="http://schemas.microsoft.com/office/drawing/2014/chart" uri="{C3380CC4-5D6E-409C-BE32-E72D297353CC}">
              <c16:uniqueId val="{00000017-3AC3-42FD-8082-C56C8D41720D}"/>
            </c:ext>
          </c:extLst>
        </c:ser>
        <c:ser>
          <c:idx val="24"/>
          <c:order val="24"/>
          <c:tx>
            <c:strRef>
              <c:f>'results (2)'!$A$29</c:f>
              <c:strCache>
                <c:ptCount val="1"/>
                <c:pt idx="0">
                  <c:v>End of life</c:v>
                </c:pt>
              </c:strCache>
            </c:strRef>
          </c:tx>
          <c:spPr>
            <a:solidFill>
              <a:schemeClr val="accent1">
                <a:lumMod val="60000"/>
                <a:lumOff val="40000"/>
              </a:schemeClr>
            </a:solidFill>
            <a:ln>
              <a:noFill/>
            </a:ln>
            <a:effectLst/>
          </c:spPr>
          <c:invertIfNegative val="0"/>
          <c:cat>
            <c:strRef>
              <c:f>'results (2)'!$D$2:$X$2</c:f>
              <c:strCache>
                <c:ptCount val="5"/>
                <c:pt idx="3">
                  <c:v>Carbon footprint</c:v>
                </c:pt>
                <c:pt idx="4">
                  <c:v>Primary energy consumption</c:v>
                </c:pt>
              </c:strCache>
            </c:strRef>
          </c:cat>
          <c:val>
            <c:numRef>
              <c:f>'results (2)'!$D$29:$X$29</c:f>
              <c:numCache>
                <c:formatCode>General</c:formatCode>
                <c:ptCount val="21"/>
                <c:pt idx="3">
                  <c:v>0.15919747552941177</c:v>
                </c:pt>
                <c:pt idx="4">
                  <c:v>2.7861947098039215</c:v>
                </c:pt>
              </c:numCache>
            </c:numRef>
          </c:val>
          <c:extLst>
            <c:ext xmlns:c16="http://schemas.microsoft.com/office/drawing/2014/chart" uri="{C3380CC4-5D6E-409C-BE32-E72D297353CC}">
              <c16:uniqueId val="{00000018-3AC3-42FD-8082-C56C8D41720D}"/>
            </c:ext>
          </c:extLst>
        </c:ser>
        <c:dLbls>
          <c:showLegendKey val="0"/>
          <c:showVal val="0"/>
          <c:showCatName val="0"/>
          <c:showSerName val="0"/>
          <c:showPercent val="0"/>
          <c:showBubbleSize val="0"/>
        </c:dLbls>
        <c:gapWidth val="150"/>
        <c:overlap val="100"/>
        <c:axId val="750237215"/>
        <c:axId val="1267489135"/>
      </c:barChart>
      <c:catAx>
        <c:axId val="75023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en-US"/>
          </a:p>
        </c:txPr>
        <c:crossAx val="1267489135"/>
        <c:crosses val="autoZero"/>
        <c:auto val="1"/>
        <c:lblAlgn val="ctr"/>
        <c:lblOffset val="100"/>
        <c:noMultiLvlLbl val="0"/>
      </c:catAx>
      <c:valAx>
        <c:axId val="1267489135"/>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0237215"/>
        <c:crosses val="autoZero"/>
        <c:crossBetween val="between"/>
      </c:valAx>
      <c:spPr>
        <a:noFill/>
        <a:ln>
          <a:noFill/>
        </a:ln>
        <a:effectLst/>
      </c:spPr>
    </c:plotArea>
    <c:legend>
      <c:legendPos val="b"/>
      <c:layout>
        <c:manualLayout>
          <c:xMode val="edge"/>
          <c:yMode val="edge"/>
          <c:x val="2.0013250770838108E-2"/>
          <c:y val="0.79863006402220005"/>
          <c:w val="0.74247002908420234"/>
          <c:h val="0.2013699359778000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472838992855068"/>
          <c:y val="0.21284740449110529"/>
          <c:w val="0.45023707710159649"/>
          <c:h val="0.75474518810148727"/>
        </c:manualLayout>
      </c:layout>
      <c:pieChart>
        <c:varyColors val="1"/>
        <c:ser>
          <c:idx val="0"/>
          <c:order val="0"/>
          <c:tx>
            <c:strRef>
              <c:f>'material inventory'!$N$2</c:f>
              <c:strCache>
                <c:ptCount val="1"/>
                <c:pt idx="0">
                  <c:v>Carbon footprint</c:v>
                </c:pt>
              </c:strCache>
            </c:strRef>
          </c:tx>
          <c:dPt>
            <c:idx val="0"/>
            <c:bubble3D val="0"/>
            <c:spPr>
              <a:solidFill>
                <a:srgbClr val="80B1D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35-41E7-922F-1C80771F68EC}"/>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A16-4E60-ADC2-1792D672B1C1}"/>
              </c:ext>
            </c:extLst>
          </c:dPt>
          <c:dPt>
            <c:idx val="2"/>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2A16-4E60-ADC2-1792D672B1C1}"/>
              </c:ext>
            </c:extLst>
          </c:dPt>
          <c:dPt>
            <c:idx val="3"/>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A16-4E60-ADC2-1792D672B1C1}"/>
              </c:ext>
            </c:extLst>
          </c:dPt>
          <c:dPt>
            <c:idx val="4"/>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A16-4E60-ADC2-1792D672B1C1}"/>
              </c:ext>
            </c:extLst>
          </c:dPt>
          <c:dPt>
            <c:idx val="5"/>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2A16-4E60-ADC2-1792D672B1C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A16-4E60-ADC2-1792D672B1C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A16-4E60-ADC2-1792D672B1C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A16-4E60-ADC2-1792D672B1C1}"/>
              </c:ext>
            </c:extLst>
          </c:dPt>
          <c:dPt>
            <c:idx val="9"/>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16-4E60-ADC2-1792D672B1C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B12A-4163-8D71-B1591522C24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2912-4365-8BC0-C7163A6D92F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961-4AC1-B86C-3CCB7427BAEE}"/>
              </c:ext>
            </c:extLst>
          </c:dPt>
          <c:dLbls>
            <c:dLbl>
              <c:idx val="1"/>
              <c:delete val="1"/>
              <c:extLst>
                <c:ext xmlns:c15="http://schemas.microsoft.com/office/drawing/2012/chart" uri="{CE6537A1-D6FC-4f65-9D91-7224C49458BB}"/>
                <c:ext xmlns:c16="http://schemas.microsoft.com/office/drawing/2014/chart" uri="{C3380CC4-5D6E-409C-BE32-E72D297353CC}">
                  <c16:uniqueId val="{00000009-2A16-4E60-ADC2-1792D672B1C1}"/>
                </c:ext>
              </c:extLst>
            </c:dLbl>
            <c:dLbl>
              <c:idx val="2"/>
              <c:delete val="1"/>
              <c:extLst>
                <c:ext xmlns:c15="http://schemas.microsoft.com/office/drawing/2012/chart" uri="{CE6537A1-D6FC-4f65-9D91-7224C49458BB}"/>
                <c:ext xmlns:c16="http://schemas.microsoft.com/office/drawing/2014/chart" uri="{C3380CC4-5D6E-409C-BE32-E72D297353CC}">
                  <c16:uniqueId val="{00000008-2A16-4E60-ADC2-1792D672B1C1}"/>
                </c:ext>
              </c:extLst>
            </c:dLbl>
            <c:dLbl>
              <c:idx val="3"/>
              <c:delete val="1"/>
              <c:extLst>
                <c:ext xmlns:c15="http://schemas.microsoft.com/office/drawing/2012/chart" uri="{CE6537A1-D6FC-4f65-9D91-7224C49458BB}"/>
                <c:ext xmlns:c16="http://schemas.microsoft.com/office/drawing/2014/chart" uri="{C3380CC4-5D6E-409C-BE32-E72D297353CC}">
                  <c16:uniqueId val="{00000004-2A16-4E60-ADC2-1792D672B1C1}"/>
                </c:ext>
              </c:extLst>
            </c:dLbl>
            <c:dLbl>
              <c:idx val="4"/>
              <c:delete val="1"/>
              <c:extLst>
                <c:ext xmlns:c15="http://schemas.microsoft.com/office/drawing/2012/chart" uri="{CE6537A1-D6FC-4f65-9D91-7224C49458BB}"/>
                <c:ext xmlns:c16="http://schemas.microsoft.com/office/drawing/2014/chart" uri="{C3380CC4-5D6E-409C-BE32-E72D297353CC}">
                  <c16:uniqueId val="{00000007-2A16-4E60-ADC2-1792D672B1C1}"/>
                </c:ext>
              </c:extLst>
            </c:dLbl>
            <c:dLbl>
              <c:idx val="5"/>
              <c:delete val="1"/>
              <c:extLst>
                <c:ext xmlns:c15="http://schemas.microsoft.com/office/drawing/2012/chart" uri="{CE6537A1-D6FC-4f65-9D91-7224C49458BB}"/>
                <c:ext xmlns:c16="http://schemas.microsoft.com/office/drawing/2014/chart" uri="{C3380CC4-5D6E-409C-BE32-E72D297353CC}">
                  <c16:uniqueId val="{00000006-2A16-4E60-ADC2-1792D672B1C1}"/>
                </c:ext>
              </c:extLst>
            </c:dLbl>
            <c:dLbl>
              <c:idx val="6"/>
              <c:delete val="1"/>
              <c:extLst>
                <c:ext xmlns:c15="http://schemas.microsoft.com/office/drawing/2012/chart" uri="{CE6537A1-D6FC-4f65-9D91-7224C49458BB}"/>
                <c:ext xmlns:c16="http://schemas.microsoft.com/office/drawing/2014/chart" uri="{C3380CC4-5D6E-409C-BE32-E72D297353CC}">
                  <c16:uniqueId val="{00000005-2A16-4E60-ADC2-1792D672B1C1}"/>
                </c:ext>
              </c:extLst>
            </c:dLbl>
            <c:dLbl>
              <c:idx val="7"/>
              <c:delete val="1"/>
              <c:extLst>
                <c:ext xmlns:c15="http://schemas.microsoft.com/office/drawing/2012/chart" uri="{CE6537A1-D6FC-4f65-9D91-7224C49458BB}"/>
                <c:ext xmlns:c16="http://schemas.microsoft.com/office/drawing/2014/chart" uri="{C3380CC4-5D6E-409C-BE32-E72D297353CC}">
                  <c16:uniqueId val="{00000003-2A16-4E60-ADC2-1792D672B1C1}"/>
                </c:ext>
              </c:extLst>
            </c:dLbl>
            <c:dLbl>
              <c:idx val="9"/>
              <c:layout>
                <c:manualLayout>
                  <c:x val="8.6698162729658745E-2"/>
                  <c:y val="1.208406240886553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16-4E60-ADC2-1792D672B1C1}"/>
                </c:ext>
              </c:extLst>
            </c:dLbl>
            <c:dLbl>
              <c:idx val="10"/>
              <c:delete val="1"/>
              <c:extLst>
                <c:ext xmlns:c15="http://schemas.microsoft.com/office/drawing/2012/chart" uri="{CE6537A1-D6FC-4f65-9D91-7224C49458BB}"/>
                <c:ext xmlns:c16="http://schemas.microsoft.com/office/drawing/2014/chart" uri="{C3380CC4-5D6E-409C-BE32-E72D297353CC}">
                  <c16:uniqueId val="{00000014-B12A-4163-8D71-B1591522C24B}"/>
                </c:ext>
              </c:extLst>
            </c:dLbl>
            <c:dLbl>
              <c:idx val="11"/>
              <c:delete val="1"/>
              <c:extLst>
                <c:ext xmlns:c15="http://schemas.microsoft.com/office/drawing/2012/chart" uri="{CE6537A1-D6FC-4f65-9D91-7224C49458BB}"/>
                <c:ext xmlns:c16="http://schemas.microsoft.com/office/drawing/2014/chart" uri="{C3380CC4-5D6E-409C-BE32-E72D297353CC}">
                  <c16:uniqueId val="{00000016-2912-4365-8BC0-C7163A6D92F3}"/>
                </c:ext>
              </c:extLst>
            </c:dLbl>
            <c:dLbl>
              <c:idx val="12"/>
              <c:delete val="1"/>
              <c:extLst>
                <c:ext xmlns:c15="http://schemas.microsoft.com/office/drawing/2012/chart" uri="{CE6537A1-D6FC-4f65-9D91-7224C49458BB}"/>
                <c:ext xmlns:c16="http://schemas.microsoft.com/office/drawing/2014/chart" uri="{C3380CC4-5D6E-409C-BE32-E72D297353CC}">
                  <c16:uniqueId val="{00000019-1961-4AC1-B86C-3CCB7427BAE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('material inventory'!$M$3:$M$14,'material inventory'!$M$26)</c:f>
              <c:strCache>
                <c:ptCount val="13"/>
                <c:pt idx="0">
                  <c:v>ITO glass</c:v>
                </c:pt>
                <c:pt idx="1">
                  <c:v>Ethanol</c:v>
                </c:pt>
                <c:pt idx="2">
                  <c:v>Deionized water</c:v>
                </c:pt>
                <c:pt idx="3">
                  <c:v>NiOₓ precursor solution</c:v>
                </c:pt>
                <c:pt idx="4">
                  <c:v>PbI₂</c:v>
                </c:pt>
                <c:pt idx="5">
                  <c:v>Dimethylformamide</c:v>
                </c:pt>
                <c:pt idx="6">
                  <c:v>MAI</c:v>
                </c:pt>
                <c:pt idx="7">
                  <c:v>Isopropanol</c:v>
                </c:pt>
                <c:pt idx="8">
                  <c:v>Nitrogen</c:v>
                </c:pt>
                <c:pt idx="9">
                  <c:v>ZnO nanoparticles</c:v>
                </c:pt>
                <c:pt idx="10">
                  <c:v>Al</c:v>
                </c:pt>
                <c:pt idx="11">
                  <c:v>Direct emissions</c:v>
                </c:pt>
                <c:pt idx="12">
                  <c:v>Treatment</c:v>
                </c:pt>
              </c:strCache>
            </c:strRef>
          </c:cat>
          <c:val>
            <c:numRef>
              <c:f>('material inventory'!$N$3:$N$14,'material inventory'!$N$26)</c:f>
              <c:numCache>
                <c:formatCode>0.000E+00</c:formatCode>
                <c:ptCount val="13"/>
                <c:pt idx="0">
                  <c:v>16.837863429999999</c:v>
                </c:pt>
                <c:pt idx="1">
                  <c:v>3.6067691999999998E-2</c:v>
                </c:pt>
                <c:pt idx="2">
                  <c:v>5.6916582000000001E-5</c:v>
                </c:pt>
                <c:pt idx="3">
                  <c:v>4.2979770179029153E-2</c:v>
                </c:pt>
                <c:pt idx="4">
                  <c:v>3.838655237013149E-3</c:v>
                </c:pt>
                <c:pt idx="5">
                  <c:v>4.9592742707200007E-3</c:v>
                </c:pt>
                <c:pt idx="6">
                  <c:v>4.6867017566034591E-2</c:v>
                </c:pt>
                <c:pt idx="7">
                  <c:v>8.3180559359999993E-3</c:v>
                </c:pt>
                <c:pt idx="8">
                  <c:v>1.6371150925259081</c:v>
                </c:pt>
                <c:pt idx="9">
                  <c:v>8.5029392225674544E-2</c:v>
                </c:pt>
                <c:pt idx="10">
                  <c:v>7.007356097560976E-3</c:v>
                </c:pt>
                <c:pt idx="11">
                  <c:v>0</c:v>
                </c:pt>
                <c:pt idx="12">
                  <c:v>1.44631779E-4</c:v>
                </c:pt>
              </c:numCache>
            </c:numRef>
          </c:val>
          <c:extLst>
            <c:ext xmlns:c16="http://schemas.microsoft.com/office/drawing/2014/chart" uri="{C3380CC4-5D6E-409C-BE32-E72D297353CC}">
              <c16:uniqueId val="{00000000-2A16-4E60-ADC2-1792D672B1C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795297462817152"/>
          <c:y val="0.13940689705453488"/>
          <c:w val="0.28538035870516187"/>
          <c:h val="0.82292213473315834"/>
        </c:manualLayout>
      </c:layout>
      <c:overlay val="0"/>
      <c:spPr>
        <a:solidFill>
          <a:schemeClr val="bg1">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5B-4B2A-A371-D719E820EA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5B-4B2A-A371-D719E820EA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5B-4B2A-A371-D719E820EA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5B-4B2A-A371-D719E820EA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5B-4B2A-A371-D719E820EA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35B-4B2A-A371-D719E820EA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35B-4B2A-A371-D719E820EA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35B-4B2A-A371-D719E820EA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35B-4B2A-A371-D719E820EA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35B-4B2A-A371-D719E820EA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41C-4AAB-B30F-57FD7E6A2D88}"/>
              </c:ext>
            </c:extLst>
          </c:dPt>
          <c:cat>
            <c:strRef>
              <c:f>'material inventory'!$M$3:$M$13</c:f>
              <c:strCache>
                <c:ptCount val="11"/>
                <c:pt idx="0">
                  <c:v>ITO glass</c:v>
                </c:pt>
                <c:pt idx="1">
                  <c:v>Ethanol</c:v>
                </c:pt>
                <c:pt idx="2">
                  <c:v>Deionized water</c:v>
                </c:pt>
                <c:pt idx="3">
                  <c:v>NiOₓ precursor solution</c:v>
                </c:pt>
                <c:pt idx="4">
                  <c:v>PbI₂</c:v>
                </c:pt>
                <c:pt idx="5">
                  <c:v>Dimethylformamide</c:v>
                </c:pt>
                <c:pt idx="6">
                  <c:v>MAI</c:v>
                </c:pt>
                <c:pt idx="7">
                  <c:v>Isopropanol</c:v>
                </c:pt>
                <c:pt idx="8">
                  <c:v>Nitrogen</c:v>
                </c:pt>
                <c:pt idx="9">
                  <c:v>ZnO nanoparticles</c:v>
                </c:pt>
                <c:pt idx="10">
                  <c:v>Al</c:v>
                </c:pt>
              </c:strCache>
            </c:strRef>
          </c:cat>
          <c:val>
            <c:numRef>
              <c:f>'material inventory'!$O$3:$O$13</c:f>
              <c:numCache>
                <c:formatCode>0.000E+00</c:formatCode>
                <c:ptCount val="11"/>
                <c:pt idx="0">
                  <c:v>292.22870408888105</c:v>
                </c:pt>
                <c:pt idx="1">
                  <c:v>1.0715802776700001</c:v>
                </c:pt>
                <c:pt idx="2">
                  <c:v>7.8310930304560005E-4</c:v>
                </c:pt>
                <c:pt idx="3">
                  <c:v>0.85144954245080751</c:v>
                </c:pt>
                <c:pt idx="4">
                  <c:v>4.564611525436902E-2</c:v>
                </c:pt>
                <c:pt idx="5">
                  <c:v>0.13488868978770066</c:v>
                </c:pt>
                <c:pt idx="6">
                  <c:v>0.99552313780157675</c:v>
                </c:pt>
                <c:pt idx="7">
                  <c:v>0.27495055147511466</c:v>
                </c:pt>
                <c:pt idx="8">
                  <c:v>22.304788348898221</c:v>
                </c:pt>
                <c:pt idx="9">
                  <c:v>2.0283601209157971</c:v>
                </c:pt>
                <c:pt idx="10">
                  <c:v>6.5261304301170733E-2</c:v>
                </c:pt>
              </c:numCache>
            </c:numRef>
          </c:val>
          <c:extLst>
            <c:ext xmlns:c16="http://schemas.microsoft.com/office/drawing/2014/chart" uri="{C3380CC4-5D6E-409C-BE32-E72D297353CC}">
              <c16:uniqueId val="{00000000-E57D-4236-AAC3-2EDCFD701D9D}"/>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3620364361975112"/>
          <c:y val="0.16192147856517936"/>
          <c:w val="0.43919000614112758"/>
          <c:h val="0.73622666958296867"/>
        </c:manualLayout>
      </c:layout>
      <c:pieChart>
        <c:varyColors val="1"/>
        <c:ser>
          <c:idx val="0"/>
          <c:order val="0"/>
          <c:tx>
            <c:strRef>
              <c:f>'energy consumption'!$K$5</c:f>
              <c:strCache>
                <c:ptCount val="1"/>
                <c:pt idx="0">
                  <c:v>Primary energy consumption</c:v>
                </c:pt>
              </c:strCache>
            </c:strRef>
          </c:tx>
          <c:dPt>
            <c:idx val="0"/>
            <c:bubble3D val="0"/>
            <c:spPr>
              <a:solidFill>
                <a:srgbClr val="FCCDE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C7-4E54-A8C2-94429111702D}"/>
              </c:ext>
            </c:extLst>
          </c:dPt>
          <c:dPt>
            <c:idx val="1"/>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1C7-4E54-A8C2-94429111702D}"/>
              </c:ext>
            </c:extLst>
          </c:dPt>
          <c:dPt>
            <c:idx val="2"/>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E4-419F-B555-ACCB6C5EF04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1C7-4E54-A8C2-94429111702D}"/>
              </c:ext>
            </c:extLst>
          </c:dPt>
          <c:dPt>
            <c:idx val="4"/>
            <c:bubble3D val="0"/>
            <c:spPr>
              <a:solidFill>
                <a:srgbClr val="80B1D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1C7-4E54-A8C2-94429111702D}"/>
              </c:ext>
            </c:extLst>
          </c:dPt>
          <c:dPt>
            <c:idx val="5"/>
            <c:bubble3D val="0"/>
            <c:spPr>
              <a:solidFill>
                <a:srgbClr val="D9D9D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1C7-4E54-A8C2-94429111702D}"/>
              </c:ext>
            </c:extLst>
          </c:dPt>
          <c:dPt>
            <c:idx val="6"/>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C7-4E54-A8C2-94429111702D}"/>
              </c:ext>
            </c:extLst>
          </c:dPt>
          <c:dPt>
            <c:idx val="7"/>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1C7-4E54-A8C2-94429111702D}"/>
              </c:ext>
            </c:extLst>
          </c:dPt>
          <c:dPt>
            <c:idx val="8"/>
            <c:bubble3D val="0"/>
            <c:spPr>
              <a:solidFill>
                <a:srgbClr val="BEBAD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1E4-419F-B555-ACCB6C5EF04E}"/>
              </c:ext>
            </c:extLst>
          </c:dPt>
          <c:dPt>
            <c:idx val="9"/>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2D3-4D68-BD3C-B3CF0214123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049-48DD-9D4B-5C018978AA2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049-48DD-9D4B-5C018978AA24}"/>
              </c:ext>
            </c:extLst>
          </c:dPt>
          <c:dLbls>
            <c:dLbl>
              <c:idx val="0"/>
              <c:layout>
                <c:manualLayout>
                  <c:x val="-2.8469693622099758E-2"/>
                  <c:y val="0.1234124380285797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1C7-4E54-A8C2-94429111702D}"/>
                </c:ext>
              </c:extLst>
            </c:dLbl>
            <c:dLbl>
              <c:idx val="1"/>
              <c:layout>
                <c:manualLayout>
                  <c:x val="-5.4593624361314076E-2"/>
                  <c:y val="0.1013684747739865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1C7-4E54-A8C2-94429111702D}"/>
                </c:ext>
              </c:extLst>
            </c:dLbl>
            <c:dLbl>
              <c:idx val="4"/>
              <c:delete val="1"/>
              <c:extLst>
                <c:ext xmlns:c15="http://schemas.microsoft.com/office/drawing/2012/chart" uri="{CE6537A1-D6FC-4f65-9D91-7224C49458BB}"/>
                <c:ext xmlns:c16="http://schemas.microsoft.com/office/drawing/2014/chart" uri="{C3380CC4-5D6E-409C-BE32-E72D297353CC}">
                  <c16:uniqueId val="{00000006-E1C7-4E54-A8C2-94429111702D}"/>
                </c:ext>
              </c:extLst>
            </c:dLbl>
            <c:dLbl>
              <c:idx val="5"/>
              <c:layout>
                <c:manualLayout>
                  <c:x val="1.8087051618547682E-2"/>
                  <c:y val="-6.089165937591134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1C7-4E54-A8C2-94429111702D}"/>
                </c:ext>
              </c:extLst>
            </c:dLbl>
            <c:dLbl>
              <c:idx val="6"/>
              <c:layout>
                <c:manualLayout>
                  <c:x val="-4.2449256342957133E-2"/>
                  <c:y val="-8.591754155730550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1C7-4E54-A8C2-94429111702D}"/>
                </c:ext>
              </c:extLst>
            </c:dLbl>
            <c:dLbl>
              <c:idx val="7"/>
              <c:layout>
                <c:manualLayout>
                  <c:x val="2.275761856464624E-2"/>
                  <c:y val="-0.131099081364829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1C7-4E54-A8C2-94429111702D}"/>
                </c:ext>
              </c:extLst>
            </c:dLbl>
            <c:dLbl>
              <c:idx val="8"/>
              <c:layout>
                <c:manualLayout>
                  <c:x val="5.5011154855643042E-2"/>
                  <c:y val="-8.56423155438903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1E4-419F-B555-ACCB6C5EF04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'energy consumption'!$I$6:$I$17</c:f>
              <c:strCache>
                <c:ptCount val="12"/>
                <c:pt idx="0">
                  <c:v>Sonication</c:v>
                </c:pt>
                <c:pt idx="1">
                  <c:v>HTL spin coating</c:v>
                </c:pt>
                <c:pt idx="2">
                  <c:v>HTL annealing</c:v>
                </c:pt>
                <c:pt idx="3">
                  <c:v>Inert gas purging</c:v>
                </c:pt>
                <c:pt idx="4">
                  <c:v>PL 1st-step spin coating</c:v>
                </c:pt>
                <c:pt idx="5">
                  <c:v>PL drying</c:v>
                </c:pt>
                <c:pt idx="6">
                  <c:v>PL 2nd-step spin coating</c:v>
                </c:pt>
                <c:pt idx="7">
                  <c:v>PL annealing</c:v>
                </c:pt>
                <c:pt idx="8">
                  <c:v>ETL spin coating</c:v>
                </c:pt>
                <c:pt idx="9">
                  <c:v>Vacuum pump</c:v>
                </c:pt>
                <c:pt idx="10">
                  <c:v>Evaporation</c:v>
                </c:pt>
                <c:pt idx="11">
                  <c:v>Cooling</c:v>
                </c:pt>
              </c:strCache>
            </c:strRef>
          </c:cat>
          <c:val>
            <c:numRef>
              <c:f>'energy consumption'!$K$6:$K$17</c:f>
              <c:numCache>
                <c:formatCode>0.000E+00</c:formatCode>
                <c:ptCount val="12"/>
                <c:pt idx="0">
                  <c:v>49.96641093677313</c:v>
                </c:pt>
                <c:pt idx="1">
                  <c:v>83.710479577905772</c:v>
                </c:pt>
                <c:pt idx="2">
                  <c:v>539.63723811714988</c:v>
                </c:pt>
                <c:pt idx="3">
                  <c:v>65.580914354514732</c:v>
                </c:pt>
                <c:pt idx="4">
                  <c:v>1.4881863036072136</c:v>
                </c:pt>
                <c:pt idx="5">
                  <c:v>20.985892593444717</c:v>
                </c:pt>
                <c:pt idx="6">
                  <c:v>74.409315180360679</c:v>
                </c:pt>
                <c:pt idx="7">
                  <c:v>359.75815874476655</c:v>
                </c:pt>
                <c:pt idx="8">
                  <c:v>83.710479577905772</c:v>
                </c:pt>
                <c:pt idx="9">
                  <c:v>114.92274515457818</c:v>
                </c:pt>
                <c:pt idx="10">
                  <c:v>66.621881249030835</c:v>
                </c:pt>
                <c:pt idx="11">
                  <c:v>199.86564374709252</c:v>
                </c:pt>
              </c:numCache>
            </c:numRef>
          </c:val>
          <c:extLst>
            <c:ext xmlns:c16="http://schemas.microsoft.com/office/drawing/2014/chart" uri="{C3380CC4-5D6E-409C-BE32-E72D297353CC}">
              <c16:uniqueId val="{00000000-E1C7-4E54-A8C2-94429111702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1">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3409470691163605"/>
          <c:y val="0.15266221930592008"/>
          <c:w val="0.45284711286089241"/>
          <c:h val="0.75474518810148727"/>
        </c:manualLayout>
      </c:layout>
      <c:pieChart>
        <c:varyColors val="1"/>
        <c:ser>
          <c:idx val="0"/>
          <c:order val="0"/>
          <c:tx>
            <c:strRef>
              <c:f>'energy consumption'!$J$5</c:f>
              <c:strCache>
                <c:ptCount val="1"/>
                <c:pt idx="0">
                  <c:v>Carbon footprint</c:v>
                </c:pt>
              </c:strCache>
            </c:strRef>
          </c:tx>
          <c:dPt>
            <c:idx val="0"/>
            <c:bubble3D val="0"/>
            <c:spPr>
              <a:solidFill>
                <a:srgbClr val="FCCDE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0E-439F-B7A9-8894C3B9B6AB}"/>
              </c:ext>
            </c:extLst>
          </c:dPt>
          <c:dPt>
            <c:idx val="1"/>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60E-439F-B7A9-8894C3B9B6AB}"/>
              </c:ext>
            </c:extLst>
          </c:dPt>
          <c:dPt>
            <c:idx val="2"/>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5A-481A-B3AA-11EFE5DE341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F60E-439F-B7A9-8894C3B9B6AB}"/>
              </c:ext>
            </c:extLst>
          </c:dPt>
          <c:dPt>
            <c:idx val="4"/>
            <c:bubble3D val="0"/>
            <c:spPr>
              <a:solidFill>
                <a:srgbClr val="80B1D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0E-439F-B7A9-8894C3B9B6AB}"/>
              </c:ext>
            </c:extLst>
          </c:dPt>
          <c:dPt>
            <c:idx val="5"/>
            <c:bubble3D val="0"/>
            <c:spPr>
              <a:solidFill>
                <a:srgbClr val="D9D9D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F60E-439F-B7A9-8894C3B9B6AB}"/>
              </c:ext>
            </c:extLst>
          </c:dPt>
          <c:dPt>
            <c:idx val="6"/>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75A-481A-B3AA-11EFE5DE3417}"/>
              </c:ext>
            </c:extLst>
          </c:dPt>
          <c:dPt>
            <c:idx val="7"/>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0E-439F-B7A9-8894C3B9B6AB}"/>
              </c:ext>
            </c:extLst>
          </c:dPt>
          <c:dPt>
            <c:idx val="8"/>
            <c:bubble3D val="0"/>
            <c:spPr>
              <a:solidFill>
                <a:srgbClr val="BEBAD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75A-481A-B3AA-11EFE5DE3417}"/>
              </c:ext>
            </c:extLst>
          </c:dPt>
          <c:dPt>
            <c:idx val="9"/>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547-4AEB-B8C7-10293918C6D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D9D-47CA-B94F-C450F12C73B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D9D-47CA-B94F-C450F12C73BC}"/>
              </c:ext>
            </c:extLst>
          </c:dPt>
          <c:dLbls>
            <c:dLbl>
              <c:idx val="0"/>
              <c:layout>
                <c:manualLayout>
                  <c:x val="-3.4190288713910763E-2"/>
                  <c:y val="0.1419309565470982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0E-439F-B7A9-8894C3B9B6AB}"/>
                </c:ext>
              </c:extLst>
            </c:dLbl>
            <c:dLbl>
              <c:idx val="1"/>
              <c:layout>
                <c:manualLayout>
                  <c:x val="-5.4910104986876693E-2"/>
                  <c:y val="0.110627734033245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60E-439F-B7A9-8894C3B9B6AB}"/>
                </c:ext>
              </c:extLst>
            </c:dLbl>
            <c:dLbl>
              <c:idx val="4"/>
              <c:delete val="1"/>
              <c:extLst>
                <c:ext xmlns:c15="http://schemas.microsoft.com/office/drawing/2012/chart" uri="{CE6537A1-D6FC-4f65-9D91-7224C49458BB}"/>
                <c:ext xmlns:c16="http://schemas.microsoft.com/office/drawing/2014/chart" uri="{C3380CC4-5D6E-409C-BE32-E72D297353CC}">
                  <c16:uniqueId val="{00000005-F60E-439F-B7A9-8894C3B9B6AB}"/>
                </c:ext>
              </c:extLst>
            </c:dLbl>
            <c:dLbl>
              <c:idx val="5"/>
              <c:layout>
                <c:manualLayout>
                  <c:x val="2.8648188169246185E-2"/>
                  <c:y val="-5.688572237513954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60E-439F-B7A9-8894C3B9B6AB}"/>
                </c:ext>
              </c:extLst>
            </c:dLbl>
            <c:dLbl>
              <c:idx val="6"/>
              <c:layout>
                <c:manualLayout>
                  <c:x val="-3.719673350254693E-2"/>
                  <c:y val="-7.710414610797142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75A-481A-B3AA-11EFE5DE3417}"/>
                </c:ext>
              </c:extLst>
            </c:dLbl>
            <c:dLbl>
              <c:idx val="7"/>
              <c:layout>
                <c:manualLayout>
                  <c:x val="2.1416750749765207E-2"/>
                  <c:y val="-0.131439900735454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60E-439F-B7A9-8894C3B9B6AB}"/>
                </c:ext>
              </c:extLst>
            </c:dLbl>
            <c:dLbl>
              <c:idx val="8"/>
              <c:layout>
                <c:manualLayout>
                  <c:x val="5.5496154289285428E-2"/>
                  <c:y val="-8.12503620069197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75A-481A-B3AA-11EFE5DE341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'energy consumption'!$I$6:$I$17</c:f>
              <c:strCache>
                <c:ptCount val="12"/>
                <c:pt idx="0">
                  <c:v>Sonication</c:v>
                </c:pt>
                <c:pt idx="1">
                  <c:v>HTL spin coating</c:v>
                </c:pt>
                <c:pt idx="2">
                  <c:v>HTL annealing</c:v>
                </c:pt>
                <c:pt idx="3">
                  <c:v>Inert gas purging</c:v>
                </c:pt>
                <c:pt idx="4">
                  <c:v>PL 1st-step spin coating</c:v>
                </c:pt>
                <c:pt idx="5">
                  <c:v>PL drying</c:v>
                </c:pt>
                <c:pt idx="6">
                  <c:v>PL 2nd-step spin coating</c:v>
                </c:pt>
                <c:pt idx="7">
                  <c:v>PL annealing</c:v>
                </c:pt>
                <c:pt idx="8">
                  <c:v>ETL spin coating</c:v>
                </c:pt>
                <c:pt idx="9">
                  <c:v>Vacuum pump</c:v>
                </c:pt>
                <c:pt idx="10">
                  <c:v>Evaporation</c:v>
                </c:pt>
                <c:pt idx="11">
                  <c:v>Cooling</c:v>
                </c:pt>
              </c:strCache>
            </c:strRef>
          </c:cat>
          <c:val>
            <c:numRef>
              <c:f>'energy consumption'!$J$6:$J$17</c:f>
              <c:numCache>
                <c:formatCode>0.000E+00</c:formatCode>
                <c:ptCount val="12"/>
                <c:pt idx="0">
                  <c:v>2.8396800022717437</c:v>
                </c:pt>
                <c:pt idx="1">
                  <c:v>4.7574154393188799</c:v>
                </c:pt>
                <c:pt idx="2">
                  <c:v>30.668544024534835</c:v>
                </c:pt>
                <c:pt idx="3">
                  <c:v>3.7270800029816638</c:v>
                </c:pt>
                <c:pt idx="4">
                  <c:v>8.4576274476780081E-2</c:v>
                </c:pt>
                <c:pt idx="5">
                  <c:v>1.1926656009541325</c:v>
                </c:pt>
                <c:pt idx="6">
                  <c:v>4.2288137238390036</c:v>
                </c:pt>
                <c:pt idx="7">
                  <c:v>20.445696016356557</c:v>
                </c:pt>
                <c:pt idx="8">
                  <c:v>4.7574154393188799</c:v>
                </c:pt>
                <c:pt idx="9">
                  <c:v>6.5312640052250099</c:v>
                </c:pt>
                <c:pt idx="10">
                  <c:v>3.7862400030289916</c:v>
                </c:pt>
                <c:pt idx="11">
                  <c:v>11.358720009086975</c:v>
                </c:pt>
              </c:numCache>
            </c:numRef>
          </c:val>
          <c:extLst>
            <c:ext xmlns:c16="http://schemas.microsoft.com/office/drawing/2014/chart" uri="{C3380CC4-5D6E-409C-BE32-E72D297353CC}">
              <c16:uniqueId val="{00000000-F60E-439F-B7A9-8894C3B9B6A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1">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DF-4EC1-996C-06237660BF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DF-4EC1-996C-06237660BF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DF-4EC1-996C-06237660BF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DF-4EC1-996C-06237660BF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DF-4EC1-996C-06237660BF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DF-4EC1-996C-06237660BF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DF-4EC1-996C-06237660BF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DF-4EC1-996C-06237660BFF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DF-4EC1-996C-06237660BFF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20-4AD4-A63B-4E187F4B283D}"/>
              </c:ext>
            </c:extLst>
          </c:dPt>
          <c:cat>
            <c:strRef>
              <c:f>'energy consumption'!$I$6:$I$15</c:f>
              <c:strCache>
                <c:ptCount val="10"/>
                <c:pt idx="0">
                  <c:v>Sonication</c:v>
                </c:pt>
                <c:pt idx="1">
                  <c:v>HTL spin coating</c:v>
                </c:pt>
                <c:pt idx="2">
                  <c:v>HTL annealing</c:v>
                </c:pt>
                <c:pt idx="3">
                  <c:v>Inert gas purging</c:v>
                </c:pt>
                <c:pt idx="4">
                  <c:v>PL 1st-step spin coating</c:v>
                </c:pt>
                <c:pt idx="5">
                  <c:v>PL drying</c:v>
                </c:pt>
                <c:pt idx="6">
                  <c:v>PL 2nd-step spin coating</c:v>
                </c:pt>
                <c:pt idx="7">
                  <c:v>PL annealing</c:v>
                </c:pt>
                <c:pt idx="8">
                  <c:v>ETL spin coating</c:v>
                </c:pt>
                <c:pt idx="9">
                  <c:v>Vacuum pump</c:v>
                </c:pt>
              </c:strCache>
            </c:strRef>
          </c:cat>
          <c:val>
            <c:numRef>
              <c:f>'energy consumption'!$K$6:$K$15</c:f>
              <c:numCache>
                <c:formatCode>0.000E+00</c:formatCode>
                <c:ptCount val="10"/>
                <c:pt idx="0">
                  <c:v>49.96641093677313</c:v>
                </c:pt>
                <c:pt idx="1">
                  <c:v>83.710479577905772</c:v>
                </c:pt>
                <c:pt idx="2">
                  <c:v>539.63723811714988</c:v>
                </c:pt>
                <c:pt idx="3">
                  <c:v>65.580914354514732</c:v>
                </c:pt>
                <c:pt idx="4">
                  <c:v>1.4881863036072136</c:v>
                </c:pt>
                <c:pt idx="5">
                  <c:v>20.985892593444717</c:v>
                </c:pt>
                <c:pt idx="6">
                  <c:v>74.409315180360679</c:v>
                </c:pt>
                <c:pt idx="7">
                  <c:v>359.75815874476655</c:v>
                </c:pt>
                <c:pt idx="8">
                  <c:v>83.710479577905772</c:v>
                </c:pt>
                <c:pt idx="9">
                  <c:v>114.92274515457818</c:v>
                </c:pt>
              </c:numCache>
            </c:numRef>
          </c:val>
          <c:extLst>
            <c:ext xmlns:c16="http://schemas.microsoft.com/office/drawing/2014/chart" uri="{C3380CC4-5D6E-409C-BE32-E72D297353CC}">
              <c16:uniqueId val="{00000000-A748-49B4-BA63-568F2B1D3EE8}"/>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results!$A$3</c:f>
              <c:strCache>
                <c:ptCount val="1"/>
                <c:pt idx="0">
                  <c:v>ITO glass</c:v>
                </c:pt>
              </c:strCache>
            </c:strRef>
          </c:tx>
          <c:spPr>
            <a:solidFill>
              <a:schemeClr val="accent1"/>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results!$D$3:$X$3</c:f>
              <c:numCache>
                <c:formatCode>General</c:formatCode>
                <c:ptCount val="21"/>
                <c:pt idx="0">
                  <c:v>5.4035999599999995E-2</c:v>
                </c:pt>
                <c:pt idx="1">
                  <c:v>15.863857979999999</c:v>
                </c:pt>
                <c:pt idx="2">
                  <c:v>6.8711502629999996</c:v>
                </c:pt>
                <c:pt idx="3">
                  <c:v>8.2522552700000001E-2</c:v>
                </c:pt>
                <c:pt idx="4">
                  <c:v>1.0550032339999998E-3</c:v>
                </c:pt>
                <c:pt idx="5">
                  <c:v>165.51815009999999</c:v>
                </c:pt>
                <c:pt idx="6">
                  <c:v>0.16734019</c:v>
                </c:pt>
                <c:pt idx="7">
                  <c:v>66.525372399999995</c:v>
                </c:pt>
                <c:pt idx="8">
                  <c:v>1.5045233709999998E-2</c:v>
                </c:pt>
                <c:pt idx="9">
                  <c:v>0.64124742970000004</c:v>
                </c:pt>
                <c:pt idx="10">
                  <c:v>2.6055490222000001E-3</c:v>
                </c:pt>
                <c:pt idx="11">
                  <c:v>1.3754312987000001E-6</c:v>
                </c:pt>
                <c:pt idx="12">
                  <c:v>1.994535221E-2</c:v>
                </c:pt>
                <c:pt idx="13">
                  <c:v>4.8864307230000001E-2</c:v>
                </c:pt>
                <c:pt idx="14">
                  <c:v>7.2168691110000002E-2</c:v>
                </c:pt>
                <c:pt idx="15">
                  <c:v>7.877002793E-3</c:v>
                </c:pt>
                <c:pt idx="16">
                  <c:v>1.5844954200000001E-2</c:v>
                </c:pt>
                <c:pt idx="17">
                  <c:v>1.0150023860000001E-2</c:v>
                </c:pt>
                <c:pt idx="18">
                  <c:v>0.48907124690000003</c:v>
                </c:pt>
                <c:pt idx="19">
                  <c:v>1.723918898</c:v>
                </c:pt>
                <c:pt idx="20">
                  <c:v>0.8537033906</c:v>
                </c:pt>
              </c:numCache>
            </c:numRef>
          </c:val>
          <c:extLst>
            <c:ext xmlns:c16="http://schemas.microsoft.com/office/drawing/2014/chart" uri="{C3380CC4-5D6E-409C-BE32-E72D297353CC}">
              <c16:uniqueId val="{00000000-21CE-44B5-B529-29DFAFC11DA1}"/>
            </c:ext>
          </c:extLst>
        </c:ser>
        <c:ser>
          <c:idx val="1"/>
          <c:order val="1"/>
          <c:tx>
            <c:strRef>
              <c:f>results!$A$4</c:f>
              <c:strCache>
                <c:ptCount val="1"/>
                <c:pt idx="0">
                  <c:v>Ethanol</c:v>
                </c:pt>
              </c:strCache>
            </c:strRef>
          </c:tx>
          <c:spPr>
            <a:solidFill>
              <a:schemeClr val="accent2"/>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results!$D$4:$X$4</c:f>
              <c:numCache>
                <c:formatCode>General</c:formatCode>
                <c:ptCount val="21"/>
                <c:pt idx="0">
                  <c:v>2.8743858000000001E-2</c:v>
                </c:pt>
                <c:pt idx="1">
                  <c:v>3.1405899000000001E-2</c:v>
                </c:pt>
                <c:pt idx="2">
                  <c:v>8.8342137000000012E-3</c:v>
                </c:pt>
                <c:pt idx="3">
                  <c:v>8.7942701999999993E-4</c:v>
                </c:pt>
                <c:pt idx="4">
                  <c:v>1.4630402100000002E-5</c:v>
                </c:pt>
                <c:pt idx="5">
                  <c:v>0.43082286000000003</c:v>
                </c:pt>
                <c:pt idx="6">
                  <c:v>2.2433300400000003E-3</c:v>
                </c:pt>
                <c:pt idx="7">
                  <c:v>0.34614264</c:v>
                </c:pt>
                <c:pt idx="8">
                  <c:v>1.6083572399999999E-4</c:v>
                </c:pt>
                <c:pt idx="9">
                  <c:v>1.4034857400000002E-3</c:v>
                </c:pt>
                <c:pt idx="10">
                  <c:v>2.7079116E-5</c:v>
                </c:pt>
                <c:pt idx="11">
                  <c:v>2.2928857500000002E-9</c:v>
                </c:pt>
                <c:pt idx="12">
                  <c:v>1.0093335900000002E-4</c:v>
                </c:pt>
                <c:pt idx="13">
                  <c:v>1.05937893E-4</c:v>
                </c:pt>
                <c:pt idx="14">
                  <c:v>3.3153105E-4</c:v>
                </c:pt>
                <c:pt idx="15">
                  <c:v>2.1167478000000002E-4</c:v>
                </c:pt>
                <c:pt idx="16">
                  <c:v>1.54050483E-3</c:v>
                </c:pt>
                <c:pt idx="17">
                  <c:v>9.6299913000000015E-3</c:v>
                </c:pt>
                <c:pt idx="18">
                  <c:v>8.7991665000000004E-3</c:v>
                </c:pt>
                <c:pt idx="19">
                  <c:v>4.2486998999999998E-3</c:v>
                </c:pt>
                <c:pt idx="20">
                  <c:v>1.12439664E-3</c:v>
                </c:pt>
              </c:numCache>
            </c:numRef>
          </c:val>
          <c:extLst>
            <c:ext xmlns:c16="http://schemas.microsoft.com/office/drawing/2014/chart" uri="{C3380CC4-5D6E-409C-BE32-E72D297353CC}">
              <c16:uniqueId val="{00000001-21CE-44B5-B529-29DFAFC11DA1}"/>
            </c:ext>
          </c:extLst>
        </c:ser>
        <c:ser>
          <c:idx val="2"/>
          <c:order val="2"/>
          <c:tx>
            <c:strRef>
              <c:f>results!$A$5</c:f>
              <c:strCache>
                <c:ptCount val="1"/>
                <c:pt idx="0">
                  <c:v>Deionized water</c:v>
                </c:pt>
              </c:strCache>
            </c:strRef>
          </c:tx>
          <c:spPr>
            <a:solidFill>
              <a:schemeClr val="accent3"/>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results!$D$5:$X$5</c:f>
              <c:numCache>
                <c:formatCode>General</c:formatCode>
                <c:ptCount val="21"/>
                <c:pt idx="0">
                  <c:v>2.6201811600000002E-6</c:v>
                </c:pt>
                <c:pt idx="1">
                  <c:v>5.2353980000000006E-5</c:v>
                </c:pt>
                <c:pt idx="2">
                  <c:v>1.50591994E-5</c:v>
                </c:pt>
                <c:pt idx="3">
                  <c:v>7.8478714000000003E-7</c:v>
                </c:pt>
                <c:pt idx="4">
                  <c:v>2.7811623000000003E-8</c:v>
                </c:pt>
                <c:pt idx="5">
                  <c:v>1.04061292E-3</c:v>
                </c:pt>
                <c:pt idx="6">
                  <c:v>5.6795740000000004E-6</c:v>
                </c:pt>
                <c:pt idx="7">
                  <c:v>8.9367557999999998E-4</c:v>
                </c:pt>
                <c:pt idx="8">
                  <c:v>5.6067422000000004E-8</c:v>
                </c:pt>
                <c:pt idx="9">
                  <c:v>3.7415296000000003E-6</c:v>
                </c:pt>
                <c:pt idx="10">
                  <c:v>7.2221057999999999E-9</c:v>
                </c:pt>
                <c:pt idx="11">
                  <c:v>2.3853884200000003E-11</c:v>
                </c:pt>
                <c:pt idx="12">
                  <c:v>1.8625998000000001E-7</c:v>
                </c:pt>
                <c:pt idx="13">
                  <c:v>1.60177704E-7</c:v>
                </c:pt>
                <c:pt idx="14">
                  <c:v>2.8821796800000001E-7</c:v>
                </c:pt>
                <c:pt idx="15">
                  <c:v>4.6543766000000001E-8</c:v>
                </c:pt>
                <c:pt idx="16">
                  <c:v>4.9845692000000008E-7</c:v>
                </c:pt>
                <c:pt idx="17">
                  <c:v>4.2774802000000001E-5</c:v>
                </c:pt>
                <c:pt idx="18">
                  <c:v>2.45299462E-6</c:v>
                </c:pt>
                <c:pt idx="19">
                  <c:v>9.3691742000000004E-6</c:v>
                </c:pt>
                <c:pt idx="20">
                  <c:v>1.9793919600000001E-6</c:v>
                </c:pt>
              </c:numCache>
            </c:numRef>
          </c:val>
          <c:extLst>
            <c:ext xmlns:c16="http://schemas.microsoft.com/office/drawing/2014/chart" uri="{C3380CC4-5D6E-409C-BE32-E72D297353CC}">
              <c16:uniqueId val="{00000002-21CE-44B5-B529-29DFAFC11DA1}"/>
            </c:ext>
          </c:extLst>
        </c:ser>
        <c:ser>
          <c:idx val="3"/>
          <c:order val="3"/>
          <c:tx>
            <c:strRef>
              <c:f>results!$A$6</c:f>
              <c:strCache>
                <c:ptCount val="1"/>
                <c:pt idx="0">
                  <c:v>NiOₓ precursor solution</c:v>
                </c:pt>
              </c:strCache>
            </c:strRef>
          </c:tx>
          <c:spPr>
            <a:solidFill>
              <a:schemeClr val="accent4"/>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results!$D$6:$X$6</c:f>
              <c:numCache>
                <c:formatCode>General</c:formatCode>
                <c:ptCount val="21"/>
                <c:pt idx="0">
                  <c:v>9.8171065326138531E-3</c:v>
                </c:pt>
                <c:pt idx="1">
                  <c:v>3.745762603269575E-2</c:v>
                </c:pt>
                <c:pt idx="2">
                  <c:v>1.6566122329927865E-2</c:v>
                </c:pt>
                <c:pt idx="3">
                  <c:v>1.5488511728583951E-3</c:v>
                </c:pt>
                <c:pt idx="4">
                  <c:v>2.9080910399432381E-5</c:v>
                </c:pt>
                <c:pt idx="5">
                  <c:v>1.8196603523835628</c:v>
                </c:pt>
                <c:pt idx="6">
                  <c:v>3.1888249964055061E-3</c:v>
                </c:pt>
                <c:pt idx="7">
                  <c:v>1.7930587406290797</c:v>
                </c:pt>
                <c:pt idx="8">
                  <c:v>7.7502811652045329E-5</c:v>
                </c:pt>
                <c:pt idx="9">
                  <c:v>2.2069750326697651E-2</c:v>
                </c:pt>
                <c:pt idx="10">
                  <c:v>5.1354084215145801E-6</c:v>
                </c:pt>
                <c:pt idx="11">
                  <c:v>5.6588934356561583E-9</c:v>
                </c:pt>
                <c:pt idx="12">
                  <c:v>3.8041102989331795E-4</c:v>
                </c:pt>
                <c:pt idx="13">
                  <c:v>2.7194206786856738E-4</c:v>
                </c:pt>
                <c:pt idx="14">
                  <c:v>1.5425559533476659E-3</c:v>
                </c:pt>
                <c:pt idx="15">
                  <c:v>1.2999325710311236E-4</c:v>
                </c:pt>
                <c:pt idx="16">
                  <c:v>4.9503511121603042E-4</c:v>
                </c:pt>
                <c:pt idx="17">
                  <c:v>2.129692501485106E-4</c:v>
                </c:pt>
                <c:pt idx="18">
                  <c:v>2.3036413886438276E-3</c:v>
                </c:pt>
                <c:pt idx="19">
                  <c:v>1.4647939918316893E-2</c:v>
                </c:pt>
                <c:pt idx="20">
                  <c:v>2.904068480848847E-3</c:v>
                </c:pt>
              </c:numCache>
            </c:numRef>
          </c:val>
          <c:extLst>
            <c:ext xmlns:c16="http://schemas.microsoft.com/office/drawing/2014/chart" uri="{C3380CC4-5D6E-409C-BE32-E72D297353CC}">
              <c16:uniqueId val="{00000003-21CE-44B5-B529-29DFAFC11DA1}"/>
            </c:ext>
          </c:extLst>
        </c:ser>
        <c:ser>
          <c:idx val="4"/>
          <c:order val="4"/>
          <c:tx>
            <c:strRef>
              <c:f>results!$A$7</c:f>
              <c:strCache>
                <c:ptCount val="1"/>
                <c:pt idx="0">
                  <c:v>PbI₂</c:v>
                </c:pt>
              </c:strCache>
            </c:strRef>
          </c:tx>
          <c:spPr>
            <a:solidFill>
              <a:schemeClr val="accent5"/>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results!$D$7:$X$7</c:f>
              <c:numCache>
                <c:formatCode>General</c:formatCode>
                <c:ptCount val="21"/>
                <c:pt idx="0">
                  <c:v>8.8046073525779227E-4</c:v>
                </c:pt>
                <c:pt idx="1">
                  <c:v>3.2783364699098239E-3</c:v>
                </c:pt>
                <c:pt idx="2">
                  <c:v>8.7015914465845103E-4</c:v>
                </c:pt>
                <c:pt idx="3">
                  <c:v>5.9935696643442065E-5</c:v>
                </c:pt>
                <c:pt idx="4">
                  <c:v>1.6639946725240682E-6</c:v>
                </c:pt>
                <c:pt idx="5">
                  <c:v>0.13114795215536751</c:v>
                </c:pt>
                <c:pt idx="6">
                  <c:v>1.61145392587419E-4</c:v>
                </c:pt>
                <c:pt idx="7">
                  <c:v>6.5771766145847746E-2</c:v>
                </c:pt>
                <c:pt idx="8">
                  <c:v>4.3385242610231789E-6</c:v>
                </c:pt>
                <c:pt idx="9">
                  <c:v>5.3170985406495428E-4</c:v>
                </c:pt>
                <c:pt idx="10">
                  <c:v>5.5770460631328885E-7</c:v>
                </c:pt>
                <c:pt idx="11">
                  <c:v>3.7532319629124157E-10</c:v>
                </c:pt>
                <c:pt idx="12">
                  <c:v>9.291200678874073E-6</c:v>
                </c:pt>
                <c:pt idx="13">
                  <c:v>1.3077772388516378E-5</c:v>
                </c:pt>
                <c:pt idx="14">
                  <c:v>2.6285162850087934E-5</c:v>
                </c:pt>
                <c:pt idx="15">
                  <c:v>4.5219845062849262E-6</c:v>
                </c:pt>
                <c:pt idx="16">
                  <c:v>3.3813391904207474E-5</c:v>
                </c:pt>
                <c:pt idx="17">
                  <c:v>9.8737070366919367E-6</c:v>
                </c:pt>
                <c:pt idx="18">
                  <c:v>1.6079510428243838E-4</c:v>
                </c:pt>
                <c:pt idx="19">
                  <c:v>1.0265278997801074E-3</c:v>
                </c:pt>
                <c:pt idx="20">
                  <c:v>1.2902034290685808E-4</c:v>
                </c:pt>
              </c:numCache>
            </c:numRef>
          </c:val>
          <c:extLst>
            <c:ext xmlns:c16="http://schemas.microsoft.com/office/drawing/2014/chart" uri="{C3380CC4-5D6E-409C-BE32-E72D297353CC}">
              <c16:uniqueId val="{00000004-21CE-44B5-B529-29DFAFC11DA1}"/>
            </c:ext>
          </c:extLst>
        </c:ser>
        <c:ser>
          <c:idx val="5"/>
          <c:order val="5"/>
          <c:tx>
            <c:strRef>
              <c:f>results!$A$8</c:f>
              <c:strCache>
                <c:ptCount val="1"/>
                <c:pt idx="0">
                  <c:v>Dimethylformamide</c:v>
                </c:pt>
              </c:strCache>
            </c:strRef>
          </c:tx>
          <c:spPr>
            <a:solidFill>
              <a:schemeClr val="accent6"/>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results!$D$8:$X$8</c:f>
              <c:numCache>
                <c:formatCode>General</c:formatCode>
                <c:ptCount val="21"/>
                <c:pt idx="0">
                  <c:v>2.0184100685913045E-4</c:v>
                </c:pt>
                <c:pt idx="1">
                  <c:v>4.4888607948800003E-3</c:v>
                </c:pt>
                <c:pt idx="2">
                  <c:v>3.0185153580521745E-3</c:v>
                </c:pt>
                <c:pt idx="3">
                  <c:v>6.3162628861773923E-5</c:v>
                </c:pt>
                <c:pt idx="4">
                  <c:v>1.7039055542539133E-6</c:v>
                </c:pt>
                <c:pt idx="5">
                  <c:v>0.10288951488333914</c:v>
                </c:pt>
                <c:pt idx="6">
                  <c:v>4.4427554210504352E-4</c:v>
                </c:pt>
                <c:pt idx="7">
                  <c:v>6.684065905975653E-2</c:v>
                </c:pt>
                <c:pt idx="8">
                  <c:v>2.1660859276243481E-5</c:v>
                </c:pt>
                <c:pt idx="9">
                  <c:v>2.8904256164730439E-4</c:v>
                </c:pt>
                <c:pt idx="10">
                  <c:v>1.8953468527304351E-6</c:v>
                </c:pt>
                <c:pt idx="11">
                  <c:v>9.0208803795478279E-10</c:v>
                </c:pt>
                <c:pt idx="12">
                  <c:v>1.2510675855805219E-5</c:v>
                </c:pt>
                <c:pt idx="13">
                  <c:v>1.5175427800375655E-5</c:v>
                </c:pt>
                <c:pt idx="14">
                  <c:v>3.1875106192695658E-5</c:v>
                </c:pt>
                <c:pt idx="15">
                  <c:v>3.1875106192695658E-5</c:v>
                </c:pt>
                <c:pt idx="16">
                  <c:v>3.8307325827339133E-5</c:v>
                </c:pt>
                <c:pt idx="17">
                  <c:v>1.3407477375332175E-5</c:v>
                </c:pt>
                <c:pt idx="18">
                  <c:v>1.9972639948800003E-4</c:v>
                </c:pt>
                <c:pt idx="19">
                  <c:v>8.8700846080000016E-4</c:v>
                </c:pt>
                <c:pt idx="20">
                  <c:v>3.753254755283479E-4</c:v>
                </c:pt>
              </c:numCache>
            </c:numRef>
          </c:val>
          <c:extLst>
            <c:ext xmlns:c16="http://schemas.microsoft.com/office/drawing/2014/chart" uri="{C3380CC4-5D6E-409C-BE32-E72D297353CC}">
              <c16:uniqueId val="{00000005-21CE-44B5-B529-29DFAFC11DA1}"/>
            </c:ext>
          </c:extLst>
        </c:ser>
        <c:ser>
          <c:idx val="6"/>
          <c:order val="6"/>
          <c:tx>
            <c:strRef>
              <c:f>results!$A$9</c:f>
              <c:strCache>
                <c:ptCount val="1"/>
                <c:pt idx="0">
                  <c:v>MAI</c:v>
                </c:pt>
              </c:strCache>
            </c:strRef>
          </c:tx>
          <c:spPr>
            <a:solidFill>
              <a:schemeClr val="accent1">
                <a:lumMod val="6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results!$D$9:$X$9</c:f>
              <c:numCache>
                <c:formatCode>General</c:formatCode>
                <c:ptCount val="21"/>
                <c:pt idx="0">
                  <c:v>4.6815197447724263E-3</c:v>
                </c:pt>
                <c:pt idx="1">
                  <c:v>4.288880542484913E-2</c:v>
                </c:pt>
                <c:pt idx="2">
                  <c:v>1.9780001405481216E-2</c:v>
                </c:pt>
                <c:pt idx="3">
                  <c:v>1.6167346889563747E-3</c:v>
                </c:pt>
                <c:pt idx="4">
                  <c:v>3.8059921509514613E-5</c:v>
                </c:pt>
                <c:pt idx="5">
                  <c:v>1.8967309789652951</c:v>
                </c:pt>
                <c:pt idx="6">
                  <c:v>4.5852209380064408E-3</c:v>
                </c:pt>
                <c:pt idx="7">
                  <c:v>1.4428042345239356</c:v>
                </c:pt>
                <c:pt idx="8">
                  <c:v>6.0923701199761482E-5</c:v>
                </c:pt>
                <c:pt idx="9">
                  <c:v>3.4262178182182467E-3</c:v>
                </c:pt>
                <c:pt idx="10">
                  <c:v>9.0462990731067385E-6</c:v>
                </c:pt>
                <c:pt idx="11">
                  <c:v>1.5506908089962554E-8</c:v>
                </c:pt>
                <c:pt idx="12">
                  <c:v>1.3997782386337507E-4</c:v>
                </c:pt>
                <c:pt idx="13">
                  <c:v>1.8848927204675016E-4</c:v>
                </c:pt>
                <c:pt idx="14">
                  <c:v>3.5522171786151461E-4</c:v>
                </c:pt>
                <c:pt idx="15">
                  <c:v>6.7393764443286839E-5</c:v>
                </c:pt>
                <c:pt idx="16">
                  <c:v>6.4746673540808596E-4</c:v>
                </c:pt>
                <c:pt idx="17">
                  <c:v>8.4097469761152549E-4</c:v>
                </c:pt>
                <c:pt idx="18">
                  <c:v>2.6858143206354205E-3</c:v>
                </c:pt>
                <c:pt idx="19">
                  <c:v>1.4802256520472273E-2</c:v>
                </c:pt>
                <c:pt idx="20">
                  <c:v>2.5308082732422182E-3</c:v>
                </c:pt>
              </c:numCache>
            </c:numRef>
          </c:val>
          <c:extLst>
            <c:ext xmlns:c16="http://schemas.microsoft.com/office/drawing/2014/chart" uri="{C3380CC4-5D6E-409C-BE32-E72D297353CC}">
              <c16:uniqueId val="{00000006-21CE-44B5-B529-29DFAFC11DA1}"/>
            </c:ext>
          </c:extLst>
        </c:ser>
        <c:ser>
          <c:idx val="7"/>
          <c:order val="7"/>
          <c:tx>
            <c:strRef>
              <c:f>results!$A$10</c:f>
              <c:strCache>
                <c:ptCount val="1"/>
                <c:pt idx="0">
                  <c:v>Isopropanol</c:v>
                </c:pt>
              </c:strCache>
            </c:strRef>
          </c:tx>
          <c:spPr>
            <a:solidFill>
              <a:schemeClr val="accent2">
                <a:lumMod val="6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results!$D$10:$X$10</c:f>
              <c:numCache>
                <c:formatCode>General</c:formatCode>
                <c:ptCount val="21"/>
                <c:pt idx="0">
                  <c:v>1.6727669247999997E-4</c:v>
                </c:pt>
                <c:pt idx="1">
                  <c:v>7.2471534933333326E-3</c:v>
                </c:pt>
                <c:pt idx="2">
                  <c:v>6.2928614399999994E-3</c:v>
                </c:pt>
                <c:pt idx="3">
                  <c:v>4.2253045759999993E-5</c:v>
                </c:pt>
                <c:pt idx="4">
                  <c:v>1.1969418751999998E-6</c:v>
                </c:pt>
                <c:pt idx="5">
                  <c:v>6.9638266879999994E-2</c:v>
                </c:pt>
                <c:pt idx="6">
                  <c:v>1.679645115733333E-4</c:v>
                </c:pt>
                <c:pt idx="7">
                  <c:v>5.1850627413333322E-2</c:v>
                </c:pt>
                <c:pt idx="8">
                  <c:v>5.095327402666666E-6</c:v>
                </c:pt>
                <c:pt idx="9">
                  <c:v>2.9422714367999996E-4</c:v>
                </c:pt>
                <c:pt idx="10">
                  <c:v>6.7000867839999995E-7</c:v>
                </c:pt>
                <c:pt idx="11">
                  <c:v>2.9480564053333329E-10</c:v>
                </c:pt>
                <c:pt idx="12">
                  <c:v>1.0978230442666665E-5</c:v>
                </c:pt>
                <c:pt idx="13">
                  <c:v>3.5824898047999993E-5</c:v>
                </c:pt>
                <c:pt idx="14">
                  <c:v>3.0804274175999997E-5</c:v>
                </c:pt>
                <c:pt idx="15">
                  <c:v>2.3871877631999997E-6</c:v>
                </c:pt>
                <c:pt idx="16">
                  <c:v>2.3720648533333332E-5</c:v>
                </c:pt>
                <c:pt idx="17">
                  <c:v>1.9251646463999996E-5</c:v>
                </c:pt>
                <c:pt idx="18">
                  <c:v>2.4992430591999995E-4</c:v>
                </c:pt>
                <c:pt idx="19">
                  <c:v>7.5459676159999993E-4</c:v>
                </c:pt>
                <c:pt idx="20">
                  <c:v>7.6821649066666654E-4</c:v>
                </c:pt>
              </c:numCache>
            </c:numRef>
          </c:val>
          <c:extLst>
            <c:ext xmlns:c16="http://schemas.microsoft.com/office/drawing/2014/chart" uri="{C3380CC4-5D6E-409C-BE32-E72D297353CC}">
              <c16:uniqueId val="{00000007-21CE-44B5-B529-29DFAFC11DA1}"/>
            </c:ext>
          </c:extLst>
        </c:ser>
        <c:ser>
          <c:idx val="8"/>
          <c:order val="8"/>
          <c:tx>
            <c:strRef>
              <c:f>results!$A$12</c:f>
              <c:strCache>
                <c:ptCount val="1"/>
                <c:pt idx="0">
                  <c:v>ZnO nanoparticles</c:v>
                </c:pt>
              </c:strCache>
            </c:strRef>
          </c:tx>
          <c:spPr>
            <a:solidFill>
              <a:schemeClr val="accent3">
                <a:lumMod val="6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results!$D$12:$X$12</c:f>
              <c:numCache>
                <c:formatCode>General</c:formatCode>
                <c:ptCount val="21"/>
                <c:pt idx="0">
                  <c:v>5.0477812142374952E-3</c:v>
                </c:pt>
                <c:pt idx="1">
                  <c:v>7.2564505430866025E-2</c:v>
                </c:pt>
                <c:pt idx="2">
                  <c:v>4.438439969379749E-2</c:v>
                </c:pt>
                <c:pt idx="3">
                  <c:v>2.5952617334179051E-3</c:v>
                </c:pt>
                <c:pt idx="4">
                  <c:v>3.6272953795962656E-5</c:v>
                </c:pt>
                <c:pt idx="5">
                  <c:v>1.4693008109703951</c:v>
                </c:pt>
                <c:pt idx="6">
                  <c:v>4.17967597979117E-3</c:v>
                </c:pt>
                <c:pt idx="7">
                  <c:v>1.1510393237763406</c:v>
                </c:pt>
                <c:pt idx="8">
                  <c:v>7.5784775608485482E-5</c:v>
                </c:pt>
                <c:pt idx="9">
                  <c:v>4.5109577033945374E-3</c:v>
                </c:pt>
                <c:pt idx="10">
                  <c:v>7.3482338145854898E-6</c:v>
                </c:pt>
                <c:pt idx="11">
                  <c:v>1.7893924955361907E-8</c:v>
                </c:pt>
                <c:pt idx="12">
                  <c:v>2.2331068228391668E-4</c:v>
                </c:pt>
                <c:pt idx="13">
                  <c:v>5.6458535187220915E-4</c:v>
                </c:pt>
                <c:pt idx="14">
                  <c:v>4.0583761858677586E-4</c:v>
                </c:pt>
                <c:pt idx="15">
                  <c:v>7.7530367548648063E-5</c:v>
                </c:pt>
                <c:pt idx="16">
                  <c:v>7.4681662477673932E-4</c:v>
                </c:pt>
                <c:pt idx="17">
                  <c:v>2.538395906416382E-4</c:v>
                </c:pt>
                <c:pt idx="18">
                  <c:v>3.3471725714354092E-3</c:v>
                </c:pt>
                <c:pt idx="19">
                  <c:v>1.3094112908093413E-2</c:v>
                </c:pt>
                <c:pt idx="20">
                  <c:v>5.5314624616756751E-3</c:v>
                </c:pt>
              </c:numCache>
            </c:numRef>
          </c:val>
          <c:extLst>
            <c:ext xmlns:c16="http://schemas.microsoft.com/office/drawing/2014/chart" uri="{C3380CC4-5D6E-409C-BE32-E72D297353CC}">
              <c16:uniqueId val="{00000008-21CE-44B5-B529-29DFAFC11DA1}"/>
            </c:ext>
          </c:extLst>
        </c:ser>
        <c:ser>
          <c:idx val="9"/>
          <c:order val="9"/>
          <c:tx>
            <c:strRef>
              <c:f>results!$A$13</c:f>
              <c:strCache>
                <c:ptCount val="1"/>
                <c:pt idx="0">
                  <c:v>Al</c:v>
                </c:pt>
              </c:strCache>
            </c:strRef>
          </c:tx>
          <c:spPr>
            <a:solidFill>
              <a:schemeClr val="accent4">
                <a:lumMod val="6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results!$D$13:$X$13</c:f>
              <c:numCache>
                <c:formatCode>General</c:formatCode>
                <c:ptCount val="21"/>
                <c:pt idx="0">
                  <c:v>9.7510829268292686E-5</c:v>
                </c:pt>
                <c:pt idx="1">
                  <c:v>6.4433853658536584E-3</c:v>
                </c:pt>
                <c:pt idx="2">
                  <c:v>1.4504663414634147E-3</c:v>
                </c:pt>
                <c:pt idx="3">
                  <c:v>6.2695317073170734E-5</c:v>
                </c:pt>
                <c:pt idx="4">
                  <c:v>1.76364E-6</c:v>
                </c:pt>
                <c:pt idx="5">
                  <c:v>7.8660878048780483E-2</c:v>
                </c:pt>
                <c:pt idx="6">
                  <c:v>6.9267512195121954E-5</c:v>
                </c:pt>
                <c:pt idx="7">
                  <c:v>8.3944975609756098E-2</c:v>
                </c:pt>
                <c:pt idx="8">
                  <c:v>6.2105268292682925E-6</c:v>
                </c:pt>
                <c:pt idx="9">
                  <c:v>7.0084097560975617E-5</c:v>
                </c:pt>
                <c:pt idx="10">
                  <c:v>4.3558243902439025E-7</c:v>
                </c:pt>
                <c:pt idx="11">
                  <c:v>1.8822556097560975E-10</c:v>
                </c:pt>
                <c:pt idx="12">
                  <c:v>1.4607395121951219E-5</c:v>
                </c:pt>
                <c:pt idx="13">
                  <c:v>1.8946360975609756E-5</c:v>
                </c:pt>
                <c:pt idx="14">
                  <c:v>3.4886634146341461E-5</c:v>
                </c:pt>
                <c:pt idx="15">
                  <c:v>1.6350936585365853E-6</c:v>
                </c:pt>
                <c:pt idx="16">
                  <c:v>5.1297365853658533E-5</c:v>
                </c:pt>
                <c:pt idx="17">
                  <c:v>1.7398536585365853E-5</c:v>
                </c:pt>
                <c:pt idx="18">
                  <c:v>2.6886731707317072E-4</c:v>
                </c:pt>
                <c:pt idx="19">
                  <c:v>7.9453756097560982E-4</c:v>
                </c:pt>
                <c:pt idx="20">
                  <c:v>1.7718585365853658E-4</c:v>
                </c:pt>
              </c:numCache>
            </c:numRef>
          </c:val>
          <c:extLst>
            <c:ext xmlns:c16="http://schemas.microsoft.com/office/drawing/2014/chart" uri="{C3380CC4-5D6E-409C-BE32-E72D297353CC}">
              <c16:uniqueId val="{00000009-21CE-44B5-B529-29DFAFC11DA1}"/>
            </c:ext>
          </c:extLst>
        </c:ser>
        <c:ser>
          <c:idx val="10"/>
          <c:order val="10"/>
          <c:tx>
            <c:strRef>
              <c:f>results!$A$14</c:f>
              <c:strCache>
                <c:ptCount val="1"/>
                <c:pt idx="0">
                  <c:v>Sonication</c:v>
                </c:pt>
              </c:strCache>
            </c:strRef>
          </c:tx>
          <c:spPr>
            <a:solidFill>
              <a:schemeClr val="accent5">
                <a:lumMod val="6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results!$D$14:$X$14</c:f>
              <c:numCache>
                <c:formatCode>General</c:formatCode>
                <c:ptCount val="21"/>
                <c:pt idx="0">
                  <c:v>3.2510800026008635E-3</c:v>
                </c:pt>
                <c:pt idx="1">
                  <c:v>2.6799600021439676</c:v>
                </c:pt>
                <c:pt idx="2">
                  <c:v>1.1836000009468799</c:v>
                </c:pt>
                <c:pt idx="3">
                  <c:v>1.0204000008163197E-2</c:v>
                </c:pt>
                <c:pt idx="4">
                  <c:v>4.9796000039836795E-5</c:v>
                </c:pt>
                <c:pt idx="5">
                  <c:v>20.874000016699195</c:v>
                </c:pt>
                <c:pt idx="6">
                  <c:v>1.6892000013513597E-2</c:v>
                </c:pt>
                <c:pt idx="7">
                  <c:v>6.2776000050220784</c:v>
                </c:pt>
                <c:pt idx="8">
                  <c:v>2.4590000019671992E-3</c:v>
                </c:pt>
                <c:pt idx="9">
                  <c:v>1.1996000009596797E-2</c:v>
                </c:pt>
                <c:pt idx="10">
                  <c:v>4.4140000035311993E-4</c:v>
                </c:pt>
                <c:pt idx="11">
                  <c:v>2.3717600018974076E-7</c:v>
                </c:pt>
                <c:pt idx="12">
                  <c:v>2.9944800023955836E-3</c:v>
                </c:pt>
                <c:pt idx="13">
                  <c:v>8.0544000064435191E-3</c:v>
                </c:pt>
                <c:pt idx="14">
                  <c:v>1.1600000009279998E-2</c:v>
                </c:pt>
                <c:pt idx="15">
                  <c:v>2.0761200016608956E-4</c:v>
                </c:pt>
                <c:pt idx="16">
                  <c:v>1.2804400010243519E-3</c:v>
                </c:pt>
                <c:pt idx="17">
                  <c:v>3.2074400025659512E-4</c:v>
                </c:pt>
                <c:pt idx="18">
                  <c:v>7.8456000062764791E-2</c:v>
                </c:pt>
                <c:pt idx="19">
                  <c:v>0.24192800019354235</c:v>
                </c:pt>
                <c:pt idx="20">
                  <c:v>0.14248400011398718</c:v>
                </c:pt>
              </c:numCache>
            </c:numRef>
          </c:val>
          <c:extLst>
            <c:ext xmlns:c16="http://schemas.microsoft.com/office/drawing/2014/chart" uri="{C3380CC4-5D6E-409C-BE32-E72D297353CC}">
              <c16:uniqueId val="{0000000A-21CE-44B5-B529-29DFAFC11DA1}"/>
            </c:ext>
          </c:extLst>
        </c:ser>
        <c:ser>
          <c:idx val="11"/>
          <c:order val="11"/>
          <c:tx>
            <c:strRef>
              <c:f>results!$A$15</c:f>
              <c:strCache>
                <c:ptCount val="1"/>
                <c:pt idx="0">
                  <c:v>HTL spin coating</c:v>
                </c:pt>
              </c:strCache>
            </c:strRef>
          </c:tx>
          <c:spPr>
            <a:solidFill>
              <a:schemeClr val="accent6">
                <a:lumMod val="6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results!$D$15:$X$15</c:f>
              <c:numCache>
                <c:formatCode>General</c:formatCode>
                <c:ptCount val="21"/>
                <c:pt idx="0">
                  <c:v>5.4466482795458718E-3</c:v>
                </c:pt>
                <c:pt idx="1">
                  <c:v>4.4898309248778112</c:v>
                </c:pt>
                <c:pt idx="2">
                  <c:v>1.9829265670701719</c:v>
                </c:pt>
                <c:pt idx="3">
                  <c:v>1.7095118866495465E-2</c:v>
                </c:pt>
                <c:pt idx="4">
                  <c:v>8.3424984229322642E-5</c:v>
                </c:pt>
                <c:pt idx="5">
                  <c:v>34.970943867035118</c:v>
                </c:pt>
                <c:pt idx="6">
                  <c:v>2.8299759691575992E-2</c:v>
                </c:pt>
                <c:pt idx="7">
                  <c:v>10.517083319905129</c:v>
                </c:pt>
                <c:pt idx="8">
                  <c:v>4.1196488918769456E-3</c:v>
                </c:pt>
                <c:pt idx="9">
                  <c:v>2.0097319278957235E-2</c:v>
                </c:pt>
                <c:pt idx="10">
                  <c:v>7.3949289177490188E-4</c:v>
                </c:pt>
                <c:pt idx="11">
                  <c:v>3.9734926619756263E-7</c:v>
                </c:pt>
                <c:pt idx="12">
                  <c:v>5.0167573053060896E-3</c:v>
                </c:pt>
                <c:pt idx="13">
                  <c:v>1.3493818639582622E-2</c:v>
                </c:pt>
                <c:pt idx="14">
                  <c:v>1.9433886598524835E-2</c:v>
                </c:pt>
                <c:pt idx="15">
                  <c:v>3.4781966073214985E-4</c:v>
                </c:pt>
                <c:pt idx="16">
                  <c:v>2.1451660134668227E-3</c:v>
                </c:pt>
                <c:pt idx="17">
                  <c:v>5.3735366578941803E-4</c:v>
                </c:pt>
                <c:pt idx="18">
                  <c:v>0.13144008680809174</c:v>
                </c:pt>
                <c:pt idx="19">
                  <c:v>0.40531045836275142</c:v>
                </c:pt>
                <c:pt idx="20">
                  <c:v>0.23870843949174245</c:v>
                </c:pt>
              </c:numCache>
            </c:numRef>
          </c:val>
          <c:extLst>
            <c:ext xmlns:c16="http://schemas.microsoft.com/office/drawing/2014/chart" uri="{C3380CC4-5D6E-409C-BE32-E72D297353CC}">
              <c16:uniqueId val="{0000000B-21CE-44B5-B529-29DFAFC11DA1}"/>
            </c:ext>
          </c:extLst>
        </c:ser>
        <c:ser>
          <c:idx val="12"/>
          <c:order val="12"/>
          <c:tx>
            <c:strRef>
              <c:f>results!$A$16</c:f>
              <c:strCache>
                <c:ptCount val="1"/>
                <c:pt idx="0">
                  <c:v>HTL annealing</c:v>
                </c:pt>
              </c:strCache>
            </c:strRef>
          </c:tx>
          <c:spPr>
            <a:solidFill>
              <a:schemeClr val="accent1">
                <a:lumMod val="80000"/>
                <a:lumOff val="2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results!$D$16:$X$16</c:f>
              <c:numCache>
                <c:formatCode>General</c:formatCode>
                <c:ptCount val="21"/>
                <c:pt idx="0">
                  <c:v>3.511166402808933E-2</c:v>
                </c:pt>
                <c:pt idx="1">
                  <c:v>28.943568023154853</c:v>
                </c:pt>
                <c:pt idx="2">
                  <c:v>12.782880010226304</c:v>
                </c:pt>
                <c:pt idx="3">
                  <c:v>0.11020320008816255</c:v>
                </c:pt>
                <c:pt idx="4">
                  <c:v>5.377968004302375E-4</c:v>
                </c:pt>
                <c:pt idx="5">
                  <c:v>225.43920018035135</c:v>
                </c:pt>
                <c:pt idx="6">
                  <c:v>0.18243360014594689</c:v>
                </c:pt>
                <c:pt idx="7">
                  <c:v>67.798080054238454</c:v>
                </c:pt>
                <c:pt idx="8">
                  <c:v>2.6557200021245758E-2</c:v>
                </c:pt>
                <c:pt idx="9">
                  <c:v>0.12955680010364543</c:v>
                </c:pt>
                <c:pt idx="10">
                  <c:v>4.7671200038136956E-3</c:v>
                </c:pt>
                <c:pt idx="11">
                  <c:v>2.5615008020492004E-6</c:v>
                </c:pt>
                <c:pt idx="12">
                  <c:v>3.2340384025872304E-2</c:v>
                </c:pt>
                <c:pt idx="13">
                  <c:v>8.6987520069590013E-2</c:v>
                </c:pt>
                <c:pt idx="14">
                  <c:v>0.125280000100224</c:v>
                </c:pt>
                <c:pt idx="15">
                  <c:v>2.2422096017937678E-3</c:v>
                </c:pt>
                <c:pt idx="16">
                  <c:v>1.3828752011063003E-2</c:v>
                </c:pt>
                <c:pt idx="17">
                  <c:v>3.4640352027712276E-3</c:v>
                </c:pt>
                <c:pt idx="18">
                  <c:v>0.84732480067785976</c:v>
                </c:pt>
                <c:pt idx="19">
                  <c:v>2.612822402090258</c:v>
                </c:pt>
                <c:pt idx="20">
                  <c:v>1.5388272012310618</c:v>
                </c:pt>
              </c:numCache>
            </c:numRef>
          </c:val>
          <c:extLst>
            <c:ext xmlns:c16="http://schemas.microsoft.com/office/drawing/2014/chart" uri="{C3380CC4-5D6E-409C-BE32-E72D297353CC}">
              <c16:uniqueId val="{0000000C-21CE-44B5-B529-29DFAFC11DA1}"/>
            </c:ext>
          </c:extLst>
        </c:ser>
        <c:ser>
          <c:idx val="13"/>
          <c:order val="13"/>
          <c:tx>
            <c:strRef>
              <c:f>results!$A$17</c:f>
              <c:strCache>
                <c:ptCount val="1"/>
                <c:pt idx="0">
                  <c:v>Inert gas purging</c:v>
                </c:pt>
              </c:strCache>
            </c:strRef>
          </c:tx>
          <c:spPr>
            <a:solidFill>
              <a:schemeClr val="accent2">
                <a:lumMod val="80000"/>
                <a:lumOff val="2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results!$D$17:$X$17</c:f>
              <c:numCache>
                <c:formatCode>General</c:formatCode>
                <c:ptCount val="21"/>
                <c:pt idx="0">
                  <c:v>4.2670425034136332E-3</c:v>
                </c:pt>
                <c:pt idx="1">
                  <c:v>3.5174475028139573</c:v>
                </c:pt>
                <c:pt idx="2">
                  <c:v>1.5534750012427798</c:v>
                </c:pt>
                <c:pt idx="3">
                  <c:v>1.3392750010714199E-2</c:v>
                </c:pt>
                <c:pt idx="4">
                  <c:v>6.5357250052285794E-5</c:v>
                </c:pt>
                <c:pt idx="5">
                  <c:v>27.397125021917695</c:v>
                </c:pt>
                <c:pt idx="6">
                  <c:v>2.21707500177366E-2</c:v>
                </c:pt>
                <c:pt idx="7">
                  <c:v>8.2393500065914793</c:v>
                </c:pt>
                <c:pt idx="8">
                  <c:v>3.2274375025819492E-3</c:v>
                </c:pt>
                <c:pt idx="9">
                  <c:v>1.5744750012595798E-2</c:v>
                </c:pt>
                <c:pt idx="10">
                  <c:v>5.793375004634699E-4</c:v>
                </c:pt>
                <c:pt idx="11">
                  <c:v>3.112935002490348E-7</c:v>
                </c:pt>
                <c:pt idx="12">
                  <c:v>3.9302550031442033E-3</c:v>
                </c:pt>
                <c:pt idx="13">
                  <c:v>1.0571400008457119E-2</c:v>
                </c:pt>
                <c:pt idx="14">
                  <c:v>1.5225000012179997E-2</c:v>
                </c:pt>
                <c:pt idx="15">
                  <c:v>2.7249075021799256E-4</c:v>
                </c:pt>
                <c:pt idx="16">
                  <c:v>1.680577501344462E-3</c:v>
                </c:pt>
                <c:pt idx="17">
                  <c:v>4.2097650033678111E-4</c:v>
                </c:pt>
                <c:pt idx="18">
                  <c:v>0.10297350008237878</c:v>
                </c:pt>
                <c:pt idx="19">
                  <c:v>0.31753050025402435</c:v>
                </c:pt>
                <c:pt idx="20">
                  <c:v>0.18701025014960818</c:v>
                </c:pt>
              </c:numCache>
            </c:numRef>
          </c:val>
          <c:extLst>
            <c:ext xmlns:c16="http://schemas.microsoft.com/office/drawing/2014/chart" uri="{C3380CC4-5D6E-409C-BE32-E72D297353CC}">
              <c16:uniqueId val="{0000000D-21CE-44B5-B529-29DFAFC11DA1}"/>
            </c:ext>
          </c:extLst>
        </c:ser>
        <c:ser>
          <c:idx val="14"/>
          <c:order val="14"/>
          <c:tx>
            <c:strRef>
              <c:f>results!$A$18</c:f>
              <c:strCache>
                <c:ptCount val="1"/>
                <c:pt idx="0">
                  <c:v>PL 1st-step spin coating</c:v>
                </c:pt>
              </c:strCache>
            </c:strRef>
          </c:tx>
          <c:spPr>
            <a:solidFill>
              <a:schemeClr val="accent3">
                <a:lumMod val="80000"/>
                <a:lumOff val="2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results!$D$18:$X$18</c:f>
              <c:numCache>
                <c:formatCode>General</c:formatCode>
                <c:ptCount val="21"/>
                <c:pt idx="0">
                  <c:v>9.6829302747482171E-5</c:v>
                </c:pt>
                <c:pt idx="1">
                  <c:v>7.9819216442272203E-2</c:v>
                </c:pt>
                <c:pt idx="2">
                  <c:v>3.525202785902528E-2</c:v>
                </c:pt>
                <c:pt idx="3">
                  <c:v>3.039132242932527E-4</c:v>
                </c:pt>
                <c:pt idx="4">
                  <c:v>1.4831108307435136E-6</c:v>
                </c:pt>
                <c:pt idx="5">
                  <c:v>0.62170566874729094</c:v>
                </c:pt>
                <c:pt idx="6">
                  <c:v>5.0310683896135093E-4</c:v>
                </c:pt>
                <c:pt idx="7">
                  <c:v>0.18697037013164672</c:v>
                </c:pt>
                <c:pt idx="8">
                  <c:v>7.3238202522256797E-5</c:v>
                </c:pt>
                <c:pt idx="9">
                  <c:v>3.5728567607035079E-4</c:v>
                </c:pt>
                <c:pt idx="10">
                  <c:v>1.3146540298220478E-5</c:v>
                </c:pt>
                <c:pt idx="11">
                  <c:v>7.0639869546233354E-9</c:v>
                </c:pt>
                <c:pt idx="12">
                  <c:v>8.9186796538774931E-5</c:v>
                </c:pt>
                <c:pt idx="13">
                  <c:v>2.398901091481355E-4</c:v>
                </c:pt>
                <c:pt idx="14">
                  <c:v>3.4549131730710812E-4</c:v>
                </c:pt>
                <c:pt idx="15">
                  <c:v>6.1834606352382193E-6</c:v>
                </c:pt>
                <c:pt idx="16">
                  <c:v>3.8136284683854624E-5</c:v>
                </c:pt>
                <c:pt idx="17">
                  <c:v>9.5529540584785421E-6</c:v>
                </c:pt>
                <c:pt idx="18">
                  <c:v>2.3367126543660756E-3</c:v>
                </c:pt>
                <c:pt idx="19">
                  <c:v>7.2055192597822474E-3</c:v>
                </c:pt>
                <c:pt idx="20">
                  <c:v>4.24370559096431E-3</c:v>
                </c:pt>
              </c:numCache>
            </c:numRef>
          </c:val>
          <c:extLst>
            <c:ext xmlns:c16="http://schemas.microsoft.com/office/drawing/2014/chart" uri="{C3380CC4-5D6E-409C-BE32-E72D297353CC}">
              <c16:uniqueId val="{0000000E-21CE-44B5-B529-29DFAFC11DA1}"/>
            </c:ext>
          </c:extLst>
        </c:ser>
        <c:ser>
          <c:idx val="15"/>
          <c:order val="15"/>
          <c:tx>
            <c:strRef>
              <c:f>results!$A$19</c:f>
              <c:strCache>
                <c:ptCount val="1"/>
                <c:pt idx="0">
                  <c:v>PL drying</c:v>
                </c:pt>
              </c:strCache>
            </c:strRef>
          </c:tx>
          <c:spPr>
            <a:solidFill>
              <a:schemeClr val="accent4">
                <a:lumMod val="80000"/>
                <a:lumOff val="2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results!$D$19:$X$19</c:f>
              <c:numCache>
                <c:formatCode>General</c:formatCode>
                <c:ptCount val="21"/>
                <c:pt idx="0">
                  <c:v>1.3654536010923629E-3</c:v>
                </c:pt>
                <c:pt idx="1">
                  <c:v>1.1255832009004665</c:v>
                </c:pt>
                <c:pt idx="2">
                  <c:v>0.4971120003976896</c:v>
                </c:pt>
                <c:pt idx="3">
                  <c:v>4.285680003428544E-3</c:v>
                </c:pt>
                <c:pt idx="4">
                  <c:v>2.0914320016731457E-5</c:v>
                </c:pt>
                <c:pt idx="5">
                  <c:v>8.7670800070136625</c:v>
                </c:pt>
                <c:pt idx="6">
                  <c:v>7.0946400056757118E-3</c:v>
                </c:pt>
                <c:pt idx="7">
                  <c:v>2.6365920021092735</c:v>
                </c:pt>
                <c:pt idx="8">
                  <c:v>1.0327800008262239E-3</c:v>
                </c:pt>
                <c:pt idx="9">
                  <c:v>5.0383200040306558E-3</c:v>
                </c:pt>
                <c:pt idx="10">
                  <c:v>1.8538800014831038E-4</c:v>
                </c:pt>
                <c:pt idx="11">
                  <c:v>9.9613920079691132E-8</c:v>
                </c:pt>
                <c:pt idx="12">
                  <c:v>1.2576816010061451E-3</c:v>
                </c:pt>
                <c:pt idx="13">
                  <c:v>3.3828480027062783E-3</c:v>
                </c:pt>
                <c:pt idx="14">
                  <c:v>4.8720000038975997E-3</c:v>
                </c:pt>
                <c:pt idx="15">
                  <c:v>8.7197040069757637E-5</c:v>
                </c:pt>
                <c:pt idx="16">
                  <c:v>5.3778480043022788E-4</c:v>
                </c:pt>
                <c:pt idx="17">
                  <c:v>1.3471248010776997E-4</c:v>
                </c:pt>
                <c:pt idx="18">
                  <c:v>3.2951520026361217E-2</c:v>
                </c:pt>
                <c:pt idx="19">
                  <c:v>0.1016097600812878</c:v>
                </c:pt>
                <c:pt idx="20">
                  <c:v>5.984328004787462E-2</c:v>
                </c:pt>
              </c:numCache>
            </c:numRef>
          </c:val>
          <c:extLst>
            <c:ext xmlns:c16="http://schemas.microsoft.com/office/drawing/2014/chart" uri="{C3380CC4-5D6E-409C-BE32-E72D297353CC}">
              <c16:uniqueId val="{0000000F-21CE-44B5-B529-29DFAFC11DA1}"/>
            </c:ext>
          </c:extLst>
        </c:ser>
        <c:ser>
          <c:idx val="16"/>
          <c:order val="16"/>
          <c:tx>
            <c:strRef>
              <c:f>results!$A$20</c:f>
              <c:strCache>
                <c:ptCount val="1"/>
                <c:pt idx="0">
                  <c:v>PL 2nd-step spin coating</c:v>
                </c:pt>
              </c:strCache>
            </c:strRef>
          </c:tx>
          <c:spPr>
            <a:solidFill>
              <a:schemeClr val="accent5">
                <a:lumMod val="80000"/>
                <a:lumOff val="2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results!$D$20:$X$20</c:f>
              <c:numCache>
                <c:formatCode>General</c:formatCode>
                <c:ptCount val="21"/>
                <c:pt idx="0">
                  <c:v>4.8414651373741083E-3</c:v>
                </c:pt>
                <c:pt idx="1">
                  <c:v>3.9909608221136099</c:v>
                </c:pt>
                <c:pt idx="2">
                  <c:v>1.7626013929512638</c:v>
                </c:pt>
                <c:pt idx="3">
                  <c:v>1.5195661214662636E-2</c:v>
                </c:pt>
                <c:pt idx="4">
                  <c:v>7.4155541537175682E-5</c:v>
                </c:pt>
                <c:pt idx="5">
                  <c:v>31.085283437364549</c:v>
                </c:pt>
                <c:pt idx="6">
                  <c:v>2.5155341948067549E-2</c:v>
                </c:pt>
                <c:pt idx="7">
                  <c:v>9.3485185065823355</c:v>
                </c:pt>
                <c:pt idx="8">
                  <c:v>3.6619101261128402E-3</c:v>
                </c:pt>
                <c:pt idx="9">
                  <c:v>1.7864283803517539E-2</c:v>
                </c:pt>
                <c:pt idx="10">
                  <c:v>6.5732701491102389E-4</c:v>
                </c:pt>
                <c:pt idx="11">
                  <c:v>3.5319934773116675E-7</c:v>
                </c:pt>
                <c:pt idx="12">
                  <c:v>4.4593398269387463E-3</c:v>
                </c:pt>
                <c:pt idx="13">
                  <c:v>1.1994505457406775E-2</c:v>
                </c:pt>
                <c:pt idx="14">
                  <c:v>1.7274565865355408E-2</c:v>
                </c:pt>
                <c:pt idx="15">
                  <c:v>3.0917303176191096E-4</c:v>
                </c:pt>
                <c:pt idx="16">
                  <c:v>1.9068142341927311E-3</c:v>
                </c:pt>
                <c:pt idx="17">
                  <c:v>4.7764770292392712E-4</c:v>
                </c:pt>
                <c:pt idx="18">
                  <c:v>0.11683563271830379</c:v>
                </c:pt>
                <c:pt idx="19">
                  <c:v>0.36027596298911235</c:v>
                </c:pt>
                <c:pt idx="20">
                  <c:v>0.21218527954821551</c:v>
                </c:pt>
              </c:numCache>
            </c:numRef>
          </c:val>
          <c:extLst>
            <c:ext xmlns:c16="http://schemas.microsoft.com/office/drawing/2014/chart" uri="{C3380CC4-5D6E-409C-BE32-E72D297353CC}">
              <c16:uniqueId val="{00000010-21CE-44B5-B529-29DFAFC11DA1}"/>
            </c:ext>
          </c:extLst>
        </c:ser>
        <c:ser>
          <c:idx val="17"/>
          <c:order val="17"/>
          <c:tx>
            <c:strRef>
              <c:f>results!$A$21</c:f>
              <c:strCache>
                <c:ptCount val="1"/>
                <c:pt idx="0">
                  <c:v>PL annealing</c:v>
                </c:pt>
              </c:strCache>
            </c:strRef>
          </c:tx>
          <c:spPr>
            <a:solidFill>
              <a:schemeClr val="accent6">
                <a:lumMod val="80000"/>
                <a:lumOff val="2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results!$D$21:$X$21</c:f>
              <c:numCache>
                <c:formatCode>General</c:formatCode>
                <c:ptCount val="21"/>
                <c:pt idx="0">
                  <c:v>2.340777601872622E-2</c:v>
                </c:pt>
                <c:pt idx="1">
                  <c:v>19.295712015436568</c:v>
                </c:pt>
                <c:pt idx="2">
                  <c:v>8.5219200068175365</c:v>
                </c:pt>
                <c:pt idx="3">
                  <c:v>7.3468800058775041E-2</c:v>
                </c:pt>
                <c:pt idx="4">
                  <c:v>3.5853120028682498E-4</c:v>
                </c:pt>
                <c:pt idx="5">
                  <c:v>150.29280012023423</c:v>
                </c:pt>
                <c:pt idx="6">
                  <c:v>0.12162240009729793</c:v>
                </c:pt>
                <c:pt idx="7">
                  <c:v>45.198720036158974</c:v>
                </c:pt>
                <c:pt idx="8">
                  <c:v>1.7704800014163836E-2</c:v>
                </c:pt>
                <c:pt idx="9">
                  <c:v>8.6371200069096959E-2</c:v>
                </c:pt>
                <c:pt idx="10">
                  <c:v>3.1780800025424639E-3</c:v>
                </c:pt>
                <c:pt idx="11">
                  <c:v>1.7076672013661337E-6</c:v>
                </c:pt>
                <c:pt idx="12">
                  <c:v>2.1560256017248203E-2</c:v>
                </c:pt>
                <c:pt idx="13">
                  <c:v>5.7991680046393337E-2</c:v>
                </c:pt>
                <c:pt idx="14">
                  <c:v>8.3520000066815994E-2</c:v>
                </c:pt>
                <c:pt idx="15">
                  <c:v>1.494806401195845E-3</c:v>
                </c:pt>
                <c:pt idx="16">
                  <c:v>9.2191680073753345E-3</c:v>
                </c:pt>
                <c:pt idx="17">
                  <c:v>2.3093568018474854E-3</c:v>
                </c:pt>
                <c:pt idx="18">
                  <c:v>0.56488320045190654</c:v>
                </c:pt>
                <c:pt idx="19">
                  <c:v>1.7418816013935052</c:v>
                </c:pt>
                <c:pt idx="20">
                  <c:v>1.0258848008207078</c:v>
                </c:pt>
              </c:numCache>
            </c:numRef>
          </c:val>
          <c:extLst>
            <c:ext xmlns:c16="http://schemas.microsoft.com/office/drawing/2014/chart" uri="{C3380CC4-5D6E-409C-BE32-E72D297353CC}">
              <c16:uniqueId val="{00000011-21CE-44B5-B529-29DFAFC11DA1}"/>
            </c:ext>
          </c:extLst>
        </c:ser>
        <c:ser>
          <c:idx val="18"/>
          <c:order val="18"/>
          <c:tx>
            <c:strRef>
              <c:f>results!$A$22</c:f>
              <c:strCache>
                <c:ptCount val="1"/>
                <c:pt idx="0">
                  <c:v>ETL spin coating</c:v>
                </c:pt>
              </c:strCache>
            </c:strRef>
          </c:tx>
          <c:spPr>
            <a:solidFill>
              <a:schemeClr val="accent1">
                <a:lumMod val="8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results!$D$22:$X$22</c:f>
              <c:numCache>
                <c:formatCode>General</c:formatCode>
                <c:ptCount val="21"/>
                <c:pt idx="0">
                  <c:v>5.4466482795458718E-3</c:v>
                </c:pt>
                <c:pt idx="1">
                  <c:v>4.4898309248778112</c:v>
                </c:pt>
                <c:pt idx="2">
                  <c:v>1.9829265670701719</c:v>
                </c:pt>
                <c:pt idx="3">
                  <c:v>1.7095118866495465E-2</c:v>
                </c:pt>
                <c:pt idx="4">
                  <c:v>8.3424984229322642E-5</c:v>
                </c:pt>
                <c:pt idx="5">
                  <c:v>34.970943867035118</c:v>
                </c:pt>
                <c:pt idx="6">
                  <c:v>2.8299759691575992E-2</c:v>
                </c:pt>
                <c:pt idx="7">
                  <c:v>10.517083319905129</c:v>
                </c:pt>
                <c:pt idx="8">
                  <c:v>4.1196488918769456E-3</c:v>
                </c:pt>
                <c:pt idx="9">
                  <c:v>2.0097319278957235E-2</c:v>
                </c:pt>
                <c:pt idx="10">
                  <c:v>7.3949289177490188E-4</c:v>
                </c:pt>
                <c:pt idx="11">
                  <c:v>3.9734926619756263E-7</c:v>
                </c:pt>
                <c:pt idx="12">
                  <c:v>5.0167573053060896E-3</c:v>
                </c:pt>
                <c:pt idx="13">
                  <c:v>1.3493818639582622E-2</c:v>
                </c:pt>
                <c:pt idx="14">
                  <c:v>1.9433886598524835E-2</c:v>
                </c:pt>
                <c:pt idx="15">
                  <c:v>3.4781966073214985E-4</c:v>
                </c:pt>
                <c:pt idx="16">
                  <c:v>2.1451660134668227E-3</c:v>
                </c:pt>
                <c:pt idx="17">
                  <c:v>5.3735366578941803E-4</c:v>
                </c:pt>
                <c:pt idx="18">
                  <c:v>0.13144008680809174</c:v>
                </c:pt>
                <c:pt idx="19">
                  <c:v>0.40531045836275142</c:v>
                </c:pt>
                <c:pt idx="20">
                  <c:v>0.23870843949174245</c:v>
                </c:pt>
              </c:numCache>
            </c:numRef>
          </c:val>
          <c:extLst>
            <c:ext xmlns:c16="http://schemas.microsoft.com/office/drawing/2014/chart" uri="{C3380CC4-5D6E-409C-BE32-E72D297353CC}">
              <c16:uniqueId val="{00000012-21CE-44B5-B529-29DFAFC11DA1}"/>
            </c:ext>
          </c:extLst>
        </c:ser>
        <c:ser>
          <c:idx val="19"/>
          <c:order val="19"/>
          <c:tx>
            <c:strRef>
              <c:f>results!$A$23</c:f>
              <c:strCache>
                <c:ptCount val="1"/>
                <c:pt idx="0">
                  <c:v>Vacuum pump</c:v>
                </c:pt>
              </c:strCache>
            </c:strRef>
          </c:tx>
          <c:spPr>
            <a:solidFill>
              <a:schemeClr val="accent2">
                <a:lumMod val="8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results!$D$23:$X$23</c:f>
              <c:numCache>
                <c:formatCode>General</c:formatCode>
                <c:ptCount val="21"/>
                <c:pt idx="0">
                  <c:v>7.4774840059819853E-3</c:v>
                </c:pt>
                <c:pt idx="1">
                  <c:v>6.163908004931125</c:v>
                </c:pt>
                <c:pt idx="2">
                  <c:v>2.7222800021778233</c:v>
                </c:pt>
                <c:pt idx="3">
                  <c:v>2.3469200018775355E-2</c:v>
                </c:pt>
                <c:pt idx="4">
                  <c:v>1.1453080009162462E-4</c:v>
                </c:pt>
                <c:pt idx="5">
                  <c:v>48.010200038408151</c:v>
                </c:pt>
                <c:pt idx="6">
                  <c:v>3.8851600031081276E-2</c:v>
                </c:pt>
                <c:pt idx="7">
                  <c:v>14.43848001155078</c:v>
                </c:pt>
                <c:pt idx="8">
                  <c:v>5.6557000045245583E-3</c:v>
                </c:pt>
                <c:pt idx="9">
                  <c:v>2.7590800022072634E-2</c:v>
                </c:pt>
                <c:pt idx="10">
                  <c:v>1.0152200008121757E-3</c:v>
                </c:pt>
                <c:pt idx="11">
                  <c:v>5.4550480043640371E-7</c:v>
                </c:pt>
                <c:pt idx="12">
                  <c:v>6.8873040055098412E-3</c:v>
                </c:pt>
                <c:pt idx="13">
                  <c:v>1.8525120014820092E-2</c:v>
                </c:pt>
                <c:pt idx="14">
                  <c:v>2.6680000021343991E-2</c:v>
                </c:pt>
                <c:pt idx="15">
                  <c:v>4.77507600382006E-4</c:v>
                </c:pt>
                <c:pt idx="16">
                  <c:v>2.9450120023560094E-3</c:v>
                </c:pt>
                <c:pt idx="17">
                  <c:v>7.3771120059016877E-4</c:v>
                </c:pt>
                <c:pt idx="18">
                  <c:v>0.18044880014435899</c:v>
                </c:pt>
                <c:pt idx="19">
                  <c:v>0.55643440044514747</c:v>
                </c:pt>
                <c:pt idx="20">
                  <c:v>0.32771320026217049</c:v>
                </c:pt>
              </c:numCache>
            </c:numRef>
          </c:val>
          <c:extLst>
            <c:ext xmlns:c16="http://schemas.microsoft.com/office/drawing/2014/chart" uri="{C3380CC4-5D6E-409C-BE32-E72D297353CC}">
              <c16:uniqueId val="{00000013-21CE-44B5-B529-29DFAFC11DA1}"/>
            </c:ext>
          </c:extLst>
        </c:ser>
        <c:ser>
          <c:idx val="20"/>
          <c:order val="20"/>
          <c:tx>
            <c:strRef>
              <c:f>results!$A$24</c:f>
              <c:strCache>
                <c:ptCount val="1"/>
                <c:pt idx="0">
                  <c:v>Evaporation</c:v>
                </c:pt>
              </c:strCache>
            </c:strRef>
          </c:tx>
          <c:spPr>
            <a:solidFill>
              <a:schemeClr val="accent3">
                <a:lumMod val="8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results!$D$24:$X$24</c:f>
              <c:numCache>
                <c:formatCode>General</c:formatCode>
                <c:ptCount val="21"/>
                <c:pt idx="0">
                  <c:v>4.3347733368011513E-3</c:v>
                </c:pt>
                <c:pt idx="1">
                  <c:v>3.5732800028586231</c:v>
                </c:pt>
                <c:pt idx="2">
                  <c:v>1.5781333345958397</c:v>
                </c:pt>
                <c:pt idx="3">
                  <c:v>1.3605333344217598E-2</c:v>
                </c:pt>
                <c:pt idx="4">
                  <c:v>6.6394666719782398E-5</c:v>
                </c:pt>
                <c:pt idx="5">
                  <c:v>27.832000022265593</c:v>
                </c:pt>
                <c:pt idx="6">
                  <c:v>2.2522666684684799E-2</c:v>
                </c:pt>
                <c:pt idx="7">
                  <c:v>8.3701333400294384</c:v>
                </c:pt>
                <c:pt idx="8">
                  <c:v>3.2786666692895994E-3</c:v>
                </c:pt>
                <c:pt idx="9">
                  <c:v>1.5994666679462397E-2</c:v>
                </c:pt>
                <c:pt idx="10">
                  <c:v>5.885333338041599E-4</c:v>
                </c:pt>
                <c:pt idx="11">
                  <c:v>3.1623466691965438E-7</c:v>
                </c:pt>
                <c:pt idx="12">
                  <c:v>3.9926400031941112E-3</c:v>
                </c:pt>
                <c:pt idx="13">
                  <c:v>1.0739200008591358E-2</c:v>
                </c:pt>
                <c:pt idx="14">
                  <c:v>1.5466666679039997E-2</c:v>
                </c:pt>
                <c:pt idx="15">
                  <c:v>2.7681600022145278E-4</c:v>
                </c:pt>
                <c:pt idx="16">
                  <c:v>1.707253334699136E-3</c:v>
                </c:pt>
                <c:pt idx="17">
                  <c:v>4.276586670087935E-4</c:v>
                </c:pt>
                <c:pt idx="18">
                  <c:v>0.10460800008368638</c:v>
                </c:pt>
                <c:pt idx="19">
                  <c:v>0.32257066692472314</c:v>
                </c:pt>
                <c:pt idx="20">
                  <c:v>0.18997866681864958</c:v>
                </c:pt>
              </c:numCache>
            </c:numRef>
          </c:val>
          <c:extLst>
            <c:ext xmlns:c16="http://schemas.microsoft.com/office/drawing/2014/chart" uri="{C3380CC4-5D6E-409C-BE32-E72D297353CC}">
              <c16:uniqueId val="{00000000-3469-4F38-8840-9CAFE47D8AD4}"/>
            </c:ext>
          </c:extLst>
        </c:ser>
        <c:ser>
          <c:idx val="21"/>
          <c:order val="21"/>
          <c:tx>
            <c:strRef>
              <c:f>results!$A$25</c:f>
              <c:strCache>
                <c:ptCount val="1"/>
                <c:pt idx="0">
                  <c:v>Cooling</c:v>
                </c:pt>
              </c:strCache>
            </c:strRef>
          </c:tx>
          <c:spPr>
            <a:solidFill>
              <a:schemeClr val="accent4">
                <a:lumMod val="8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results!$D$25:$X$25</c:f>
              <c:numCache>
                <c:formatCode>General</c:formatCode>
                <c:ptCount val="21"/>
                <c:pt idx="0">
                  <c:v>1.3004320010403454E-2</c:v>
                </c:pt>
                <c:pt idx="1">
                  <c:v>10.71984000857587</c:v>
                </c:pt>
                <c:pt idx="2">
                  <c:v>4.7344000037875196</c:v>
                </c:pt>
                <c:pt idx="3">
                  <c:v>4.0816000032652788E-2</c:v>
                </c:pt>
                <c:pt idx="4">
                  <c:v>1.9918400015934718E-4</c:v>
                </c:pt>
                <c:pt idx="5">
                  <c:v>83.496000066796782</c:v>
                </c:pt>
                <c:pt idx="6">
                  <c:v>6.7568000054054389E-2</c:v>
                </c:pt>
                <c:pt idx="7">
                  <c:v>25.110400020088314</c:v>
                </c:pt>
                <c:pt idx="8">
                  <c:v>9.8360000078687969E-3</c:v>
                </c:pt>
                <c:pt idx="9">
                  <c:v>4.7984000038387188E-2</c:v>
                </c:pt>
                <c:pt idx="10">
                  <c:v>1.7656000014124797E-3</c:v>
                </c:pt>
                <c:pt idx="11">
                  <c:v>9.4870400075896304E-7</c:v>
                </c:pt>
                <c:pt idx="12">
                  <c:v>1.1977920009582334E-2</c:v>
                </c:pt>
                <c:pt idx="13">
                  <c:v>3.2217600025774076E-2</c:v>
                </c:pt>
                <c:pt idx="14">
                  <c:v>4.6400000037119991E-2</c:v>
                </c:pt>
                <c:pt idx="15">
                  <c:v>8.3044800066435823E-4</c:v>
                </c:pt>
                <c:pt idx="16">
                  <c:v>5.1217600040974077E-3</c:v>
                </c:pt>
                <c:pt idx="17">
                  <c:v>1.2829760010263805E-3</c:v>
                </c:pt>
                <c:pt idx="18">
                  <c:v>0.31382400025105917</c:v>
                </c:pt>
                <c:pt idx="19">
                  <c:v>0.96771200077416941</c:v>
                </c:pt>
                <c:pt idx="20">
                  <c:v>0.56993600045594872</c:v>
                </c:pt>
              </c:numCache>
            </c:numRef>
          </c:val>
          <c:extLst>
            <c:ext xmlns:c16="http://schemas.microsoft.com/office/drawing/2014/chart" uri="{C3380CC4-5D6E-409C-BE32-E72D297353CC}">
              <c16:uniqueId val="{00000000-E013-474C-ABE2-6CCEC78A999D}"/>
            </c:ext>
          </c:extLst>
        </c:ser>
        <c:ser>
          <c:idx val="22"/>
          <c:order val="22"/>
          <c:tx>
            <c:strRef>
              <c:f>results!$A$26</c:f>
              <c:strCache>
                <c:ptCount val="1"/>
                <c:pt idx="0">
                  <c:v>Direct emissions</c:v>
                </c:pt>
              </c:strCache>
            </c:strRef>
          </c:tx>
          <c:spPr>
            <a:solidFill>
              <a:schemeClr val="accent5">
                <a:lumMod val="8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results!$D$26:$X$26</c:f>
              <c:numCache>
                <c:formatCode>General</c:formatCode>
                <c:ptCount val="21"/>
                <c:pt idx="0">
                  <c:v>0</c:v>
                </c:pt>
                <c:pt idx="1">
                  <c:v>0</c:v>
                </c:pt>
                <c:pt idx="2">
                  <c:v>0</c:v>
                </c:pt>
                <c:pt idx="3">
                  <c:v>2.7206921490436287E-5</c:v>
                </c:pt>
                <c:pt idx="4">
                  <c:v>0</c:v>
                </c:pt>
                <c:pt idx="5">
                  <c:v>5.0124785560202348E-2</c:v>
                </c:pt>
                <c:pt idx="6">
                  <c:v>0</c:v>
                </c:pt>
                <c:pt idx="7">
                  <c:v>1.0105691890333567E-3</c:v>
                </c:pt>
                <c:pt idx="8">
                  <c:v>0</c:v>
                </c:pt>
                <c:pt idx="9">
                  <c:v>0</c:v>
                </c:pt>
                <c:pt idx="10">
                  <c:v>0</c:v>
                </c:pt>
                <c:pt idx="11">
                  <c:v>0</c:v>
                </c:pt>
                <c:pt idx="12">
                  <c:v>0</c:v>
                </c:pt>
                <c:pt idx="13">
                  <c:v>6.6639732227933464E-3</c:v>
                </c:pt>
                <c:pt idx="14">
                  <c:v>0</c:v>
                </c:pt>
                <c:pt idx="15">
                  <c:v>8.833030089755125E-5</c:v>
                </c:pt>
                <c:pt idx="16">
                  <c:v>0</c:v>
                </c:pt>
                <c:pt idx="17">
                  <c:v>0</c:v>
                </c:pt>
                <c:pt idx="18">
                  <c:v>0</c:v>
                </c:pt>
                <c:pt idx="19">
                  <c:v>5.5039459986704373E-7</c:v>
                </c:pt>
                <c:pt idx="20">
                  <c:v>0</c:v>
                </c:pt>
              </c:numCache>
            </c:numRef>
          </c:val>
          <c:extLst>
            <c:ext xmlns:c16="http://schemas.microsoft.com/office/drawing/2014/chart" uri="{C3380CC4-5D6E-409C-BE32-E72D297353CC}">
              <c16:uniqueId val="{00000006-B48F-4890-819C-69327C000D37}"/>
            </c:ext>
          </c:extLst>
        </c:ser>
        <c:ser>
          <c:idx val="23"/>
          <c:order val="23"/>
          <c:tx>
            <c:strRef>
              <c:f>results!$A$27</c:f>
              <c:strCache>
                <c:ptCount val="1"/>
                <c:pt idx="0">
                  <c:v>Treatment</c:v>
                </c:pt>
              </c:strCache>
            </c:strRef>
          </c:tx>
          <c:spPr>
            <a:solidFill>
              <a:schemeClr val="accent6">
                <a:lumMod val="8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results!$D$27:$X$27</c:f>
              <c:numCache>
                <c:formatCode>General</c:formatCode>
                <c:ptCount val="21"/>
                <c:pt idx="0">
                  <c:v>5.1931415399999998E-6</c:v>
                </c:pt>
                <c:pt idx="1">
                  <c:v>1.32338107E-4</c:v>
                </c:pt>
                <c:pt idx="2">
                  <c:v>2.28677491E-5</c:v>
                </c:pt>
                <c:pt idx="3">
                  <c:v>2.0220870100000002E-6</c:v>
                </c:pt>
                <c:pt idx="4">
                  <c:v>8.2175952000000003E-7</c:v>
                </c:pt>
                <c:pt idx="5">
                  <c:v>1.86689693E-3</c:v>
                </c:pt>
                <c:pt idx="6">
                  <c:v>9.2705037999999998E-6</c:v>
                </c:pt>
                <c:pt idx="7">
                  <c:v>1.81571225E-3</c:v>
                </c:pt>
                <c:pt idx="8">
                  <c:v>7.6163505000000001E-6</c:v>
                </c:pt>
                <c:pt idx="9">
                  <c:v>1.02053838E-5</c:v>
                </c:pt>
                <c:pt idx="10">
                  <c:v>1.0613225200000001E-8</c:v>
                </c:pt>
                <c:pt idx="11">
                  <c:v>1.0723657900000001E-11</c:v>
                </c:pt>
                <c:pt idx="12">
                  <c:v>2.9549219600000003E-7</c:v>
                </c:pt>
                <c:pt idx="13">
                  <c:v>3.4743062300000002E-7</c:v>
                </c:pt>
                <c:pt idx="14">
                  <c:v>6.0591910000000003E-7</c:v>
                </c:pt>
                <c:pt idx="15">
                  <c:v>8.0721045000000003E-8</c:v>
                </c:pt>
                <c:pt idx="16">
                  <c:v>1.36498323E-6</c:v>
                </c:pt>
                <c:pt idx="17">
                  <c:v>6.2222107000000004E-7</c:v>
                </c:pt>
                <c:pt idx="18">
                  <c:v>5.9277235000000001E-6</c:v>
                </c:pt>
                <c:pt idx="19">
                  <c:v>1.7941515800000001E-5</c:v>
                </c:pt>
                <c:pt idx="20">
                  <c:v>3.2155781900000001E-6</c:v>
                </c:pt>
              </c:numCache>
            </c:numRef>
          </c:val>
          <c:extLst>
            <c:ext xmlns:c16="http://schemas.microsoft.com/office/drawing/2014/chart" uri="{C3380CC4-5D6E-409C-BE32-E72D297353CC}">
              <c16:uniqueId val="{00000007-B48F-4890-819C-69327C000D37}"/>
            </c:ext>
          </c:extLst>
        </c:ser>
        <c:ser>
          <c:idx val="24"/>
          <c:order val="24"/>
          <c:tx>
            <c:strRef>
              <c:f>results!$A$28</c:f>
              <c:strCache>
                <c:ptCount val="1"/>
                <c:pt idx="0">
                  <c:v>End of life</c:v>
                </c:pt>
              </c:strCache>
            </c:strRef>
          </c:tx>
          <c:spPr>
            <a:solidFill>
              <a:schemeClr val="accent1">
                <a:lumMod val="60000"/>
                <a:lumOff val="40000"/>
              </a:schemeClr>
            </a:solidFill>
            <a:ln>
              <a:noFill/>
            </a:ln>
            <a:effectLst/>
          </c:spPr>
          <c:invertIfNegative val="0"/>
          <c:cat>
            <c:strRef>
              <c:f>results!$D$2:$X$2</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results!$D$28:$X$28</c:f>
              <c:numCache>
                <c:formatCode>General</c:formatCode>
                <c:ptCount val="21"/>
                <c:pt idx="0">
                  <c:v>4.3243888471775977E-4</c:v>
                </c:pt>
                <c:pt idx="1">
                  <c:v>7.8715222912655973E-3</c:v>
                </c:pt>
                <c:pt idx="2">
                  <c:v>6.239779244517598E-3</c:v>
                </c:pt>
                <c:pt idx="3">
                  <c:v>3.851591877467998E-5</c:v>
                </c:pt>
                <c:pt idx="4">
                  <c:v>9.277118238383996E-7</c:v>
                </c:pt>
                <c:pt idx="5">
                  <c:v>5.9334709371119981E-2</c:v>
                </c:pt>
                <c:pt idx="6">
                  <c:v>1.1446866314243995E-3</c:v>
                </c:pt>
                <c:pt idx="7">
                  <c:v>4.2086175644087981E-2</c:v>
                </c:pt>
                <c:pt idx="8">
                  <c:v>2.6648976900455989E-5</c:v>
                </c:pt>
                <c:pt idx="9">
                  <c:v>3.2471455396031987E-4</c:v>
                </c:pt>
                <c:pt idx="10">
                  <c:v>-6.1363404552527967E-5</c:v>
                </c:pt>
                <c:pt idx="11">
                  <c:v>2.941299700703999E-9</c:v>
                </c:pt>
                <c:pt idx="12">
                  <c:v>2.8153541107943991E-5</c:v>
                </c:pt>
                <c:pt idx="13">
                  <c:v>8.5134285781487967E-5</c:v>
                </c:pt>
                <c:pt idx="14">
                  <c:v>7.1223233108975976E-5</c:v>
                </c:pt>
                <c:pt idx="15">
                  <c:v>8.5864986021599974E-6</c:v>
                </c:pt>
                <c:pt idx="16">
                  <c:v>1.5759385136423995E-3</c:v>
                </c:pt>
                <c:pt idx="17">
                  <c:v>1.1381041630166396E-5</c:v>
                </c:pt>
                <c:pt idx="18">
                  <c:v>6.4093510301975974E-4</c:v>
                </c:pt>
                <c:pt idx="19">
                  <c:v>7.4036583189575963E-4</c:v>
                </c:pt>
                <c:pt idx="20">
                  <c:v>7.6331968543007971E-4</c:v>
                </c:pt>
              </c:numCache>
            </c:numRef>
          </c:val>
          <c:extLst>
            <c:ext xmlns:c16="http://schemas.microsoft.com/office/drawing/2014/chart" uri="{C3380CC4-5D6E-409C-BE32-E72D297353CC}">
              <c16:uniqueId val="{00000008-B48F-4890-819C-69327C000D37}"/>
            </c:ext>
          </c:extLst>
        </c:ser>
        <c:dLbls>
          <c:showLegendKey val="0"/>
          <c:showVal val="0"/>
          <c:showCatName val="0"/>
          <c:showSerName val="0"/>
          <c:showPercent val="0"/>
          <c:showBubbleSize val="0"/>
        </c:dLbls>
        <c:gapWidth val="150"/>
        <c:overlap val="100"/>
        <c:axId val="750237215"/>
        <c:axId val="1267489135"/>
      </c:barChart>
      <c:catAx>
        <c:axId val="75023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en-US"/>
          </a:p>
        </c:txPr>
        <c:crossAx val="1267489135"/>
        <c:crosses val="autoZero"/>
        <c:auto val="1"/>
        <c:lblAlgn val="ctr"/>
        <c:lblOffset val="100"/>
        <c:noMultiLvlLbl val="0"/>
      </c:catAx>
      <c:valAx>
        <c:axId val="1267489135"/>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0237215"/>
        <c:crosses val="autoZero"/>
        <c:crossBetween val="between"/>
      </c:valAx>
      <c:spPr>
        <a:noFill/>
        <a:ln>
          <a:noFill/>
        </a:ln>
        <a:effectLst/>
      </c:spPr>
    </c:plotArea>
    <c:legend>
      <c:legendPos val="b"/>
      <c:layout>
        <c:manualLayout>
          <c:xMode val="edge"/>
          <c:yMode val="edge"/>
          <c:x val="2.0013250770838108E-2"/>
          <c:y val="0.79863006402220005"/>
          <c:w val="0.74247002908420234"/>
          <c:h val="0.2013699359778000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Uncertainty!$J$9</c:f>
              <c:strCache>
                <c:ptCount val="1"/>
                <c:pt idx="0">
                  <c:v>EPBT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Uncertainty!$I$10:$I$13</c:f>
              <c:strCache>
                <c:ptCount val="4"/>
                <c:pt idx="0">
                  <c:v>Insolation</c:v>
                </c:pt>
                <c:pt idx="1">
                  <c:v>Module efficiency</c:v>
                </c:pt>
                <c:pt idx="2">
                  <c:v>Primary energy consumption</c:v>
                </c:pt>
                <c:pt idx="3">
                  <c:v>Performance ratio</c:v>
                </c:pt>
              </c:strCache>
            </c:strRef>
          </c:cat>
          <c:val>
            <c:numRef>
              <c:f>Uncertainty!$J$10:$J$13</c:f>
              <c:numCache>
                <c:formatCode>0.000%</c:formatCode>
                <c:ptCount val="4"/>
                <c:pt idx="0">
                  <c:v>-1.8370000000000001E-2</c:v>
                </c:pt>
                <c:pt idx="1">
                  <c:v>-3.755E-2</c:v>
                </c:pt>
                <c:pt idx="2" formatCode="0.00%">
                  <c:v>0.18329999999999999</c:v>
                </c:pt>
                <c:pt idx="3" formatCode="0.00%">
                  <c:v>-0.76070000000000004</c:v>
                </c:pt>
              </c:numCache>
            </c:numRef>
          </c:val>
          <c:extLst>
            <c:ext xmlns:c16="http://schemas.microsoft.com/office/drawing/2014/chart" uri="{C3380CC4-5D6E-409C-BE32-E72D297353CC}">
              <c16:uniqueId val="{00000000-29D7-4BA4-B734-4C170AB8B093}"/>
            </c:ext>
          </c:extLst>
        </c:ser>
        <c:dLbls>
          <c:dLblPos val="outEnd"/>
          <c:showLegendKey val="0"/>
          <c:showVal val="1"/>
          <c:showCatName val="0"/>
          <c:showSerName val="0"/>
          <c:showPercent val="0"/>
          <c:showBubbleSize val="0"/>
        </c:dLbls>
        <c:gapWidth val="182"/>
        <c:axId val="1356066175"/>
        <c:axId val="1348421519"/>
      </c:barChart>
      <c:catAx>
        <c:axId val="1356066175"/>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48421519"/>
        <c:crosses val="autoZero"/>
        <c:auto val="1"/>
        <c:lblAlgn val="ctr"/>
        <c:lblOffset val="100"/>
        <c:noMultiLvlLbl val="0"/>
      </c:catAx>
      <c:valAx>
        <c:axId val="1348421519"/>
        <c:scaling>
          <c:orientation val="minMax"/>
        </c:scaling>
        <c:delete val="0"/>
        <c:axPos val="b"/>
        <c:majorGridlines>
          <c:spPr>
            <a:ln w="9525" cap="flat" cmpd="sng" algn="ctr">
              <a:solidFill>
                <a:schemeClr val="bg1"/>
              </a:solid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560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solidFill>
                  <a:sysClr val="windowText" lastClr="000000"/>
                </a:solidFill>
                <a:latin typeface="Times New Roman" panose="02020603050405020304" pitchFamily="18" charset="0"/>
                <a:cs typeface="Times New Roman" panose="02020603050405020304" pitchFamily="18" charset="0"/>
              </a:rPr>
              <a:t>GHG emission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Uncertainty!$L$9</c:f>
              <c:strCache>
                <c:ptCount val="1"/>
                <c:pt idx="0">
                  <c:v>GHG emission factor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Uncertainty!$K$10:$K$14</c:f>
              <c:strCache>
                <c:ptCount val="5"/>
                <c:pt idx="0">
                  <c:v>Insolation</c:v>
                </c:pt>
                <c:pt idx="1">
                  <c:v>Module efficiency</c:v>
                </c:pt>
                <c:pt idx="2">
                  <c:v>Carbon footprint</c:v>
                </c:pt>
                <c:pt idx="3">
                  <c:v>Lifetime</c:v>
                </c:pt>
                <c:pt idx="4">
                  <c:v>Performance ratio</c:v>
                </c:pt>
              </c:strCache>
            </c:strRef>
          </c:cat>
          <c:val>
            <c:numRef>
              <c:f>Uncertainty!$L$10:$L$14</c:f>
              <c:numCache>
                <c:formatCode>0.000%</c:formatCode>
                <c:ptCount val="5"/>
                <c:pt idx="0">
                  <c:v>-1.4239999999999999E-2</c:v>
                </c:pt>
                <c:pt idx="1">
                  <c:v>-2.8289999999999999E-2</c:v>
                </c:pt>
                <c:pt idx="2" formatCode="0.00%">
                  <c:v>0.13819999999999999</c:v>
                </c:pt>
                <c:pt idx="3" formatCode="0.00%">
                  <c:v>-0.25259999999999999</c:v>
                </c:pt>
                <c:pt idx="4" formatCode="0.00%">
                  <c:v>-0.56669999999999998</c:v>
                </c:pt>
              </c:numCache>
            </c:numRef>
          </c:val>
          <c:extLst>
            <c:ext xmlns:c16="http://schemas.microsoft.com/office/drawing/2014/chart" uri="{C3380CC4-5D6E-409C-BE32-E72D297353CC}">
              <c16:uniqueId val="{00000000-794A-4E9E-B390-829F907BFFBF}"/>
            </c:ext>
          </c:extLst>
        </c:ser>
        <c:dLbls>
          <c:dLblPos val="outEnd"/>
          <c:showLegendKey val="0"/>
          <c:showVal val="1"/>
          <c:showCatName val="0"/>
          <c:showSerName val="0"/>
          <c:showPercent val="0"/>
          <c:showBubbleSize val="0"/>
        </c:dLbls>
        <c:gapWidth val="182"/>
        <c:axId val="1200576687"/>
        <c:axId val="1348456079"/>
      </c:barChart>
      <c:catAx>
        <c:axId val="1200576687"/>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48456079"/>
        <c:crosses val="autoZero"/>
        <c:auto val="1"/>
        <c:lblAlgn val="ctr"/>
        <c:lblOffset val="100"/>
        <c:noMultiLvlLbl val="0"/>
      </c:catAx>
      <c:valAx>
        <c:axId val="1348456079"/>
        <c:scaling>
          <c:orientation val="minMax"/>
          <c:min val="-0.8"/>
        </c:scaling>
        <c:delete val="0"/>
        <c:axPos val="b"/>
        <c:majorGridlines>
          <c:spPr>
            <a:ln w="9525" cap="flat" cmpd="sng" algn="ctr">
              <a:solidFill>
                <a:schemeClr val="bg1"/>
              </a:solid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00576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485775</xdr:colOff>
      <xdr:row>36</xdr:row>
      <xdr:rowOff>95250</xdr:rowOff>
    </xdr:from>
    <xdr:to>
      <xdr:col>8</xdr:col>
      <xdr:colOff>752475</xdr:colOff>
      <xdr:row>50</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xdr:colOff>
      <xdr:row>38</xdr:row>
      <xdr:rowOff>171450</xdr:rowOff>
    </xdr:from>
    <xdr:to>
      <xdr:col>14</xdr:col>
      <xdr:colOff>180975</xdr:colOff>
      <xdr:row>53</xdr:row>
      <xdr:rowOff>57150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xdr:colOff>
      <xdr:row>37</xdr:row>
      <xdr:rowOff>185737</xdr:rowOff>
    </xdr:from>
    <xdr:to>
      <xdr:col>19</xdr:col>
      <xdr:colOff>619125</xdr:colOff>
      <xdr:row>52</xdr:row>
      <xdr:rowOff>71437</xdr:rowOff>
    </xdr:to>
    <xdr:graphicFrame macro="">
      <xdr:nvGraphicFramePr>
        <xdr:cNvPr id="4" name="Chart 3">
          <a:extLst>
            <a:ext uri="{FF2B5EF4-FFF2-40B4-BE49-F238E27FC236}">
              <a16:creationId xmlns:a16="http://schemas.microsoft.com/office/drawing/2014/main" id="{04584D0A-0A43-4A99-A6CB-55B278AAC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842962</xdr:colOff>
      <xdr:row>28</xdr:row>
      <xdr:rowOff>171450</xdr:rowOff>
    </xdr:from>
    <xdr:to>
      <xdr:col>8</xdr:col>
      <xdr:colOff>804862</xdr:colOff>
      <xdr:row>43</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909016</xdr:colOff>
      <xdr:row>28</xdr:row>
      <xdr:rowOff>184702</xdr:rowOff>
    </xdr:from>
    <xdr:to>
      <xdr:col>11</xdr:col>
      <xdr:colOff>319709</xdr:colOff>
      <xdr:row>43</xdr:row>
      <xdr:rowOff>106845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776287</xdr:colOff>
      <xdr:row>24</xdr:row>
      <xdr:rowOff>4762</xdr:rowOff>
    </xdr:from>
    <xdr:to>
      <xdr:col>17</xdr:col>
      <xdr:colOff>52387</xdr:colOff>
      <xdr:row>38</xdr:row>
      <xdr:rowOff>80962</xdr:rowOff>
    </xdr:to>
    <xdr:graphicFrame macro="">
      <xdr:nvGraphicFramePr>
        <xdr:cNvPr id="5" name="Chart 4">
          <a:extLst>
            <a:ext uri="{FF2B5EF4-FFF2-40B4-BE49-F238E27FC236}">
              <a16:creationId xmlns:a16="http://schemas.microsoft.com/office/drawing/2014/main" id="{289268D9-3202-4045-A9E8-BAA1A93A5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466724</xdr:colOff>
      <xdr:row>36</xdr:row>
      <xdr:rowOff>104775</xdr:rowOff>
    </xdr:from>
    <xdr:to>
      <xdr:col>9</xdr:col>
      <xdr:colOff>200024</xdr:colOff>
      <xdr:row>64</xdr:row>
      <xdr:rowOff>104775</xdr:rowOff>
    </xdr:to>
    <xdr:graphicFrame macro="">
      <xdr:nvGraphicFramePr>
        <xdr:cNvPr id="2" name="图表 1">
          <a:extLst>
            <a:ext uri="{FF2B5EF4-FFF2-40B4-BE49-F238E27FC236}">
              <a16:creationId xmlns:a16="http://schemas.microsoft.com/office/drawing/2014/main" id="{3E70B0CF-A627-45A7-A1B4-9EC0561EF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0</xdr:row>
      <xdr:rowOff>119062</xdr:rowOff>
    </xdr:from>
    <xdr:to>
      <xdr:col>22</xdr:col>
      <xdr:colOff>304800</xdr:colOff>
      <xdr:row>15</xdr:row>
      <xdr:rowOff>4762</xdr:rowOff>
    </xdr:to>
    <xdr:graphicFrame macro="">
      <xdr:nvGraphicFramePr>
        <xdr:cNvPr id="2" name="Chart 1">
          <a:extLst>
            <a:ext uri="{FF2B5EF4-FFF2-40B4-BE49-F238E27FC236}">
              <a16:creationId xmlns:a16="http://schemas.microsoft.com/office/drawing/2014/main" id="{2AB5D22C-733F-4729-8726-2108701F0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23812</xdr:colOff>
      <xdr:row>15</xdr:row>
      <xdr:rowOff>138112</xdr:rowOff>
    </xdr:from>
    <xdr:to>
      <xdr:col>22</xdr:col>
      <xdr:colOff>328612</xdr:colOff>
      <xdr:row>30</xdr:row>
      <xdr:rowOff>23812</xdr:rowOff>
    </xdr:to>
    <xdr:graphicFrame macro="">
      <xdr:nvGraphicFramePr>
        <xdr:cNvPr id="3" name="Chart 2">
          <a:extLst>
            <a:ext uri="{FF2B5EF4-FFF2-40B4-BE49-F238E27FC236}">
              <a16:creationId xmlns:a16="http://schemas.microsoft.com/office/drawing/2014/main" id="{30D0B66E-3841-42F3-9949-676D90318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0</xdr:rowOff>
    </xdr:from>
    <xdr:to>
      <xdr:col>7</xdr:col>
      <xdr:colOff>551626</xdr:colOff>
      <xdr:row>38</xdr:row>
      <xdr:rowOff>47119</xdr:rowOff>
    </xdr:to>
    <xdr:pic>
      <xdr:nvPicPr>
        <xdr:cNvPr id="4" name="Picture 3">
          <a:extLst>
            <a:ext uri="{FF2B5EF4-FFF2-40B4-BE49-F238E27FC236}">
              <a16:creationId xmlns:a16="http://schemas.microsoft.com/office/drawing/2014/main" id="{5DC2D512-A7B6-40D6-BA6D-8202520546C9}"/>
            </a:ext>
          </a:extLst>
        </xdr:cNvPr>
        <xdr:cNvPicPr>
          <a:picLocks noChangeAspect="1"/>
        </xdr:cNvPicPr>
      </xdr:nvPicPr>
      <xdr:blipFill>
        <a:blip xmlns:r="http://schemas.openxmlformats.org/officeDocument/2006/relationships" r:embed="rId3"/>
        <a:stretch>
          <a:fillRect/>
        </a:stretch>
      </xdr:blipFill>
      <xdr:spPr>
        <a:xfrm>
          <a:off x="0" y="3238500"/>
          <a:ext cx="6590476" cy="4047619"/>
        </a:xfrm>
        <a:prstGeom prst="rect">
          <a:avLst/>
        </a:prstGeom>
      </xdr:spPr>
    </xdr:pic>
    <xdr:clientData/>
  </xdr:twoCellAnchor>
  <xdr:twoCellAnchor editAs="oneCell">
    <xdr:from>
      <xdr:col>8</xdr:col>
      <xdr:colOff>0</xdr:colOff>
      <xdr:row>17</xdr:row>
      <xdr:rowOff>0</xdr:rowOff>
    </xdr:from>
    <xdr:to>
      <xdr:col>13</xdr:col>
      <xdr:colOff>75376</xdr:colOff>
      <xdr:row>38</xdr:row>
      <xdr:rowOff>47119</xdr:rowOff>
    </xdr:to>
    <xdr:pic>
      <xdr:nvPicPr>
        <xdr:cNvPr id="5" name="Picture 4">
          <a:extLst>
            <a:ext uri="{FF2B5EF4-FFF2-40B4-BE49-F238E27FC236}">
              <a16:creationId xmlns:a16="http://schemas.microsoft.com/office/drawing/2014/main" id="{E72F7D33-B0B2-4502-A70A-6D581CFF9EDF}"/>
            </a:ext>
          </a:extLst>
        </xdr:cNvPr>
        <xdr:cNvPicPr>
          <a:picLocks noChangeAspect="1"/>
        </xdr:cNvPicPr>
      </xdr:nvPicPr>
      <xdr:blipFill>
        <a:blip xmlns:r="http://schemas.openxmlformats.org/officeDocument/2006/relationships" r:embed="rId4"/>
        <a:stretch>
          <a:fillRect/>
        </a:stretch>
      </xdr:blipFill>
      <xdr:spPr>
        <a:xfrm>
          <a:off x="6648450" y="3238500"/>
          <a:ext cx="6590476" cy="40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13</xdr:row>
      <xdr:rowOff>142875</xdr:rowOff>
    </xdr:from>
    <xdr:to>
      <xdr:col>3</xdr:col>
      <xdr:colOff>152400</xdr:colOff>
      <xdr:row>28</xdr:row>
      <xdr:rowOff>28575</xdr:rowOff>
    </xdr:to>
    <xdr:graphicFrame macro="">
      <xdr:nvGraphicFramePr>
        <xdr:cNvPr id="2" name="图表 1">
          <a:extLst>
            <a:ext uri="{FF2B5EF4-FFF2-40B4-BE49-F238E27FC236}">
              <a16:creationId xmlns:a16="http://schemas.microsoft.com/office/drawing/2014/main" id="{6A724C53-7CEA-4EEF-866D-8B2C64512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13</xdr:row>
      <xdr:rowOff>142875</xdr:rowOff>
    </xdr:from>
    <xdr:to>
      <xdr:col>7</xdr:col>
      <xdr:colOff>361950</xdr:colOff>
      <xdr:row>28</xdr:row>
      <xdr:rowOff>28575</xdr:rowOff>
    </xdr:to>
    <xdr:graphicFrame macro="">
      <xdr:nvGraphicFramePr>
        <xdr:cNvPr id="3" name="图表 2">
          <a:extLst>
            <a:ext uri="{FF2B5EF4-FFF2-40B4-BE49-F238E27FC236}">
              <a16:creationId xmlns:a16="http://schemas.microsoft.com/office/drawing/2014/main" id="{6D6BF657-CE4C-4CA6-8250-66EABCA1B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51</xdr:row>
      <xdr:rowOff>85725</xdr:rowOff>
    </xdr:from>
    <xdr:to>
      <xdr:col>3</xdr:col>
      <xdr:colOff>123825</xdr:colOff>
      <xdr:row>65</xdr:row>
      <xdr:rowOff>161925</xdr:rowOff>
    </xdr:to>
    <xdr:graphicFrame macro="">
      <xdr:nvGraphicFramePr>
        <xdr:cNvPr id="4" name="图表 3">
          <a:extLst>
            <a:ext uri="{FF2B5EF4-FFF2-40B4-BE49-F238E27FC236}">
              <a16:creationId xmlns:a16="http://schemas.microsoft.com/office/drawing/2014/main" id="{29D35869-9CE0-4BF6-AE00-480421A7D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228600</xdr:colOff>
      <xdr:row>51</xdr:row>
      <xdr:rowOff>95250</xdr:rowOff>
    </xdr:from>
    <xdr:to>
      <xdr:col>7</xdr:col>
      <xdr:colOff>342900</xdr:colOff>
      <xdr:row>65</xdr:row>
      <xdr:rowOff>171450</xdr:rowOff>
    </xdr:to>
    <xdr:graphicFrame macro="">
      <xdr:nvGraphicFramePr>
        <xdr:cNvPr id="5" name="图表 4">
          <a:extLst>
            <a:ext uri="{FF2B5EF4-FFF2-40B4-BE49-F238E27FC236}">
              <a16:creationId xmlns:a16="http://schemas.microsoft.com/office/drawing/2014/main" id="{017F7410-A0B8-4E07-9FC2-24DAC4822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52387</xdr:colOff>
      <xdr:row>1</xdr:row>
      <xdr:rowOff>128587</xdr:rowOff>
    </xdr:from>
    <xdr:to>
      <xdr:col>15</xdr:col>
      <xdr:colOff>357187</xdr:colOff>
      <xdr:row>17</xdr:row>
      <xdr:rowOff>14287</xdr:rowOff>
    </xdr:to>
    <xdr:graphicFrame macro="">
      <xdr:nvGraphicFramePr>
        <xdr:cNvPr id="6" name="Chart 5">
          <a:extLst>
            <a:ext uri="{FF2B5EF4-FFF2-40B4-BE49-F238E27FC236}">
              <a16:creationId xmlns:a16="http://schemas.microsoft.com/office/drawing/2014/main" id="{1E4B5710-8D0B-4510-8E68-D183F04D5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61912</xdr:colOff>
      <xdr:row>18</xdr:row>
      <xdr:rowOff>157162</xdr:rowOff>
    </xdr:from>
    <xdr:to>
      <xdr:col>15</xdr:col>
      <xdr:colOff>366712</xdr:colOff>
      <xdr:row>33</xdr:row>
      <xdr:rowOff>42862</xdr:rowOff>
    </xdr:to>
    <xdr:graphicFrame macro="">
      <xdr:nvGraphicFramePr>
        <xdr:cNvPr id="7" name="Chart 6">
          <a:extLst>
            <a:ext uri="{FF2B5EF4-FFF2-40B4-BE49-F238E27FC236}">
              <a16:creationId xmlns:a16="http://schemas.microsoft.com/office/drawing/2014/main" id="{3D790A8B-AD02-4320-9928-E099BC6C2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228600</xdr:colOff>
      <xdr:row>1</xdr:row>
      <xdr:rowOff>52387</xdr:rowOff>
    </xdr:from>
    <xdr:to>
      <xdr:col>24</xdr:col>
      <xdr:colOff>533400</xdr:colOff>
      <xdr:row>15</xdr:row>
      <xdr:rowOff>61912</xdr:rowOff>
    </xdr:to>
    <xdr:graphicFrame macro="">
      <xdr:nvGraphicFramePr>
        <xdr:cNvPr id="4" name="Chart 3">
          <a:extLst>
            <a:ext uri="{FF2B5EF4-FFF2-40B4-BE49-F238E27FC236}">
              <a16:creationId xmlns:a16="http://schemas.microsoft.com/office/drawing/2014/main" id="{E491ADD0-79AA-445B-8C23-E063C5BA5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247650</xdr:colOff>
      <xdr:row>15</xdr:row>
      <xdr:rowOff>195262</xdr:rowOff>
    </xdr:from>
    <xdr:to>
      <xdr:col>24</xdr:col>
      <xdr:colOff>552450</xdr:colOff>
      <xdr:row>30</xdr:row>
      <xdr:rowOff>71437</xdr:rowOff>
    </xdr:to>
    <xdr:graphicFrame macro="">
      <xdr:nvGraphicFramePr>
        <xdr:cNvPr id="5" name="Chart 4">
          <a:extLst>
            <a:ext uri="{FF2B5EF4-FFF2-40B4-BE49-F238E27FC236}">
              <a16:creationId xmlns:a16="http://schemas.microsoft.com/office/drawing/2014/main" id="{70841F82-B8BA-492A-B6DF-2630C1693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37</xdr:row>
      <xdr:rowOff>104775</xdr:rowOff>
    </xdr:from>
    <xdr:to>
      <xdr:col>9</xdr:col>
      <xdr:colOff>200024</xdr:colOff>
      <xdr:row>65</xdr:row>
      <xdr:rowOff>104775</xdr:rowOff>
    </xdr:to>
    <xdr:graphicFrame macro="">
      <xdr:nvGraphicFramePr>
        <xdr:cNvPr id="2" name="图表 1">
          <a:extLst>
            <a:ext uri="{FF2B5EF4-FFF2-40B4-BE49-F238E27FC236}">
              <a16:creationId xmlns:a16="http://schemas.microsoft.com/office/drawing/2014/main" id="{A75C1C83-460D-488F-B003-54DC07F64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Other%20invento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0_Raw%20materi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4_NiOx%20precursor%20solut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0_Raw%20materials-updat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5_ZnO%20nanoparticl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Inventory%20for%20recycl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cycling/Macro-enable/Module_2_metal%20oxide_recycling.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Inventory%20for%20recycl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I2"/>
      <sheetName val="CH3NH3I"/>
      <sheetName val="FTO glass"/>
      <sheetName val="ITO glass"/>
      <sheetName val="BL-TiO2 ink"/>
      <sheetName val="spiro-OMeTAD"/>
      <sheetName val="C60"/>
      <sheetName val="PCBM_old"/>
      <sheetName val="PCBM_new"/>
      <sheetName val="PCBM"/>
      <sheetName val="Thiophene"/>
      <sheetName val="PEDOT PSS"/>
    </sheetNames>
    <sheetDataSet>
      <sheetData sheetId="0">
        <row r="18">
          <cell r="D18">
            <v>4.5641478346943822</v>
          </cell>
          <cell r="M18">
            <v>54.273073573167295</v>
          </cell>
          <cell r="N18">
            <v>1.0468647769178421</v>
          </cell>
          <cell r="O18">
            <v>3.8979307535263539</v>
          </cell>
          <cell r="P18">
            <v>1.0346162212323682</v>
          </cell>
          <cell r="Q18">
            <v>7.1263336550358825E-2</v>
          </cell>
          <cell r="R18">
            <v>1.9784839253897545E-3</v>
          </cell>
          <cell r="S18">
            <v>155.93446269487751</v>
          </cell>
          <cell r="T18">
            <v>0.19160131588715665</v>
          </cell>
          <cell r="U18">
            <v>78.202403056174219</v>
          </cell>
          <cell r="V18">
            <v>5.15849037985647E-3</v>
          </cell>
          <cell r="W18">
            <v>0.63220118225686706</v>
          </cell>
          <cell r="X18">
            <v>6.6310885300668149E-4</v>
          </cell>
          <cell r="Y18">
            <v>4.462579856471171E-7</v>
          </cell>
          <cell r="Z18">
            <v>1.1047205555555552E-2</v>
          </cell>
          <cell r="AA18">
            <v>1.554942625587726E-2</v>
          </cell>
          <cell r="AB18">
            <v>3.125296795347686E-2</v>
          </cell>
          <cell r="AC18">
            <v>5.3766239785944065E-3</v>
          </cell>
          <cell r="AD18">
            <v>4.0204006328878987E-2</v>
          </cell>
          <cell r="AE18">
            <v>1.1739803605543183E-2</v>
          </cell>
          <cell r="AF18">
            <v>0.19118482430091563</v>
          </cell>
          <cell r="AG18">
            <v>1.2205381316505814</v>
          </cell>
          <cell r="AH18">
            <v>0.15340474263796092</v>
          </cell>
        </row>
      </sheetData>
      <sheetData sheetId="1">
        <row r="17">
          <cell r="D17">
            <v>161.5361359123435</v>
          </cell>
          <cell r="M17">
            <v>3431.2608150330084</v>
          </cell>
          <cell r="N17">
            <v>16.135752796779965</v>
          </cell>
          <cell r="O17">
            <v>147.82446722719141</v>
          </cell>
          <cell r="P17">
            <v>68.175556314847952</v>
          </cell>
          <cell r="Q17">
            <v>5.572385187119858</v>
          </cell>
          <cell r="R17">
            <v>0.13118079564400717</v>
          </cell>
          <cell r="S17">
            <v>6537.4459293381042</v>
          </cell>
          <cell r="T17">
            <v>15.803840549194994</v>
          </cell>
          <cell r="U17">
            <v>4972.9006245080509</v>
          </cell>
          <cell r="V17">
            <v>0.2099851833631485</v>
          </cell>
          <cell r="W17">
            <v>11.809114722719142</v>
          </cell>
          <cell r="X17">
            <v>3.1179799194991059E-2</v>
          </cell>
          <cell r="Y17">
            <v>5.3447523288014325E-5</v>
          </cell>
          <cell r="Z17">
            <v>0.48246033041144909</v>
          </cell>
          <cell r="AA17">
            <v>0.64966431082289811</v>
          </cell>
          <cell r="AB17">
            <v>1.2243395606440073</v>
          </cell>
          <cell r="AC17">
            <v>0.23228549325581402</v>
          </cell>
          <cell r="AD17">
            <v>2.2316178839892671</v>
          </cell>
          <cell r="AE17">
            <v>2.8985800698926663</v>
          </cell>
          <cell r="AF17">
            <v>9.2571725205724515</v>
          </cell>
          <cell r="AG17">
            <v>51.018806940966016</v>
          </cell>
          <cell r="AH17">
            <v>8.7229145447227197</v>
          </cell>
        </row>
      </sheetData>
      <sheetData sheetId="2">
        <row r="41">
          <cell r="D41">
            <v>0.6900927939999999</v>
          </cell>
        </row>
      </sheetData>
      <sheetData sheetId="3">
        <row r="14">
          <cell r="D14">
            <v>16.837863429999999</v>
          </cell>
          <cell r="M14">
            <v>292.22870408888105</v>
          </cell>
          <cell r="N14">
            <v>5.4035999599999995E-2</v>
          </cell>
          <cell r="O14">
            <v>15.863857979999999</v>
          </cell>
          <cell r="P14">
            <v>6.8711502629999996</v>
          </cell>
          <cell r="Q14">
            <v>8.2522552700000001E-2</v>
          </cell>
          <cell r="R14">
            <v>1.0550032339999998E-3</v>
          </cell>
          <cell r="S14">
            <v>165.51815009999999</v>
          </cell>
          <cell r="T14">
            <v>0.16734019</v>
          </cell>
          <cell r="U14">
            <v>66.525372399999995</v>
          </cell>
          <cell r="V14">
            <v>1.5045233709999998E-2</v>
          </cell>
          <cell r="W14">
            <v>0.64124742970000004</v>
          </cell>
          <cell r="X14">
            <v>2.6055490222000001E-3</v>
          </cell>
          <cell r="Y14">
            <v>1.3754312987000001E-6</v>
          </cell>
          <cell r="Z14">
            <v>1.994535221E-2</v>
          </cell>
          <cell r="AA14">
            <v>4.8864307230000001E-2</v>
          </cell>
          <cell r="AB14">
            <v>7.2168691110000002E-2</v>
          </cell>
          <cell r="AC14">
            <v>7.877002793E-3</v>
          </cell>
          <cell r="AD14">
            <v>1.5844954200000001E-2</v>
          </cell>
          <cell r="AE14">
            <v>1.0150023860000001E-2</v>
          </cell>
          <cell r="AF14">
            <v>0.48907124690000003</v>
          </cell>
          <cell r="AG14">
            <v>1.723918898</v>
          </cell>
          <cell r="AH14">
            <v>0.8537033906</v>
          </cell>
        </row>
      </sheetData>
      <sheetData sheetId="4">
        <row r="14">
          <cell r="D14">
            <v>1.816623717028</v>
          </cell>
        </row>
      </sheetData>
      <sheetData sheetId="5">
        <row r="33">
          <cell r="D33">
            <v>121.5468471027569</v>
          </cell>
        </row>
      </sheetData>
      <sheetData sheetId="6"/>
      <sheetData sheetId="7"/>
      <sheetData sheetId="8">
        <row r="16">
          <cell r="D16">
            <v>681.91697298744145</v>
          </cell>
        </row>
      </sheetData>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efreshError="1">
        <row r="3">
          <cell r="D3">
            <v>2.4752999999999998</v>
          </cell>
          <cell r="M3">
            <v>20.685313700000005</v>
          </cell>
          <cell r="N3">
            <v>8.8877999999999999E-2</v>
          </cell>
          <cell r="O3">
            <v>2.2648999999999999</v>
          </cell>
          <cell r="P3">
            <v>0.39137</v>
          </cell>
          <cell r="Q3">
            <v>3.4606999999999999E-2</v>
          </cell>
          <cell r="R3">
            <v>1.4064E-2</v>
          </cell>
          <cell r="S3">
            <v>31.951000000000001</v>
          </cell>
          <cell r="T3">
            <v>0.15866</v>
          </cell>
          <cell r="U3">
            <v>31.074999999999999</v>
          </cell>
          <cell r="V3">
            <v>0.13034999999999999</v>
          </cell>
          <cell r="W3">
            <v>0.17466000000000001</v>
          </cell>
          <cell r="X3">
            <v>1.8164E-4</v>
          </cell>
          <cell r="Y3">
            <v>1.8353E-7</v>
          </cell>
          <cell r="Z3">
            <v>5.0572000000000004E-3</v>
          </cell>
          <cell r="AA3">
            <v>5.9461000000000002E-3</v>
          </cell>
          <cell r="AB3">
            <v>1.0370000000000001E-2</v>
          </cell>
          <cell r="AC3">
            <v>1.3814999999999999E-3</v>
          </cell>
          <cell r="AD3">
            <v>2.3361E-2</v>
          </cell>
          <cell r="AE3">
            <v>1.0649E-2</v>
          </cell>
          <cell r="AF3">
            <v>0.10145</v>
          </cell>
          <cell r="AG3">
            <v>0.30706</v>
          </cell>
          <cell r="AH3">
            <v>5.5032999999999999E-2</v>
          </cell>
        </row>
        <row r="7">
          <cell r="D7">
            <v>0.70992</v>
          </cell>
          <cell r="M7">
            <v>12.491602724200002</v>
          </cell>
          <cell r="N7">
            <v>8.1276999999999999E-4</v>
          </cell>
          <cell r="O7">
            <v>0.66998999999999997</v>
          </cell>
          <cell r="P7">
            <v>0.2959</v>
          </cell>
          <cell r="Q7">
            <v>2.5509999999999999E-3</v>
          </cell>
          <cell r="R7">
            <v>1.2449000000000001E-5</v>
          </cell>
          <cell r="S7">
            <v>5.2184999999999997</v>
          </cell>
          <cell r="T7">
            <v>4.2230000000000002E-3</v>
          </cell>
          <cell r="U7">
            <v>1.5693999999999999</v>
          </cell>
          <cell r="V7">
            <v>6.1474999999999995E-4</v>
          </cell>
          <cell r="W7">
            <v>2.9989999999999999E-3</v>
          </cell>
          <cell r="X7">
            <v>1.1035E-4</v>
          </cell>
          <cell r="Y7">
            <v>5.9294000000000001E-8</v>
          </cell>
          <cell r="Z7">
            <v>7.4861999999999997E-4</v>
          </cell>
          <cell r="AA7">
            <v>2.0135999999999999E-3</v>
          </cell>
          <cell r="AB7">
            <v>2.8999999999999998E-3</v>
          </cell>
          <cell r="AC7">
            <v>5.1903000000000001E-5</v>
          </cell>
          <cell r="AD7">
            <v>3.2011000000000002E-4</v>
          </cell>
          <cell r="AE7">
            <v>8.0185999999999994E-5</v>
          </cell>
          <cell r="AF7">
            <v>1.9613999999999999E-2</v>
          </cell>
          <cell r="AG7">
            <v>6.0482000000000001E-2</v>
          </cell>
          <cell r="AH7">
            <v>3.5621E-2</v>
          </cell>
        </row>
        <row r="54">
          <cell r="D54">
            <v>1.3996</v>
          </cell>
          <cell r="M54">
            <v>41.582470999999998</v>
          </cell>
          <cell r="N54">
            <v>1.1153999999999999</v>
          </cell>
          <cell r="O54">
            <v>1.2186999999999999</v>
          </cell>
          <cell r="P54">
            <v>0.34281</v>
          </cell>
          <cell r="Q54">
            <v>3.4125999999999997E-2</v>
          </cell>
          <cell r="R54">
            <v>5.6773000000000001E-4</v>
          </cell>
          <cell r="S54">
            <v>16.718</v>
          </cell>
          <cell r="T54">
            <v>8.7052000000000004E-2</v>
          </cell>
          <cell r="U54">
            <v>13.432</v>
          </cell>
          <cell r="V54">
            <v>6.2411999999999997E-3</v>
          </cell>
          <cell r="W54">
            <v>5.4462000000000003E-2</v>
          </cell>
          <cell r="X54">
            <v>1.0508E-3</v>
          </cell>
          <cell r="Y54">
            <v>8.8975000000000001E-8</v>
          </cell>
          <cell r="Z54">
            <v>3.9167000000000004E-3</v>
          </cell>
          <cell r="AA54">
            <v>4.1108999999999998E-3</v>
          </cell>
          <cell r="AB54">
            <v>1.2865E-2</v>
          </cell>
          <cell r="AC54">
            <v>8.2140000000000008E-3</v>
          </cell>
          <cell r="AD54">
            <v>5.9778999999999999E-2</v>
          </cell>
          <cell r="AE54">
            <v>0.37369000000000002</v>
          </cell>
          <cell r="AF54">
            <v>0.34144999999999998</v>
          </cell>
          <cell r="AG54">
            <v>0.16486999999999999</v>
          </cell>
          <cell r="AH54">
            <v>4.3631999999999997E-2</v>
          </cell>
        </row>
        <row r="74">
          <cell r="D74">
            <v>1.7427E-3</v>
          </cell>
          <cell r="M74">
            <v>2.3977627160000001E-2</v>
          </cell>
          <cell r="N74">
            <v>8.0226000000000001E-5</v>
          </cell>
          <cell r="O74">
            <v>1.603E-3</v>
          </cell>
          <cell r="P74">
            <v>4.6108999999999999E-4</v>
          </cell>
          <cell r="Q74">
            <v>2.4029E-5</v>
          </cell>
          <cell r="R74">
            <v>8.5155000000000003E-7</v>
          </cell>
          <cell r="S74">
            <v>3.1862000000000001E-2</v>
          </cell>
          <cell r="T74">
            <v>1.739E-4</v>
          </cell>
          <cell r="U74">
            <v>2.7362999999999998E-2</v>
          </cell>
          <cell r="V74">
            <v>1.7167E-6</v>
          </cell>
          <cell r="W74">
            <v>1.1456E-4</v>
          </cell>
          <cell r="X74">
            <v>2.2113E-7</v>
          </cell>
          <cell r="Y74">
            <v>7.3037000000000003E-10</v>
          </cell>
          <cell r="Z74">
            <v>5.7030000000000003E-6</v>
          </cell>
          <cell r="AA74">
            <v>4.9044E-6</v>
          </cell>
          <cell r="AB74">
            <v>8.8248000000000006E-6</v>
          </cell>
          <cell r="AC74">
            <v>1.4250999999999999E-6</v>
          </cell>
          <cell r="AD74">
            <v>1.5262000000000001E-5</v>
          </cell>
          <cell r="AE74">
            <v>1.3097E-3</v>
          </cell>
          <cell r="AF74">
            <v>7.5106999999999998E-5</v>
          </cell>
          <cell r="AG74">
            <v>2.8687E-4</v>
          </cell>
          <cell r="AH74">
            <v>6.0606000000000002E-5</v>
          </cell>
        </row>
        <row r="75">
          <cell r="D75">
            <v>2.8612000000000002</v>
          </cell>
          <cell r="M75">
            <v>77.822580110000004</v>
          </cell>
          <cell r="N75">
            <v>0.11645</v>
          </cell>
          <cell r="O75">
            <v>2.5897999999999999</v>
          </cell>
          <cell r="P75">
            <v>1.7415</v>
          </cell>
          <cell r="Q75">
            <v>3.6441000000000001E-2</v>
          </cell>
          <cell r="R75">
            <v>9.8305000000000007E-4</v>
          </cell>
          <cell r="S75">
            <v>59.360999999999997</v>
          </cell>
          <cell r="T75">
            <v>0.25631999999999999</v>
          </cell>
          <cell r="U75">
            <v>38.563000000000002</v>
          </cell>
          <cell r="V75">
            <v>1.2496999999999999E-2</v>
          </cell>
          <cell r="W75">
            <v>0.16675999999999999</v>
          </cell>
          <cell r="X75">
            <v>1.0935000000000001E-3</v>
          </cell>
          <cell r="Y75">
            <v>5.2045000000000003E-7</v>
          </cell>
          <cell r="Z75">
            <v>7.2179000000000002E-3</v>
          </cell>
          <cell r="AA75">
            <v>8.7553000000000006E-3</v>
          </cell>
          <cell r="AB75">
            <v>1.839E-2</v>
          </cell>
          <cell r="AC75">
            <v>1.839E-2</v>
          </cell>
          <cell r="AD75">
            <v>2.2100999999999999E-2</v>
          </cell>
          <cell r="AE75">
            <v>7.7352999999999996E-3</v>
          </cell>
          <cell r="AF75">
            <v>0.11523</v>
          </cell>
          <cell r="AG75">
            <v>0.51175000000000004</v>
          </cell>
          <cell r="AH75">
            <v>0.21654000000000001</v>
          </cell>
        </row>
        <row r="76">
          <cell r="D76">
            <v>1.8261000000000001</v>
          </cell>
          <cell r="M76">
            <v>60.361123550000002</v>
          </cell>
          <cell r="N76">
            <v>3.6722999999999999E-2</v>
          </cell>
          <cell r="O76">
            <v>1.591</v>
          </cell>
          <cell r="P76">
            <v>1.3815</v>
          </cell>
          <cell r="Q76">
            <v>9.2759999999999995E-3</v>
          </cell>
          <cell r="R76">
            <v>2.6277000000000001E-4</v>
          </cell>
          <cell r="S76">
            <v>15.288</v>
          </cell>
          <cell r="T76">
            <v>3.6873999999999997E-2</v>
          </cell>
          <cell r="U76">
            <v>11.382999999999999</v>
          </cell>
          <cell r="V76">
            <v>1.1186E-3</v>
          </cell>
          <cell r="W76">
            <v>6.4592999999999998E-2</v>
          </cell>
          <cell r="X76">
            <v>1.4709E-4</v>
          </cell>
          <cell r="Y76">
            <v>6.472E-8</v>
          </cell>
          <cell r="Z76">
            <v>2.4101000000000001E-3</v>
          </cell>
          <cell r="AA76">
            <v>7.8647999999999999E-3</v>
          </cell>
          <cell r="AB76">
            <v>6.7625999999999997E-3</v>
          </cell>
          <cell r="AC76">
            <v>5.2406999999999996E-4</v>
          </cell>
          <cell r="AD76">
            <v>5.2075000000000003E-3</v>
          </cell>
          <cell r="AE76">
            <v>4.2263999999999999E-3</v>
          </cell>
          <cell r="AF76">
            <v>5.4866999999999999E-2</v>
          </cell>
          <cell r="AG76">
            <v>0.16566</v>
          </cell>
          <cell r="AH76">
            <v>0.16864999999999999</v>
          </cell>
        </row>
        <row r="78">
          <cell r="D78">
            <v>26.602</v>
          </cell>
          <cell r="M78">
            <v>247.75124781000002</v>
          </cell>
          <cell r="N78">
            <v>0.37018000000000001</v>
          </cell>
          <cell r="O78">
            <v>24.460999999999999</v>
          </cell>
          <cell r="P78">
            <v>5.5064000000000002</v>
          </cell>
          <cell r="Q78">
            <v>0.23801</v>
          </cell>
          <cell r="R78">
            <v>6.6953000000000004E-3</v>
          </cell>
          <cell r="S78">
            <v>298.62</v>
          </cell>
          <cell r="T78">
            <v>0.26296000000000003</v>
          </cell>
          <cell r="U78">
            <v>318.68</v>
          </cell>
          <cell r="V78">
            <v>2.3577000000000001E-2</v>
          </cell>
          <cell r="W78">
            <v>0.26606000000000002</v>
          </cell>
          <cell r="X78">
            <v>1.6536000000000001E-3</v>
          </cell>
          <cell r="Y78">
            <v>7.1455999999999996E-7</v>
          </cell>
          <cell r="Z78">
            <v>5.5454000000000003E-2</v>
          </cell>
          <cell r="AA78">
            <v>7.1926000000000004E-2</v>
          </cell>
          <cell r="AB78">
            <v>0.13244</v>
          </cell>
          <cell r="AC78">
            <v>6.2072999999999998E-3</v>
          </cell>
          <cell r="AD78">
            <v>0.19474</v>
          </cell>
          <cell r="AE78">
            <v>6.6049999999999998E-2</v>
          </cell>
          <cell r="AF78">
            <v>1.0206999999999999</v>
          </cell>
          <cell r="AG78">
            <v>3.0163000000000002</v>
          </cell>
          <cell r="AH78">
            <v>0.67264999999999997</v>
          </cell>
        </row>
        <row r="103">
          <cell r="D103">
            <v>5.4259E-3</v>
          </cell>
          <cell r="M103">
            <v>0.17365606929999999</v>
          </cell>
          <cell r="N103">
            <v>2.8051999999999998E-4</v>
          </cell>
          <cell r="O103">
            <v>5.1062E-3</v>
          </cell>
          <cell r="P103">
            <v>4.0477000000000004E-3</v>
          </cell>
          <cell r="Q103">
            <v>2.4984999999999999E-5</v>
          </cell>
          <cell r="R103">
            <v>6.018E-7</v>
          </cell>
          <cell r="S103">
            <v>3.8490000000000003E-2</v>
          </cell>
          <cell r="T103">
            <v>7.4255000000000002E-4</v>
          </cell>
          <cell r="U103">
            <v>2.7300999999999999E-2</v>
          </cell>
          <cell r="V103">
            <v>1.7286999999999999E-5</v>
          </cell>
          <cell r="W103">
            <v>2.1064E-4</v>
          </cell>
          <cell r="X103">
            <v>-3.9805999999999998E-5</v>
          </cell>
          <cell r="Y103">
            <v>1.908E-9</v>
          </cell>
          <cell r="Z103">
            <v>1.8263000000000001E-5</v>
          </cell>
          <cell r="AA103">
            <v>5.5226000000000003E-5</v>
          </cell>
          <cell r="AB103">
            <v>4.6202000000000003E-5</v>
          </cell>
          <cell r="AC103">
            <v>5.57E-6</v>
          </cell>
          <cell r="AD103">
            <v>1.0223000000000001E-3</v>
          </cell>
          <cell r="AE103">
            <v>7.3827999999999999E-6</v>
          </cell>
          <cell r="AF103">
            <v>4.1576999999999999E-4</v>
          </cell>
          <cell r="AG103">
            <v>4.8026999999999998E-4</v>
          </cell>
          <cell r="AH103">
            <v>4.9516000000000002E-4</v>
          </cell>
        </row>
      </sheetData>
      <sheetData sheetId="1" refreshError="1"/>
      <sheetData sheetId="2" refreshError="1"/>
      <sheetData sheetId="3" refreshError="1"/>
      <sheetData sheetId="4" refreshError="1">
        <row r="15">
          <cell r="D15">
            <v>0</v>
          </cell>
        </row>
        <row r="24">
          <cell r="D24">
            <v>0</v>
          </cell>
          <cell r="M24">
            <v>0</v>
          </cell>
          <cell r="N24"/>
          <cell r="O24"/>
          <cell r="P24"/>
          <cell r="Q24"/>
          <cell r="R24"/>
          <cell r="S24"/>
          <cell r="T24"/>
          <cell r="U24"/>
          <cell r="V24"/>
          <cell r="W24"/>
          <cell r="X24"/>
          <cell r="Y24"/>
          <cell r="Z24"/>
          <cell r="AA24">
            <v>0.3175675675675676</v>
          </cell>
          <cell r="AB24"/>
          <cell r="AC24"/>
          <cell r="AD24"/>
          <cell r="AE24"/>
          <cell r="AF24"/>
          <cell r="AG24">
            <v>1.20830586684E-4</v>
          </cell>
          <cell r="AH24"/>
        </row>
        <row r="28">
          <cell r="D28">
            <v>0</v>
          </cell>
          <cell r="M28">
            <v>0</v>
          </cell>
          <cell r="N28"/>
          <cell r="O28"/>
          <cell r="P28"/>
          <cell r="Q28"/>
          <cell r="R28"/>
          <cell r="S28"/>
          <cell r="T28"/>
          <cell r="U28"/>
          <cell r="V28"/>
          <cell r="W28"/>
          <cell r="X28"/>
          <cell r="Y28"/>
          <cell r="Z28"/>
          <cell r="AA28"/>
          <cell r="AB28"/>
          <cell r="AC28"/>
          <cell r="AD28"/>
          <cell r="AE28"/>
          <cell r="AF28"/>
          <cell r="AG28"/>
          <cell r="AH28"/>
        </row>
        <row r="33">
          <cell r="D33">
            <v>0</v>
          </cell>
          <cell r="M33">
            <v>0</v>
          </cell>
          <cell r="N33"/>
          <cell r="O33"/>
          <cell r="P33"/>
          <cell r="Q33">
            <v>1.4876380979089235E-4</v>
          </cell>
          <cell r="R33"/>
          <cell r="S33">
            <v>0.21360713181832497</v>
          </cell>
          <cell r="T33"/>
          <cell r="U33">
            <v>1.625279389780031E-5</v>
          </cell>
          <cell r="V33"/>
          <cell r="W33"/>
          <cell r="X33"/>
          <cell r="Y33"/>
          <cell r="Z33"/>
          <cell r="AA33">
            <v>0.63006756756756754</v>
          </cell>
          <cell r="AB33"/>
          <cell r="AC33">
            <v>3.1259032412642011E-4</v>
          </cell>
          <cell r="AD33"/>
          <cell r="AE33"/>
          <cell r="AF33"/>
          <cell r="AG33"/>
          <cell r="AH33"/>
        </row>
        <row r="34">
          <cell r="D34">
            <v>0</v>
          </cell>
          <cell r="M34">
            <v>0</v>
          </cell>
          <cell r="N34"/>
          <cell r="O34"/>
          <cell r="P34"/>
          <cell r="Q34">
            <v>7.0643646234076988E-3</v>
          </cell>
          <cell r="R34"/>
          <cell r="S34"/>
          <cell r="T34"/>
          <cell r="U34">
            <v>2.7248064630867825E-4</v>
          </cell>
          <cell r="V34"/>
          <cell r="W34"/>
          <cell r="X34"/>
          <cell r="Y34"/>
          <cell r="Z34"/>
          <cell r="AA34"/>
          <cell r="AB34"/>
          <cell r="AC34">
            <v>2.7730594278785721E-2</v>
          </cell>
          <cell r="AD34"/>
          <cell r="AE34"/>
          <cell r="AF34"/>
          <cell r="AG34"/>
          <cell r="AH34"/>
        </row>
        <row r="35">
          <cell r="D35">
            <v>0</v>
          </cell>
          <cell r="M35">
            <v>0</v>
          </cell>
          <cell r="N35"/>
          <cell r="O35"/>
          <cell r="P35"/>
          <cell r="Q35">
            <v>4.4887017216547792E-4</v>
          </cell>
          <cell r="R35"/>
          <cell r="S35">
            <v>1.8847523912927164</v>
          </cell>
          <cell r="T35"/>
          <cell r="U35">
            <v>3.9361598549663111E-2</v>
          </cell>
          <cell r="V35"/>
          <cell r="W35"/>
          <cell r="X35"/>
          <cell r="Y35"/>
          <cell r="Z35"/>
          <cell r="AA35"/>
          <cell r="AB35"/>
          <cell r="AC35">
            <v>1.1297585628802071E-3</v>
          </cell>
          <cell r="AD35"/>
          <cell r="AE35"/>
          <cell r="AF35"/>
          <cell r="AG35"/>
          <cell r="AH35"/>
        </row>
        <row r="36">
          <cell r="D36">
            <v>0</v>
          </cell>
          <cell r="M36">
            <v>0</v>
          </cell>
          <cell r="N36"/>
          <cell r="O36"/>
          <cell r="P36"/>
          <cell r="Q36"/>
          <cell r="R36"/>
          <cell r="S36"/>
          <cell r="T36"/>
          <cell r="U36"/>
          <cell r="V36"/>
          <cell r="W36"/>
          <cell r="X36"/>
          <cell r="Y36"/>
          <cell r="Z36"/>
          <cell r="AA36"/>
          <cell r="AB36"/>
          <cell r="AC36"/>
          <cell r="AD36"/>
          <cell r="AE36"/>
          <cell r="AF36"/>
          <cell r="AG36"/>
          <cell r="AH36"/>
        </row>
      </sheetData>
      <sheetData sheetId="5" refreshError="1">
        <row r="3">
          <cell r="D3">
            <v>0.6900927939999999</v>
          </cell>
        </row>
        <row r="4">
          <cell r="D4">
            <v>4.5641478346943822</v>
          </cell>
        </row>
        <row r="5">
          <cell r="D5">
            <v>161.5361359123435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OH)2 production"/>
      <sheetName val="Ni(OH)2 separation"/>
      <sheetName val="K2SO4 crystal&amp;dry"/>
      <sheetName val="NiO production"/>
      <sheetName val="Ni(NO3)2·6H2O"/>
      <sheetName val="dissolve"/>
      <sheetName val="overall"/>
    </sheetNames>
    <sheetDataSet>
      <sheetData sheetId="0"/>
      <sheetData sheetId="1"/>
      <sheetData sheetId="2"/>
      <sheetData sheetId="3"/>
      <sheetData sheetId="4"/>
      <sheetData sheetId="5"/>
      <sheetData sheetId="6">
        <row r="6">
          <cell r="S6">
            <v>0.62931718931066227</v>
          </cell>
        </row>
        <row r="7">
          <cell r="S7">
            <v>0.15554477652304838</v>
          </cell>
        </row>
        <row r="9">
          <cell r="S9">
            <v>0.11459242369682077</v>
          </cell>
        </row>
        <row r="20">
          <cell r="V20">
            <v>3.2663651546233621</v>
          </cell>
          <cell r="W20">
            <v>64.708236102628334</v>
          </cell>
          <cell r="X20">
            <v>0.7460778539248949</v>
          </cell>
          <cell r="Y20">
            <v>2.8466947109877272</v>
          </cell>
          <cell r="Z20">
            <v>1.258987763320019</v>
          </cell>
          <cell r="AA20">
            <v>0.11770917991531393</v>
          </cell>
          <cell r="AB20">
            <v>2.210083301929274E-3</v>
          </cell>
          <cell r="AC20">
            <v>138.29006398864826</v>
          </cell>
          <cell r="AD20">
            <v>0.24234347482697943</v>
          </cell>
          <cell r="AE20">
            <v>136.26840176640448</v>
          </cell>
          <cell r="AF20">
            <v>5.8900380879443942E-3</v>
          </cell>
          <cell r="AG20">
            <v>1.6772510215407372</v>
          </cell>
          <cell r="AH20">
            <v>3.9027940477399475E-4</v>
          </cell>
          <cell r="AI20">
            <v>4.3006307979219823E-7</v>
          </cell>
          <cell r="AJ20">
            <v>2.8910376377121603E-2</v>
          </cell>
          <cell r="AK20">
            <v>2.0666981020655017E-2</v>
          </cell>
          <cell r="AL20">
            <v>0.11723075749553601</v>
          </cell>
          <cell r="AM20">
            <v>9.8791930149681705E-3</v>
          </cell>
          <cell r="AN20">
            <v>3.762154685461995E-2</v>
          </cell>
          <cell r="AO20">
            <v>1.6185180488256269E-2</v>
          </cell>
          <cell r="AP20">
            <v>0.17507152619177499</v>
          </cell>
          <cell r="AQ20">
            <v>1.1132102460508697</v>
          </cell>
          <cell r="AR20">
            <v>0.22070262481563938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row>
        <row r="7">
          <cell r="D7">
            <v>0.70992</v>
          </cell>
          <cell r="M7">
            <v>12.491602724200002</v>
          </cell>
          <cell r="N7">
            <v>8.1276999999999999E-4</v>
          </cell>
          <cell r="O7">
            <v>0.66998999999999997</v>
          </cell>
          <cell r="P7">
            <v>0.2959</v>
          </cell>
          <cell r="Q7">
            <v>2.5509999999999999E-3</v>
          </cell>
          <cell r="R7">
            <v>1.2449000000000001E-5</v>
          </cell>
          <cell r="S7">
            <v>5.2184999999999997</v>
          </cell>
          <cell r="T7">
            <v>4.2230000000000002E-3</v>
          </cell>
          <cell r="U7">
            <v>1.5693999999999999</v>
          </cell>
          <cell r="V7">
            <v>6.1474999999999995E-4</v>
          </cell>
          <cell r="W7">
            <v>2.9989999999999999E-3</v>
          </cell>
          <cell r="X7">
            <v>1.1035E-4</v>
          </cell>
          <cell r="Y7">
            <v>5.9294000000000001E-8</v>
          </cell>
          <cell r="Z7">
            <v>7.4861999999999997E-4</v>
          </cell>
          <cell r="AA7">
            <v>2.0135999999999999E-3</v>
          </cell>
          <cell r="AB7">
            <v>2.8999999999999998E-3</v>
          </cell>
          <cell r="AC7">
            <v>5.1903000000000001E-5</v>
          </cell>
          <cell r="AD7">
            <v>3.2011000000000002E-4</v>
          </cell>
          <cell r="AE7">
            <v>8.0185999999999994E-5</v>
          </cell>
          <cell r="AF7">
            <v>1.9613999999999999E-2</v>
          </cell>
          <cell r="AG7">
            <v>6.0482000000000001E-2</v>
          </cell>
          <cell r="AH7">
            <v>3.5621E-2</v>
          </cell>
        </row>
        <row r="69">
          <cell r="D69">
            <v>0.46997</v>
          </cell>
          <cell r="M69">
            <v>6.4030815109999999</v>
          </cell>
          <cell r="N69">
            <v>1.8482999999999999E-2</v>
          </cell>
          <cell r="O69">
            <v>0.43381999999999998</v>
          </cell>
          <cell r="P69">
            <v>0.12280000000000001</v>
          </cell>
          <cell r="Q69">
            <v>5.6743999999999996E-3</v>
          </cell>
          <cell r="R69">
            <v>2.3049E-4</v>
          </cell>
          <cell r="S69">
            <v>7.6722999999999999</v>
          </cell>
          <cell r="T69">
            <v>4.7706999999999999E-2</v>
          </cell>
          <cell r="U69">
            <v>6.5601000000000003</v>
          </cell>
          <cell r="V69">
            <v>4.2883999999999999E-4</v>
          </cell>
          <cell r="W69">
            <v>4.7990999999999997E-3</v>
          </cell>
          <cell r="X69">
            <v>5.0970999999999997E-5</v>
          </cell>
          <cell r="Y69">
            <v>2.131E-8</v>
          </cell>
          <cell r="Z69">
            <v>1.5837E-3</v>
          </cell>
          <cell r="AA69">
            <v>1.1862999999999999E-3</v>
          </cell>
          <cell r="AB69">
            <v>2.3213999999999999E-3</v>
          </cell>
          <cell r="AC69">
            <v>1.4876000000000001E-4</v>
          </cell>
          <cell r="AD69">
            <v>2.8249999999999998E-3</v>
          </cell>
          <cell r="AE69">
            <v>1.7237000000000001E-3</v>
          </cell>
          <cell r="AF69">
            <v>1.7965999999999999E-2</v>
          </cell>
          <cell r="AG69">
            <v>7.1259000000000003E-2</v>
          </cell>
          <cell r="AH69">
            <v>1.4947999999999999E-2</v>
          </cell>
        </row>
      </sheetData>
      <sheetData sheetId="1" refreshError="1"/>
      <sheetData sheetId="2" refreshError="1"/>
      <sheetData sheetId="3" refreshError="1"/>
      <sheetData sheetId="4">
        <row r="39">
          <cell r="D39">
            <v>0</v>
          </cell>
        </row>
      </sheetData>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nAc·2H2O pro"/>
      <sheetName val="ZnO nanoparticles"/>
      <sheetName val="KAc crystallization&amp;dry"/>
      <sheetName val="ZnO redisperse"/>
      <sheetName val="overall"/>
    </sheetNames>
    <sheetDataSet>
      <sheetData sheetId="0"/>
      <sheetData sheetId="1"/>
      <sheetData sheetId="2"/>
      <sheetData sheetId="3"/>
      <sheetData sheetId="4">
        <row r="20">
          <cell r="Q20">
            <v>3.2478759444489893</v>
          </cell>
          <cell r="R20">
            <v>77.477468331390256</v>
          </cell>
          <cell r="S20">
            <v>0.19281058877912507</v>
          </cell>
          <cell r="T20">
            <v>2.7717534541965629</v>
          </cell>
          <cell r="U20">
            <v>1.6953552213062446</v>
          </cell>
          <cell r="V20">
            <v>9.913146422528285E-2</v>
          </cell>
          <cell r="W20">
            <v>1.3855215353690852E-3</v>
          </cell>
          <cell r="X20">
            <v>56.123025629121273</v>
          </cell>
          <cell r="Y20">
            <v>0.15965148891486514</v>
          </cell>
          <cell r="Z20">
            <v>43.966360724841117</v>
          </cell>
          <cell r="AA20">
            <v>2.8947584266037236E-3</v>
          </cell>
          <cell r="AB20">
            <v>0.17230548905250334</v>
          </cell>
          <cell r="AC20">
            <v>2.8068119994596979E-4</v>
          </cell>
          <cell r="AD20">
            <v>6.8349598759976725E-7</v>
          </cell>
          <cell r="AE20">
            <v>8.5298197969410489E-3</v>
          </cell>
          <cell r="AF20">
            <v>2.1565521461887286E-2</v>
          </cell>
          <cell r="AG20">
            <v>1.5501818891779061E-2</v>
          </cell>
          <cell r="AH20">
            <v>2.9614349713005367E-3</v>
          </cell>
          <cell r="AI20">
            <v>2.8526227073213877E-2</v>
          </cell>
          <cell r="AJ20">
            <v>9.6959354714147503E-3</v>
          </cell>
          <cell r="AK20">
            <v>0.12785227545589797</v>
          </cell>
          <cell r="AL20">
            <v>0.50015710114948098</v>
          </cell>
          <cell r="AM20">
            <v>0.21128580831457888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with TiO2"/>
      <sheetName val="ITO"/>
    </sheetNames>
    <sheetDataSet>
      <sheetData sheetId="0">
        <row r="25">
          <cell r="Q25">
            <v>2.6804641399543874</v>
          </cell>
        </row>
      </sheetData>
      <sheetData sheetId="1">
        <row r="19">
          <cell r="E19">
            <v>0.15812767160784313</v>
          </cell>
          <cell r="F19">
            <v>2.7772652980392154</v>
          </cell>
        </row>
        <row r="20">
          <cell r="E20">
            <v>1.0770142140486276E-3</v>
          </cell>
          <cell r="F20">
            <v>8.9895944479058826E-3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SA"/>
      <sheetName val="energy consumption"/>
      <sheetName val="results"/>
      <sheetName val="CB_DATA_"/>
      <sheetName val="Uncertainty"/>
    </sheetNames>
    <sheetDataSet>
      <sheetData sheetId="0">
        <row r="2">
          <cell r="B2">
            <v>0.9</v>
          </cell>
        </row>
        <row r="12">
          <cell r="N12" t="str">
            <v>Carbon footprint</v>
          </cell>
          <cell r="O12" t="str">
            <v>Primary energy consumption</v>
          </cell>
        </row>
        <row r="13">
          <cell r="M13" t="str">
            <v>ITO glass</v>
          </cell>
          <cell r="N13">
            <v>1.6837863429999995</v>
          </cell>
          <cell r="O13">
            <v>29.222870408888099</v>
          </cell>
        </row>
        <row r="14">
          <cell r="M14" t="str">
            <v>Ethanol</v>
          </cell>
          <cell r="N14">
            <v>3.6067691999999998E-2</v>
          </cell>
          <cell r="O14">
            <v>1.0715802776700001</v>
          </cell>
        </row>
        <row r="15">
          <cell r="M15" t="str">
            <v>Deionized water</v>
          </cell>
          <cell r="N15">
            <v>5.6916582000000001E-5</v>
          </cell>
          <cell r="O15">
            <v>7.8310930304560005E-4</v>
          </cell>
        </row>
        <row r="16">
          <cell r="M16" t="str">
            <v>NiOₓ precursor solution</v>
          </cell>
          <cell r="N16">
            <v>3.2234827634271858E-2</v>
          </cell>
          <cell r="O16">
            <v>0.63858715683810552</v>
          </cell>
        </row>
        <row r="17">
          <cell r="M17" t="str">
            <v>PbI₂</v>
          </cell>
          <cell r="N17">
            <v>2.8789914277598614E-3</v>
          </cell>
          <cell r="O17">
            <v>3.423458644077676E-2</v>
          </cell>
        </row>
        <row r="18">
          <cell r="M18" t="str">
            <v>Dimethylformamide</v>
          </cell>
          <cell r="N18">
            <v>3.7194557030399995E-3</v>
          </cell>
          <cell r="O18">
            <v>0.10116651734077545</v>
          </cell>
        </row>
        <row r="19">
          <cell r="M19" t="str">
            <v>MAI</v>
          </cell>
          <cell r="N19">
            <v>3.5150263174525943E-2</v>
          </cell>
          <cell r="O19">
            <v>0.74664235335118256</v>
          </cell>
        </row>
        <row r="20">
          <cell r="M20" t="str">
            <v>Isopropanol</v>
          </cell>
          <cell r="N20">
            <v>6.2385419519999999E-3</v>
          </cell>
          <cell r="O20">
            <v>0.20621291360633598</v>
          </cell>
        </row>
        <row r="21">
          <cell r="M21" t="str">
            <v>Nitrogen</v>
          </cell>
          <cell r="N21">
            <v>1.6371150925259081</v>
          </cell>
          <cell r="O21">
            <v>22.304788348898221</v>
          </cell>
        </row>
        <row r="22">
          <cell r="M22" t="str">
            <v>ZnO nanoparticles</v>
          </cell>
          <cell r="N22">
            <v>6.3772044169255901E-2</v>
          </cell>
          <cell r="O22">
            <v>1.5212700906868477</v>
          </cell>
        </row>
        <row r="23">
          <cell r="M23" t="str">
            <v>Al</v>
          </cell>
          <cell r="N23">
            <v>7.007356097560976E-3</v>
          </cell>
          <cell r="O23">
            <v>6.5261304301170733E-2</v>
          </cell>
        </row>
        <row r="24">
          <cell r="M24" t="str">
            <v>Direct emissions</v>
          </cell>
          <cell r="N24">
            <v>0</v>
          </cell>
          <cell r="O24">
            <v>0</v>
          </cell>
        </row>
        <row r="36">
          <cell r="N36">
            <v>1.44631779E-4</v>
          </cell>
          <cell r="O36">
            <v>1.2086428794910004E-3</v>
          </cell>
        </row>
        <row r="44">
          <cell r="F44">
            <v>0.15522526600000042</v>
          </cell>
        </row>
      </sheetData>
      <sheetData sheetId="1"/>
      <sheetData sheetId="2">
        <row r="6">
          <cell r="I6" t="str">
            <v>Sonication</v>
          </cell>
          <cell r="J6">
            <v>0.28396800022717433</v>
          </cell>
          <cell r="K6">
            <v>4.9966410936773125</v>
          </cell>
        </row>
        <row r="7">
          <cell r="I7" t="str">
            <v>HTL spin coating</v>
          </cell>
          <cell r="J7">
            <v>4.7574154393188799</v>
          </cell>
          <cell r="K7">
            <v>83.710479577905772</v>
          </cell>
        </row>
        <row r="8">
          <cell r="I8" t="str">
            <v>HTL annealing</v>
          </cell>
          <cell r="J8">
            <v>30.668544024534835</v>
          </cell>
          <cell r="K8">
            <v>539.63723811714988</v>
          </cell>
        </row>
        <row r="9">
          <cell r="I9" t="str">
            <v>Inert gas purging</v>
          </cell>
          <cell r="J9">
            <v>3.7270800029816638</v>
          </cell>
          <cell r="K9">
            <v>65.580914354514732</v>
          </cell>
        </row>
        <row r="10">
          <cell r="I10" t="str">
            <v>PL 1st-step spin coating</v>
          </cell>
          <cell r="J10">
            <v>8.4576274476780081E-2</v>
          </cell>
          <cell r="K10">
            <v>1.4881863036072136</v>
          </cell>
        </row>
        <row r="11">
          <cell r="I11" t="str">
            <v>PL drying</v>
          </cell>
          <cell r="J11">
            <v>1.1926656009541325</v>
          </cell>
          <cell r="K11">
            <v>20.985892593444717</v>
          </cell>
        </row>
        <row r="12">
          <cell r="I12" t="str">
            <v>PL 2nd-step spin coating</v>
          </cell>
          <cell r="J12">
            <v>4.2288137238390036</v>
          </cell>
          <cell r="K12">
            <v>74.409315180360679</v>
          </cell>
        </row>
        <row r="13">
          <cell r="I13" t="str">
            <v>PL annealing</v>
          </cell>
          <cell r="J13">
            <v>20.445696016356557</v>
          </cell>
          <cell r="K13">
            <v>359.75815874476655</v>
          </cell>
        </row>
        <row r="14">
          <cell r="I14" t="str">
            <v>ETL spin coating</v>
          </cell>
          <cell r="J14">
            <v>4.7574154393188799</v>
          </cell>
          <cell r="K14">
            <v>83.710479577905772</v>
          </cell>
        </row>
        <row r="15">
          <cell r="I15" t="str">
            <v>Vacuum pump</v>
          </cell>
          <cell r="J15">
            <v>6.5312640052250099</v>
          </cell>
          <cell r="K15">
            <v>114.92274515457818</v>
          </cell>
        </row>
        <row r="16">
          <cell r="I16" t="str">
            <v>Evaporation</v>
          </cell>
          <cell r="J16">
            <v>3.7862400030289916</v>
          </cell>
          <cell r="K16">
            <v>66.621881249030835</v>
          </cell>
        </row>
        <row r="17">
          <cell r="I17" t="str">
            <v>Cooling</v>
          </cell>
          <cell r="J17">
            <v>11.358720009086975</v>
          </cell>
          <cell r="K17">
            <v>199.86564374709252</v>
          </cell>
        </row>
        <row r="26">
          <cell r="J26">
            <v>1.6328160013062525E-2</v>
          </cell>
          <cell r="K26">
            <v>0.28730686288644547</v>
          </cell>
        </row>
      </sheetData>
      <sheetData sheetId="3">
        <row r="2">
          <cell r="G2" t="str">
            <v>Carbon footprint</v>
          </cell>
          <cell r="H2" t="str">
            <v>Primary energy consumption</v>
          </cell>
        </row>
        <row r="3">
          <cell r="A3" t="str">
            <v>ITO glass</v>
          </cell>
          <cell r="G3">
            <v>1.6837863429999995</v>
          </cell>
          <cell r="H3">
            <v>29.222870408888099</v>
          </cell>
        </row>
        <row r="4">
          <cell r="A4" t="str">
            <v>Ethanol</v>
          </cell>
          <cell r="G4">
            <v>3.6067691999999998E-2</v>
          </cell>
          <cell r="H4">
            <v>1.0715802776700001</v>
          </cell>
        </row>
        <row r="5">
          <cell r="A5" t="str">
            <v>Deionized water</v>
          </cell>
          <cell r="G5">
            <v>5.6916582000000001E-5</v>
          </cell>
          <cell r="H5">
            <v>7.8310930304560005E-4</v>
          </cell>
        </row>
        <row r="6">
          <cell r="A6" t="str">
            <v>NiOₓ precursor solution</v>
          </cell>
          <cell r="G6">
            <v>3.2234827634271858E-2</v>
          </cell>
          <cell r="H6">
            <v>0.63858715683810552</v>
          </cell>
        </row>
        <row r="7">
          <cell r="A7" t="str">
            <v>PbI₂</v>
          </cell>
          <cell r="G7">
            <v>2.8789914277598614E-3</v>
          </cell>
          <cell r="H7">
            <v>3.423458644077676E-2</v>
          </cell>
        </row>
        <row r="8">
          <cell r="A8" t="str">
            <v>Dimethylformamide</v>
          </cell>
          <cell r="G8">
            <v>3.7194557030399995E-3</v>
          </cell>
          <cell r="H8">
            <v>0.10116651734077545</v>
          </cell>
        </row>
        <row r="9">
          <cell r="A9" t="str">
            <v>MAI</v>
          </cell>
          <cell r="G9">
            <v>3.5150263174525943E-2</v>
          </cell>
          <cell r="H9">
            <v>0.74664235335118256</v>
          </cell>
        </row>
        <row r="10">
          <cell r="A10" t="str">
            <v>Isopropanol</v>
          </cell>
          <cell r="G10">
            <v>6.2385419519999999E-3</v>
          </cell>
          <cell r="H10">
            <v>0.20621291360633598</v>
          </cell>
        </row>
        <row r="12">
          <cell r="A12" t="str">
            <v>ZnO nanoparticles</v>
          </cell>
          <cell r="G12">
            <v>6.3772044169255901E-2</v>
          </cell>
          <cell r="H12">
            <v>1.5212700906868477</v>
          </cell>
        </row>
        <row r="13">
          <cell r="A13" t="str">
            <v>Al</v>
          </cell>
          <cell r="G13">
            <v>7.007356097560976E-3</v>
          </cell>
          <cell r="H13">
            <v>6.5261304301170733E-2</v>
          </cell>
        </row>
        <row r="15">
          <cell r="A15" t="str">
            <v>Sonication</v>
          </cell>
          <cell r="G15">
            <v>0.28396800022717433</v>
          </cell>
          <cell r="H15">
            <v>4.9966410936773125</v>
          </cell>
        </row>
        <row r="16">
          <cell r="A16" t="str">
            <v>HTL spin coating</v>
          </cell>
          <cell r="G16">
            <v>4.7574154393188799</v>
          </cell>
          <cell r="H16">
            <v>83.710479577905772</v>
          </cell>
        </row>
        <row r="17">
          <cell r="A17" t="str">
            <v>HTL annealing</v>
          </cell>
          <cell r="G17">
            <v>30.668544024534835</v>
          </cell>
          <cell r="H17">
            <v>539.63723811714988</v>
          </cell>
        </row>
        <row r="18">
          <cell r="A18" t="str">
            <v>Inert gas purging</v>
          </cell>
          <cell r="G18">
            <v>3.7270800029816638</v>
          </cell>
          <cell r="H18">
            <v>65.580914354514732</v>
          </cell>
        </row>
        <row r="19">
          <cell r="A19" t="str">
            <v>PL 1st-step spin coating</v>
          </cell>
          <cell r="G19">
            <v>8.4576274476780081E-2</v>
          </cell>
          <cell r="H19">
            <v>1.4881863036072136</v>
          </cell>
        </row>
        <row r="20">
          <cell r="A20" t="str">
            <v>PL drying</v>
          </cell>
          <cell r="G20">
            <v>1.1926656009541325</v>
          </cell>
          <cell r="H20">
            <v>20.985892593444717</v>
          </cell>
        </row>
        <row r="21">
          <cell r="A21" t="str">
            <v>PL 2nd-step spin coating</v>
          </cell>
          <cell r="G21">
            <v>4.2288137238390036</v>
          </cell>
          <cell r="H21">
            <v>74.409315180360679</v>
          </cell>
        </row>
        <row r="22">
          <cell r="A22" t="str">
            <v>PL annealing</v>
          </cell>
          <cell r="G22">
            <v>20.445696016356557</v>
          </cell>
          <cell r="H22">
            <v>359.75815874476655</v>
          </cell>
        </row>
        <row r="23">
          <cell r="A23" t="str">
            <v>ETL spin coating</v>
          </cell>
          <cell r="G23">
            <v>4.7574154393188799</v>
          </cell>
          <cell r="H23">
            <v>83.710479577905772</v>
          </cell>
        </row>
        <row r="24">
          <cell r="A24" t="str">
            <v>Vacuum pump</v>
          </cell>
          <cell r="G24">
            <v>6.5312640052250099</v>
          </cell>
          <cell r="H24">
            <v>114.92274515457818</v>
          </cell>
        </row>
        <row r="25">
          <cell r="A25" t="str">
            <v>Evaporation</v>
          </cell>
          <cell r="G25">
            <v>3.7862400030289916</v>
          </cell>
          <cell r="H25">
            <v>66.621881249030835</v>
          </cell>
        </row>
        <row r="26">
          <cell r="A26" t="str">
            <v>Cooling</v>
          </cell>
          <cell r="G26">
            <v>11.358720009086975</v>
          </cell>
          <cell r="H26">
            <v>199.86564374709252</v>
          </cell>
        </row>
        <row r="27">
          <cell r="A27" t="str">
            <v>Direct emissions</v>
          </cell>
          <cell r="G27">
            <v>0</v>
          </cell>
          <cell r="H27">
            <v>0</v>
          </cell>
        </row>
        <row r="28">
          <cell r="A28" t="str">
            <v>Treatment</v>
          </cell>
          <cell r="G28">
            <v>1.44631779E-4</v>
          </cell>
          <cell r="H28">
            <v>1.2086428794910004E-3</v>
          </cell>
        </row>
        <row r="29">
          <cell r="A29" t="str">
            <v>End of life</v>
          </cell>
          <cell r="G29">
            <v>0.15919747552941177</v>
          </cell>
          <cell r="H29">
            <v>2.7861947098039215</v>
          </cell>
        </row>
      </sheetData>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with TiO2-old"/>
      <sheetName val="ITO-old"/>
    </sheetNames>
    <sheetDataSet>
      <sheetData sheetId="0"/>
      <sheetData sheetId="1">
        <row r="23">
          <cell r="E23">
            <v>0.15919747552941177</v>
          </cell>
          <cell r="F23">
            <v>2.7861947098039215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5"/>
  <sheetViews>
    <sheetView zoomScale="115" zoomScaleNormal="115" workbookViewId="0">
      <selection activeCell="F15" sqref="F15"/>
    </sheetView>
  </sheetViews>
  <sheetFormatPr defaultRowHeight="15"/>
  <cols>
    <col min="1" max="1" width="24.7109375" customWidth="1"/>
    <col min="5" max="5" width="11.7109375" customWidth="1"/>
    <col min="6" max="6" width="12" style="5" bestFit="1" customWidth="1"/>
    <col min="7" max="7" width="42.28515625" customWidth="1"/>
    <col min="8" max="8" width="22.28515625" style="13" customWidth="1"/>
    <col min="9" max="9" width="16.28515625" hidden="1" customWidth="1"/>
    <col min="10" max="10" width="0" hidden="1" customWidth="1"/>
    <col min="11" max="11" width="18.28515625" hidden="1" customWidth="1"/>
    <col min="12" max="12" width="0" hidden="1" customWidth="1"/>
    <col min="13" max="13" width="25" customWidth="1"/>
    <col min="14" max="14" width="28" style="10" customWidth="1"/>
    <col min="15" max="15" width="21.42578125" style="10" customWidth="1"/>
    <col min="16" max="37" width="14.85546875" customWidth="1"/>
  </cols>
  <sheetData>
    <row r="1" spans="1:37" ht="30">
      <c r="A1" s="6" t="s">
        <v>177</v>
      </c>
      <c r="B1" s="6" t="s">
        <v>0</v>
      </c>
      <c r="C1" s="6" t="s">
        <v>1</v>
      </c>
      <c r="D1" s="6" t="s">
        <v>2</v>
      </c>
      <c r="E1" s="6" t="s">
        <v>3</v>
      </c>
      <c r="F1" s="7" t="s">
        <v>4</v>
      </c>
      <c r="G1" s="117" t="s">
        <v>5</v>
      </c>
      <c r="H1" s="117"/>
      <c r="I1" s="117"/>
      <c r="J1" s="117"/>
      <c r="K1" s="117"/>
      <c r="L1" s="117"/>
      <c r="M1" s="41"/>
      <c r="N1" s="112"/>
      <c r="O1" s="112"/>
      <c r="P1" s="41"/>
      <c r="Q1" s="41"/>
      <c r="R1" s="41"/>
      <c r="S1" s="41"/>
      <c r="T1" s="41"/>
      <c r="U1" s="41"/>
      <c r="V1" s="41"/>
      <c r="W1" s="41"/>
      <c r="X1" s="41"/>
      <c r="Y1" s="41"/>
      <c r="Z1" s="41"/>
      <c r="AA1" s="41"/>
      <c r="AB1" s="41"/>
      <c r="AC1" s="41"/>
      <c r="AD1" s="41"/>
      <c r="AE1" s="41"/>
      <c r="AF1" s="41"/>
      <c r="AG1" s="41"/>
      <c r="AH1" s="41"/>
      <c r="AI1" s="41"/>
      <c r="AJ1" s="41"/>
    </row>
    <row r="2" spans="1:37">
      <c r="A2" s="8" t="s">
        <v>6</v>
      </c>
      <c r="B2" s="2"/>
      <c r="C2" s="2"/>
      <c r="D2" s="2"/>
      <c r="E2" s="2"/>
      <c r="F2" s="4"/>
      <c r="G2" s="2"/>
      <c r="H2" s="2"/>
      <c r="J2" t="s">
        <v>23</v>
      </c>
      <c r="M2" s="68"/>
      <c r="N2" s="38" t="s">
        <v>59</v>
      </c>
      <c r="O2" s="38" t="s">
        <v>58</v>
      </c>
      <c r="P2" s="44" t="s">
        <v>61</v>
      </c>
      <c r="Q2" s="44" t="s">
        <v>62</v>
      </c>
      <c r="R2" s="44" t="s">
        <v>63</v>
      </c>
      <c r="S2" s="44" t="s">
        <v>64</v>
      </c>
      <c r="T2" s="44" t="s">
        <v>65</v>
      </c>
      <c r="U2" s="44" t="s">
        <v>66</v>
      </c>
      <c r="V2" s="44" t="s">
        <v>67</v>
      </c>
      <c r="W2" s="44" t="s">
        <v>68</v>
      </c>
      <c r="X2" s="44" t="s">
        <v>69</v>
      </c>
      <c r="Y2" s="44" t="s">
        <v>70</v>
      </c>
      <c r="Z2" s="44" t="s">
        <v>71</v>
      </c>
      <c r="AA2" s="44" t="s">
        <v>72</v>
      </c>
      <c r="AB2" s="44" t="s">
        <v>73</v>
      </c>
      <c r="AC2" s="44" t="s">
        <v>74</v>
      </c>
      <c r="AD2" s="44" t="s">
        <v>75</v>
      </c>
      <c r="AE2" s="44" t="s">
        <v>76</v>
      </c>
      <c r="AF2" s="44" t="s">
        <v>77</v>
      </c>
      <c r="AG2" s="44" t="s">
        <v>78</v>
      </c>
      <c r="AH2" s="44" t="s">
        <v>79</v>
      </c>
      <c r="AI2" s="44" t="s">
        <v>80</v>
      </c>
      <c r="AJ2" s="44" t="s">
        <v>81</v>
      </c>
    </row>
    <row r="3" spans="1:37">
      <c r="A3" s="3" t="s">
        <v>19</v>
      </c>
      <c r="B3" s="2" t="s">
        <v>7</v>
      </c>
      <c r="C3" s="2">
        <v>1</v>
      </c>
      <c r="D3" s="2" t="s">
        <v>7</v>
      </c>
      <c r="E3" s="2">
        <v>1</v>
      </c>
      <c r="F3" s="4">
        <v>1.54</v>
      </c>
      <c r="G3" s="2" t="s">
        <v>8</v>
      </c>
      <c r="H3" s="2"/>
      <c r="J3" t="s">
        <v>24</v>
      </c>
      <c r="M3" s="3" t="s">
        <v>19</v>
      </c>
      <c r="N3" s="10">
        <f>$C$3*'[1]ITO glass'!D14</f>
        <v>16.837863429999999</v>
      </c>
      <c r="O3" s="10">
        <f>$C$3*'[1]ITO glass'!M14</f>
        <v>292.22870408888105</v>
      </c>
      <c r="P3" s="10">
        <f>$C$3*'[1]ITO glass'!N14</f>
        <v>5.4035999599999995E-2</v>
      </c>
      <c r="Q3" s="10">
        <f>$C$3*'[1]ITO glass'!O14</f>
        <v>15.863857979999999</v>
      </c>
      <c r="R3" s="10">
        <f>$C$3*'[1]ITO glass'!P14</f>
        <v>6.8711502629999996</v>
      </c>
      <c r="S3" s="10">
        <f>$C$3*'[1]ITO glass'!Q14</f>
        <v>8.2522552700000001E-2</v>
      </c>
      <c r="T3" s="10">
        <f>$C$3*'[1]ITO glass'!R14</f>
        <v>1.0550032339999998E-3</v>
      </c>
      <c r="U3" s="10">
        <f>$C$3*'[1]ITO glass'!S14</f>
        <v>165.51815009999999</v>
      </c>
      <c r="V3" s="10">
        <f>$C$3*'[1]ITO glass'!T14</f>
        <v>0.16734019</v>
      </c>
      <c r="W3" s="10">
        <f>$C$3*'[1]ITO glass'!U14</f>
        <v>66.525372399999995</v>
      </c>
      <c r="X3" s="10">
        <f>$C$3*'[1]ITO glass'!V14</f>
        <v>1.5045233709999998E-2</v>
      </c>
      <c r="Y3" s="10">
        <f>$C$3*'[1]ITO glass'!W14</f>
        <v>0.64124742970000004</v>
      </c>
      <c r="Z3" s="10">
        <f>$C$3*'[1]ITO glass'!X14</f>
        <v>2.6055490222000001E-3</v>
      </c>
      <c r="AA3" s="10">
        <f>$C$3*'[1]ITO glass'!Y14</f>
        <v>1.3754312987000001E-6</v>
      </c>
      <c r="AB3" s="10">
        <f>$C$3*'[1]ITO glass'!Z14</f>
        <v>1.994535221E-2</v>
      </c>
      <c r="AC3" s="10">
        <f>$C$3*'[1]ITO glass'!AA14</f>
        <v>4.8864307230000001E-2</v>
      </c>
      <c r="AD3" s="10">
        <f>$C$3*'[1]ITO glass'!AB14</f>
        <v>7.2168691110000002E-2</v>
      </c>
      <c r="AE3" s="10">
        <f>$C$3*'[1]ITO glass'!AC14</f>
        <v>7.877002793E-3</v>
      </c>
      <c r="AF3" s="10">
        <f>$C$3*'[1]ITO glass'!AD14</f>
        <v>1.5844954200000001E-2</v>
      </c>
      <c r="AG3" s="10">
        <f>$C$3*'[1]ITO glass'!AE14</f>
        <v>1.0150023860000001E-2</v>
      </c>
      <c r="AH3" s="10">
        <f>$C$3*'[1]ITO glass'!AF14</f>
        <v>0.48907124690000003</v>
      </c>
      <c r="AI3" s="10">
        <f>$C$3*'[1]ITO glass'!AG14</f>
        <v>1.723918898</v>
      </c>
      <c r="AJ3" s="10">
        <f>$C$3*'[1]ITO glass'!AH14</f>
        <v>0.8537033906</v>
      </c>
      <c r="AK3" s="10"/>
    </row>
    <row r="4" spans="1:37">
      <c r="A4" s="3" t="s">
        <v>9</v>
      </c>
      <c r="B4" s="2" t="s">
        <v>7</v>
      </c>
      <c r="C4" s="2" t="s">
        <v>7</v>
      </c>
      <c r="D4" s="2" t="s">
        <v>7</v>
      </c>
      <c r="E4" s="2">
        <v>1</v>
      </c>
      <c r="F4" s="4">
        <f>0.02577/E4</f>
        <v>2.5770000000000001E-2</v>
      </c>
      <c r="G4" s="116" t="s">
        <v>10</v>
      </c>
      <c r="H4" s="2"/>
      <c r="J4" t="s">
        <v>25</v>
      </c>
      <c r="M4" s="3" t="s">
        <v>9</v>
      </c>
      <c r="N4" s="10">
        <f>F4*[2]production!$D$54</f>
        <v>3.6067691999999998E-2</v>
      </c>
      <c r="O4" s="10">
        <f>$F$4*[2]production!M54</f>
        <v>1.0715802776700001</v>
      </c>
      <c r="P4" s="10">
        <f>$F$4*[2]production!N54</f>
        <v>2.8743858000000001E-2</v>
      </c>
      <c r="Q4" s="10">
        <f>$F$4*[2]production!O54</f>
        <v>3.1405899000000001E-2</v>
      </c>
      <c r="R4" s="10">
        <f>$F$4*[2]production!P54</f>
        <v>8.8342137000000012E-3</v>
      </c>
      <c r="S4" s="10">
        <f>$F$4*[2]production!Q54</f>
        <v>8.7942701999999993E-4</v>
      </c>
      <c r="T4" s="10">
        <f>$F$4*[2]production!R54</f>
        <v>1.4630402100000002E-5</v>
      </c>
      <c r="U4" s="10">
        <f>$F$4*[2]production!S54</f>
        <v>0.43082286000000003</v>
      </c>
      <c r="V4" s="10">
        <f>$F$4*[2]production!T54</f>
        <v>2.2433300400000003E-3</v>
      </c>
      <c r="W4" s="10">
        <f>$F$4*[2]production!U54</f>
        <v>0.34614264</v>
      </c>
      <c r="X4" s="10">
        <f>$F$4*[2]production!V54</f>
        <v>1.6083572399999999E-4</v>
      </c>
      <c r="Y4" s="10">
        <f>$F$4*[2]production!W54</f>
        <v>1.4034857400000002E-3</v>
      </c>
      <c r="Z4" s="10">
        <f>$F$4*[2]production!X54</f>
        <v>2.7079116E-5</v>
      </c>
      <c r="AA4" s="10">
        <f>$F$4*[2]production!Y54</f>
        <v>2.2928857500000002E-9</v>
      </c>
      <c r="AB4" s="10">
        <f>$F$4*[2]production!Z54</f>
        <v>1.0093335900000002E-4</v>
      </c>
      <c r="AC4" s="10">
        <f>$F$4*[2]production!AA54</f>
        <v>1.05937893E-4</v>
      </c>
      <c r="AD4" s="10">
        <f>$F$4*[2]production!AB54</f>
        <v>3.3153105E-4</v>
      </c>
      <c r="AE4" s="10">
        <f>$F$4*[2]production!AC54</f>
        <v>2.1167478000000002E-4</v>
      </c>
      <c r="AF4" s="10">
        <f>$F$4*[2]production!AD54</f>
        <v>1.54050483E-3</v>
      </c>
      <c r="AG4" s="10">
        <f>$F$4*[2]production!AE54</f>
        <v>9.6299913000000015E-3</v>
      </c>
      <c r="AH4" s="10">
        <f>$F$4*[2]production!AF54</f>
        <v>8.7991665000000004E-3</v>
      </c>
      <c r="AI4" s="10">
        <f>$F$4*[2]production!AG54</f>
        <v>4.2486998999999998E-3</v>
      </c>
      <c r="AJ4" s="10">
        <f>$F$4*[2]production!AH54</f>
        <v>1.12439664E-3</v>
      </c>
    </row>
    <row r="5" spans="1:37">
      <c r="A5" s="3" t="s">
        <v>11</v>
      </c>
      <c r="B5" s="2" t="s">
        <v>7</v>
      </c>
      <c r="C5" s="2" t="s">
        <v>7</v>
      </c>
      <c r="D5" s="2" t="s">
        <v>7</v>
      </c>
      <c r="E5" s="2">
        <v>1</v>
      </c>
      <c r="F5" s="4">
        <f>0.03266/E5</f>
        <v>3.2660000000000002E-2</v>
      </c>
      <c r="G5" s="116"/>
      <c r="H5" s="2"/>
      <c r="J5" t="s">
        <v>26</v>
      </c>
      <c r="M5" s="3" t="s">
        <v>11</v>
      </c>
      <c r="N5" s="10">
        <f>F5*[2]production!$D$74</f>
        <v>5.6916582000000001E-5</v>
      </c>
      <c r="O5" s="10">
        <f>$F$5*[2]production!M74</f>
        <v>7.8310930304560005E-4</v>
      </c>
      <c r="P5" s="10">
        <f>$F$5*[2]production!N74</f>
        <v>2.6201811600000002E-6</v>
      </c>
      <c r="Q5" s="10">
        <f>$F$5*[2]production!O74</f>
        <v>5.2353980000000006E-5</v>
      </c>
      <c r="R5" s="10">
        <f>$F$5*[2]production!P74</f>
        <v>1.50591994E-5</v>
      </c>
      <c r="S5" s="10">
        <f>$F$5*[2]production!Q74</f>
        <v>7.8478714000000003E-7</v>
      </c>
      <c r="T5" s="10">
        <f>$F$5*[2]production!R74</f>
        <v>2.7811623000000003E-8</v>
      </c>
      <c r="U5" s="10">
        <f>$F$5*[2]production!S74</f>
        <v>1.04061292E-3</v>
      </c>
      <c r="V5" s="10">
        <f>$F$5*[2]production!T74</f>
        <v>5.6795740000000004E-6</v>
      </c>
      <c r="W5" s="10">
        <f>$F$5*[2]production!U74</f>
        <v>8.9367557999999998E-4</v>
      </c>
      <c r="X5" s="10">
        <f>$F$5*[2]production!V74</f>
        <v>5.6067422000000004E-8</v>
      </c>
      <c r="Y5" s="10">
        <f>$F$5*[2]production!W74</f>
        <v>3.7415296000000003E-6</v>
      </c>
      <c r="Z5" s="10">
        <f>$F$5*[2]production!X74</f>
        <v>7.2221057999999999E-9</v>
      </c>
      <c r="AA5" s="10">
        <f>$F$5*[2]production!Y74</f>
        <v>2.3853884200000003E-11</v>
      </c>
      <c r="AB5" s="10">
        <f>$F$5*[2]production!Z74</f>
        <v>1.8625998000000001E-7</v>
      </c>
      <c r="AC5" s="10">
        <f>$F$5*[2]production!AA74</f>
        <v>1.60177704E-7</v>
      </c>
      <c r="AD5" s="10">
        <f>$F$5*[2]production!AB74</f>
        <v>2.8821796800000001E-7</v>
      </c>
      <c r="AE5" s="10">
        <f>$F$5*[2]production!AC74</f>
        <v>4.6543766000000001E-8</v>
      </c>
      <c r="AF5" s="10">
        <f>$F$5*[2]production!AD74</f>
        <v>4.9845692000000008E-7</v>
      </c>
      <c r="AG5" s="10">
        <f>$F$5*[2]production!AE74</f>
        <v>4.2774802000000001E-5</v>
      </c>
      <c r="AH5" s="10">
        <f>$F$5*[2]production!AF74</f>
        <v>2.45299462E-6</v>
      </c>
      <c r="AI5" s="10">
        <f>$F$5*[2]production!AG74</f>
        <v>9.3691742000000004E-6</v>
      </c>
      <c r="AJ5" s="10">
        <f>$F$5*[2]production!AH74</f>
        <v>1.9793919600000001E-6</v>
      </c>
    </row>
    <row r="6" spans="1:37">
      <c r="A6" s="8" t="s">
        <v>17</v>
      </c>
      <c r="B6" s="2"/>
      <c r="C6" s="2"/>
      <c r="D6" s="2"/>
      <c r="E6" s="2"/>
      <c r="F6" s="4"/>
      <c r="G6" s="2"/>
      <c r="H6" s="2"/>
      <c r="J6" t="s">
        <v>27</v>
      </c>
      <c r="M6" s="3" t="s">
        <v>163</v>
      </c>
      <c r="N6" s="10">
        <f>(F7+F8+F9)*[3]overall!$V$20</f>
        <v>4.2979770179029153E-2</v>
      </c>
      <c r="O6" s="10">
        <f>($F$7+$F$8+$F$9)*[3]overall!W20</f>
        <v>0.85144954245080751</v>
      </c>
      <c r="P6" s="10">
        <f>($F$7+$F$8+$F$9)*[3]overall!X20</f>
        <v>9.8171065326138531E-3</v>
      </c>
      <c r="Q6" s="10">
        <f>($F$7+$F$8+$F$9)*[3]overall!Y20</f>
        <v>3.745762603269575E-2</v>
      </c>
      <c r="R6" s="10">
        <f>($F$7+$F$8+$F$9)*[3]overall!Z20</f>
        <v>1.6566122329927865E-2</v>
      </c>
      <c r="S6" s="10">
        <f>($F$7+$F$8+$F$9)*[3]overall!AA20</f>
        <v>1.5488511728583951E-3</v>
      </c>
      <c r="T6" s="10">
        <f>($F$7+$F$8+$F$9)*[3]overall!AB20</f>
        <v>2.9080910399432381E-5</v>
      </c>
      <c r="U6" s="10">
        <f>($F$7+$F$8+$F$9)*[3]overall!AC20</f>
        <v>1.8196603523835628</v>
      </c>
      <c r="V6" s="10">
        <f>($F$7+$F$8+$F$9)*[3]overall!AD20</f>
        <v>3.1888249964055061E-3</v>
      </c>
      <c r="W6" s="10">
        <f>($F$7+$F$8+$F$9)*[3]overall!AE20</f>
        <v>1.7930587406290797</v>
      </c>
      <c r="X6" s="10">
        <f>($F$7+$F$8+$F$9)*[3]overall!AF20</f>
        <v>7.7502811652045329E-5</v>
      </c>
      <c r="Y6" s="10">
        <f>($F$7+$F$8+$F$9)*[3]overall!AG20</f>
        <v>2.2069750326697651E-2</v>
      </c>
      <c r="Z6" s="10">
        <f>($F$7+$F$8+$F$9)*[3]overall!AH20</f>
        <v>5.1354084215145801E-6</v>
      </c>
      <c r="AA6" s="10">
        <f>($F$7+$F$8+$F$9)*[3]overall!AI20</f>
        <v>5.6588934356561583E-9</v>
      </c>
      <c r="AB6" s="10">
        <f>($F$7+$F$8+$F$9)*[3]overall!AJ20</f>
        <v>3.8041102989331795E-4</v>
      </c>
      <c r="AC6" s="10">
        <f>($F$7+$F$8+$F$9)*[3]overall!AK20</f>
        <v>2.7194206786856738E-4</v>
      </c>
      <c r="AD6" s="10">
        <f>($F$7+$F$8+$F$9)*[3]overall!AL20</f>
        <v>1.5425559533476659E-3</v>
      </c>
      <c r="AE6" s="10">
        <f>($F$7+$F$8+$F$9)*[3]overall!AM20</f>
        <v>1.2999325710311236E-4</v>
      </c>
      <c r="AF6" s="10">
        <f>($F$7+$F$8+$F$9)*[3]overall!AN20</f>
        <v>4.9503511121603042E-4</v>
      </c>
      <c r="AG6" s="10">
        <f>($F$7+$F$8+$F$9)*[3]overall!AO20</f>
        <v>2.129692501485106E-4</v>
      </c>
      <c r="AH6" s="10">
        <f>($F$7+$F$8+$F$9)*[3]overall!AP20</f>
        <v>2.3036413886438276E-3</v>
      </c>
      <c r="AI6" s="10">
        <f>($F$7+$F$8+$F$9)*[3]overall!AQ20</f>
        <v>1.4647939918316893E-2</v>
      </c>
      <c r="AJ6" s="10">
        <f>($F$7+$F$8+$F$9)*[3]overall!AR20</f>
        <v>2.904068480848847E-3</v>
      </c>
    </row>
    <row r="7" spans="1:37">
      <c r="A7" s="3" t="s">
        <v>162</v>
      </c>
      <c r="B7" s="2">
        <v>80</v>
      </c>
      <c r="C7" s="2">
        <v>0.8</v>
      </c>
      <c r="D7" s="2">
        <v>6840</v>
      </c>
      <c r="E7" s="2">
        <v>0.6</v>
      </c>
      <c r="F7" s="4">
        <f>B7*C7/1000000000*D7*1000/K20*K23/E7/1000</f>
        <v>2.8308480000000004E-3</v>
      </c>
      <c r="G7" s="2"/>
      <c r="M7" s="3" t="s">
        <v>160</v>
      </c>
      <c r="N7" s="10">
        <f>F11*'[2]Jian''s'!$D$4</f>
        <v>3.838655237013149E-3</v>
      </c>
      <c r="O7" s="10">
        <f>$F$11*[1]PbI2!M18</f>
        <v>4.564611525436902E-2</v>
      </c>
      <c r="P7" s="10">
        <f>$F$11*[1]PbI2!N18</f>
        <v>8.8046073525779227E-4</v>
      </c>
      <c r="Q7" s="10">
        <f>$F$11*[1]PbI2!O18</f>
        <v>3.2783364699098239E-3</v>
      </c>
      <c r="R7" s="10">
        <f>$F$11*[1]PbI2!P18</f>
        <v>8.7015914465845103E-4</v>
      </c>
      <c r="S7" s="10">
        <f>$F$11*[1]PbI2!Q18</f>
        <v>5.9935696643442065E-5</v>
      </c>
      <c r="T7" s="10">
        <f>$F$11*[1]PbI2!R18</f>
        <v>1.6639946725240682E-6</v>
      </c>
      <c r="U7" s="10">
        <f>$F$11*[1]PbI2!S18</f>
        <v>0.13114795215536751</v>
      </c>
      <c r="V7" s="10">
        <f>$F$11*[1]PbI2!T18</f>
        <v>1.61145392587419E-4</v>
      </c>
      <c r="W7" s="10">
        <f>$F$11*[1]PbI2!U18</f>
        <v>6.5771766145847746E-2</v>
      </c>
      <c r="X7" s="10">
        <f>$F$11*[1]PbI2!V18</f>
        <v>4.3385242610231789E-6</v>
      </c>
      <c r="Y7" s="10">
        <f>$F$11*[1]PbI2!W18</f>
        <v>5.3170985406495428E-4</v>
      </c>
      <c r="Z7" s="10">
        <f>$F$11*[1]PbI2!X18</f>
        <v>5.5770460631328885E-7</v>
      </c>
      <c r="AA7" s="10">
        <f>$F$11*[1]PbI2!Y18</f>
        <v>3.7532319629124157E-10</v>
      </c>
      <c r="AB7" s="10">
        <f>$F$11*[1]PbI2!Z18</f>
        <v>9.291200678874073E-6</v>
      </c>
      <c r="AC7" s="10">
        <f>$F$11*[1]PbI2!AA18</f>
        <v>1.3077772388516378E-5</v>
      </c>
      <c r="AD7" s="10">
        <f>$F$11*[1]PbI2!AB18</f>
        <v>2.6285162850087934E-5</v>
      </c>
      <c r="AE7" s="10">
        <f>$F$11*[1]PbI2!AC18</f>
        <v>4.5219845062849262E-6</v>
      </c>
      <c r="AF7" s="10">
        <f>$F$11*[1]PbI2!AD18</f>
        <v>3.3813391904207474E-5</v>
      </c>
      <c r="AG7" s="10">
        <f>$F$11*[1]PbI2!AE18</f>
        <v>9.8737070366919367E-6</v>
      </c>
      <c r="AH7" s="10">
        <f>$F$11*[1]PbI2!AF18</f>
        <v>1.6079510428243838E-4</v>
      </c>
      <c r="AI7" s="10">
        <f>$F$11*[1]PbI2!AG18</f>
        <v>1.0265278997801074E-3</v>
      </c>
      <c r="AJ7" s="10">
        <f>$F$11*[1]PbI2!AH18</f>
        <v>1.2902034290685808E-4</v>
      </c>
    </row>
    <row r="8" spans="1:37">
      <c r="A8" s="3" t="s">
        <v>21</v>
      </c>
      <c r="B8" s="2" t="s">
        <v>7</v>
      </c>
      <c r="C8" s="2" t="s">
        <v>7</v>
      </c>
      <c r="D8" s="2" t="s">
        <v>7</v>
      </c>
      <c r="E8" s="2">
        <v>0.6</v>
      </c>
      <c r="F8" s="4">
        <f>F7/K23*155/[3]overall!$S$9*[3]overall!$S$6</f>
        <v>8.2807361963190204E-3</v>
      </c>
      <c r="G8" s="1" t="s">
        <v>28</v>
      </c>
      <c r="J8" t="s">
        <v>36</v>
      </c>
      <c r="M8" s="3" t="s">
        <v>57</v>
      </c>
      <c r="N8" s="10">
        <f>F12*[2]production!$D$75</f>
        <v>4.9592742707200007E-3</v>
      </c>
      <c r="O8" s="10">
        <f>$F$12*[2]production!M75</f>
        <v>0.13488868978770066</v>
      </c>
      <c r="P8" s="10">
        <f>$F$12*[2]production!N75</f>
        <v>2.0184100685913045E-4</v>
      </c>
      <c r="Q8" s="10">
        <f>$F$12*[2]production!O75</f>
        <v>4.4888607948800003E-3</v>
      </c>
      <c r="R8" s="10">
        <f>$F$12*[2]production!P75</f>
        <v>3.0185153580521745E-3</v>
      </c>
      <c r="S8" s="10">
        <f>$F$12*[2]production!Q75</f>
        <v>6.3162628861773923E-5</v>
      </c>
      <c r="T8" s="10">
        <f>$F$12*[2]production!R75</f>
        <v>1.7039055542539133E-6</v>
      </c>
      <c r="U8" s="10">
        <f>$F$12*[2]production!S75</f>
        <v>0.10288951488333914</v>
      </c>
      <c r="V8" s="10">
        <f>$F$12*[2]production!T75</f>
        <v>4.4427554210504352E-4</v>
      </c>
      <c r="W8" s="10">
        <f>$F$12*[2]production!U75</f>
        <v>6.684065905975653E-2</v>
      </c>
      <c r="X8" s="10">
        <f>$F$12*[2]production!V75</f>
        <v>2.1660859276243481E-5</v>
      </c>
      <c r="Y8" s="10">
        <f>$F$12*[2]production!W75</f>
        <v>2.8904256164730439E-4</v>
      </c>
      <c r="Z8" s="10">
        <f>$F$12*[2]production!X75</f>
        <v>1.8953468527304351E-6</v>
      </c>
      <c r="AA8" s="10">
        <f>$F$12*[2]production!Y75</f>
        <v>9.0208803795478279E-10</v>
      </c>
      <c r="AB8" s="10">
        <f>$F$12*[2]production!Z75</f>
        <v>1.2510675855805219E-5</v>
      </c>
      <c r="AC8" s="10">
        <f>$F$12*[2]production!AA75</f>
        <v>1.5175427800375655E-5</v>
      </c>
      <c r="AD8" s="10">
        <f>$F$12*[2]production!AB75</f>
        <v>3.1875106192695658E-5</v>
      </c>
      <c r="AE8" s="10">
        <f>$F$12*[2]production!AC75</f>
        <v>3.1875106192695658E-5</v>
      </c>
      <c r="AF8" s="10">
        <f>$F$12*[2]production!AD75</f>
        <v>3.8307325827339133E-5</v>
      </c>
      <c r="AG8" s="10">
        <f>$F$12*[2]production!AE75</f>
        <v>1.3407477375332175E-5</v>
      </c>
      <c r="AH8" s="10">
        <f>$F$12*[2]production!AF75</f>
        <v>1.9972639948800003E-4</v>
      </c>
      <c r="AI8" s="10">
        <f>$F$12*[2]production!AG75</f>
        <v>8.8700846080000016E-4</v>
      </c>
      <c r="AJ8" s="10">
        <f>$F$12*[2]production!AH75</f>
        <v>3.753254755283479E-4</v>
      </c>
    </row>
    <row r="9" spans="1:37">
      <c r="A9" s="3" t="s">
        <v>22</v>
      </c>
      <c r="B9" s="2" t="s">
        <v>7</v>
      </c>
      <c r="C9" s="2" t="s">
        <v>7</v>
      </c>
      <c r="D9" s="2" t="s">
        <v>7</v>
      </c>
      <c r="E9" s="2">
        <v>0.6</v>
      </c>
      <c r="F9" s="4">
        <f>F8/[3]overall!$S$6*[3]overall!$S$7</f>
        <v>2.0467028121600003E-3</v>
      </c>
      <c r="G9" s="1"/>
      <c r="H9" s="2"/>
      <c r="M9" s="3" t="s">
        <v>95</v>
      </c>
      <c r="N9" s="10">
        <f>F13*'[2]Jian''s'!$D$5</f>
        <v>4.6867017566034591E-2</v>
      </c>
      <c r="O9" s="10">
        <f>$F$13*[1]CH3NH3I!M17</f>
        <v>0.99552313780157675</v>
      </c>
      <c r="P9" s="10">
        <f>$F$13*[1]CH3NH3I!N17</f>
        <v>4.6815197447724263E-3</v>
      </c>
      <c r="Q9" s="10">
        <f>$F$13*[1]CH3NH3I!O17</f>
        <v>4.288880542484913E-2</v>
      </c>
      <c r="R9" s="10">
        <f>$F$13*[1]CH3NH3I!P17</f>
        <v>1.9780001405481216E-2</v>
      </c>
      <c r="S9" s="10">
        <f>$F$13*[1]CH3NH3I!Q17</f>
        <v>1.6167346889563747E-3</v>
      </c>
      <c r="T9" s="10">
        <f>$F$13*[1]CH3NH3I!R17</f>
        <v>3.8059921509514613E-5</v>
      </c>
      <c r="U9" s="10">
        <f>$F$13*[1]CH3NH3I!S17</f>
        <v>1.8967309789652951</v>
      </c>
      <c r="V9" s="10">
        <f>$F$13*[1]CH3NH3I!T17</f>
        <v>4.5852209380064408E-3</v>
      </c>
      <c r="W9" s="10">
        <f>$F$13*[1]CH3NH3I!U17</f>
        <v>1.4428042345239356</v>
      </c>
      <c r="X9" s="10">
        <f>$F$13*[1]CH3NH3I!V17</f>
        <v>6.0923701199761482E-5</v>
      </c>
      <c r="Y9" s="10">
        <f>$F$13*[1]CH3NH3I!W17</f>
        <v>3.4262178182182467E-3</v>
      </c>
      <c r="Z9" s="10">
        <f>$F$13*[1]CH3NH3I!X17</f>
        <v>9.0462990731067385E-6</v>
      </c>
      <c r="AA9" s="10">
        <f>$F$13*[1]CH3NH3I!Y17</f>
        <v>1.5506908089962554E-8</v>
      </c>
      <c r="AB9" s="10">
        <f>$F$13*[1]CH3NH3I!Z17</f>
        <v>1.3997782386337507E-4</v>
      </c>
      <c r="AC9" s="10">
        <f>$F$13*[1]CH3NH3I!AA17</f>
        <v>1.8848927204675016E-4</v>
      </c>
      <c r="AD9" s="10">
        <f>$F$13*[1]CH3NH3I!AB17</f>
        <v>3.5522171786151461E-4</v>
      </c>
      <c r="AE9" s="10">
        <f>$F$13*[1]CH3NH3I!AC17</f>
        <v>6.7393764443286839E-5</v>
      </c>
      <c r="AF9" s="10">
        <f>$F$13*[1]CH3NH3I!AD17</f>
        <v>6.4746673540808596E-4</v>
      </c>
      <c r="AG9" s="10">
        <f>$F$13*[1]CH3NH3I!AE17</f>
        <v>8.4097469761152549E-4</v>
      </c>
      <c r="AH9" s="10">
        <f>$F$13*[1]CH3NH3I!AF17</f>
        <v>2.6858143206354205E-3</v>
      </c>
      <c r="AI9" s="10">
        <f>$F$13*[1]CH3NH3I!AG17</f>
        <v>1.4802256520472273E-2</v>
      </c>
      <c r="AJ9" s="10">
        <f>$F$13*[1]CH3NH3I!AH17</f>
        <v>2.5308082732422182E-3</v>
      </c>
    </row>
    <row r="10" spans="1:37">
      <c r="A10" s="8" t="s">
        <v>13</v>
      </c>
      <c r="B10" s="2"/>
      <c r="C10" s="2"/>
      <c r="D10" s="2"/>
      <c r="E10" s="2"/>
      <c r="F10" s="4"/>
      <c r="G10" s="2"/>
      <c r="H10" s="2"/>
      <c r="M10" s="3" t="s">
        <v>15</v>
      </c>
      <c r="N10" s="10">
        <f>F14*[2]production!$D$76</f>
        <v>8.3180559359999993E-3</v>
      </c>
      <c r="O10" s="10">
        <f>$F$14*[2]production!M76</f>
        <v>0.27495055147511466</v>
      </c>
      <c r="P10" s="10">
        <f>$F$14*[2]production!N76</f>
        <v>1.6727669247999997E-4</v>
      </c>
      <c r="Q10" s="10">
        <f>$F$14*[2]production!O76</f>
        <v>7.2471534933333326E-3</v>
      </c>
      <c r="R10" s="10">
        <f>$F$14*[2]production!P76</f>
        <v>6.2928614399999994E-3</v>
      </c>
      <c r="S10" s="10">
        <f>$F$14*[2]production!Q76</f>
        <v>4.2253045759999993E-5</v>
      </c>
      <c r="T10" s="10">
        <f>$F$14*[2]production!R76</f>
        <v>1.1969418751999998E-6</v>
      </c>
      <c r="U10" s="10">
        <f>$F$14*[2]production!S76</f>
        <v>6.9638266879999994E-2</v>
      </c>
      <c r="V10" s="10">
        <f>$F$14*[2]production!T76</f>
        <v>1.679645115733333E-4</v>
      </c>
      <c r="W10" s="10">
        <f>$F$14*[2]production!U76</f>
        <v>5.1850627413333322E-2</v>
      </c>
      <c r="X10" s="10">
        <f>$F$14*[2]production!V76</f>
        <v>5.095327402666666E-6</v>
      </c>
      <c r="Y10" s="10">
        <f>$F$14*[2]production!W76</f>
        <v>2.9422714367999996E-4</v>
      </c>
      <c r="Z10" s="10">
        <f>$F$14*[2]production!X76</f>
        <v>6.7000867839999995E-7</v>
      </c>
      <c r="AA10" s="10">
        <f>$F$14*[2]production!Y76</f>
        <v>2.9480564053333329E-10</v>
      </c>
      <c r="AB10" s="10">
        <f>$F$14*[2]production!Z76</f>
        <v>1.0978230442666665E-5</v>
      </c>
      <c r="AC10" s="10">
        <f>$F$14*[2]production!AA76</f>
        <v>3.5824898047999993E-5</v>
      </c>
      <c r="AD10" s="10">
        <f>$F$14*[2]production!AB76</f>
        <v>3.0804274175999997E-5</v>
      </c>
      <c r="AE10" s="10">
        <f>$F$14*[2]production!AC76</f>
        <v>2.3871877631999997E-6</v>
      </c>
      <c r="AF10" s="10">
        <f>$F$14*[2]production!AD76</f>
        <v>2.3720648533333332E-5</v>
      </c>
      <c r="AG10" s="10">
        <f>$F$14*[2]production!AE76</f>
        <v>1.9251646463999996E-5</v>
      </c>
      <c r="AH10" s="10">
        <f>$F$14*[2]production!AF76</f>
        <v>2.4992430591999995E-4</v>
      </c>
      <c r="AI10" s="10">
        <f>$F$14*[2]production!AG76</f>
        <v>7.5459676159999993E-4</v>
      </c>
      <c r="AJ10" s="10">
        <f>$F$14*[2]production!AH76</f>
        <v>7.6821649066666654E-4</v>
      </c>
    </row>
    <row r="11" spans="1:37" ht="15" customHeight="1">
      <c r="A11" s="3" t="s">
        <v>160</v>
      </c>
      <c r="B11" s="2">
        <f>320*96/300</f>
        <v>102.4</v>
      </c>
      <c r="C11" s="2">
        <v>0.8</v>
      </c>
      <c r="D11" s="2">
        <v>6160</v>
      </c>
      <c r="E11" s="2">
        <v>0.6</v>
      </c>
      <c r="F11" s="4">
        <f>B11*C11*D11/1000000000/E11</f>
        <v>8.4104533333333349E-4</v>
      </c>
      <c r="G11" s="2"/>
      <c r="H11" s="2"/>
      <c r="M11" s="48" t="str">
        <f>A15</f>
        <v>Nitrogen</v>
      </c>
      <c r="N11" s="69">
        <f>$F$15*[4]production!D69</f>
        <v>1.6371150925259081</v>
      </c>
      <c r="O11" s="69">
        <f>$F$15*[4]production!M69</f>
        <v>22.304788348898221</v>
      </c>
      <c r="P11" s="69">
        <f>$F$15*[4]production!N69</f>
        <v>6.438453147042654E-2</v>
      </c>
      <c r="Q11" s="69">
        <f>$F$15*[4]production!O69</f>
        <v>1.5111885214792209</v>
      </c>
      <c r="R11" s="69">
        <f>$F$15*[4]production!P69</f>
        <v>0.42776716250437585</v>
      </c>
      <c r="S11" s="69">
        <f>$F$15*[4]production!Q69</f>
        <v>1.9766465691488846E-2</v>
      </c>
      <c r="T11" s="69">
        <f>$F$15*[4]production!R69</f>
        <v>8.0289945672340057E-4</v>
      </c>
      <c r="U11" s="69">
        <f>$F$15*[4]production!S69</f>
        <v>26.72604235246191</v>
      </c>
      <c r="V11" s="69">
        <f>$F$15*[4]production!T69</f>
        <v>0.16618475587619103</v>
      </c>
      <c r="W11" s="69">
        <f>$F$15*[4]production!U69</f>
        <v>22.851753768281402</v>
      </c>
      <c r="X11" s="69">
        <f>$F$15*[4]production!V69</f>
        <v>1.493840960654532E-3</v>
      </c>
      <c r="Y11" s="69">
        <f>$F$15*[4]production!W69</f>
        <v>1.671740545256311E-2</v>
      </c>
      <c r="Z11" s="69">
        <f>$F$15*[4]production!X69</f>
        <v>1.7755472345285455E-4</v>
      </c>
      <c r="AA11" s="69">
        <f>$F$15*[4]production!Y69</f>
        <v>7.4232233167493881E-8</v>
      </c>
      <c r="AB11" s="69">
        <f>$F$15*[4]production!Z69</f>
        <v>5.5167333490079807E-3</v>
      </c>
      <c r="AC11" s="69">
        <f>$F$15*[4]production!AA69</f>
        <v>4.1324119289816042E-3</v>
      </c>
      <c r="AD11" s="69">
        <f>$F$15*[4]production!AB69</f>
        <v>8.0864714253880941E-3</v>
      </c>
      <c r="AE11" s="69">
        <f>$F$15*[4]production!AC69</f>
        <v>5.1819741933347677E-4</v>
      </c>
      <c r="AF11" s="69">
        <f>$F$15*[4]production!AD69</f>
        <v>9.8407348051698842E-3</v>
      </c>
      <c r="AG11" s="69">
        <f>$F$15*[4]production!AE69</f>
        <v>6.0044157818305594E-3</v>
      </c>
      <c r="AH11" s="69">
        <f>$F$15*[4]production!AF69</f>
        <v>6.2583589914931723E-2</v>
      </c>
      <c r="AI11" s="69">
        <f>$F$15*[4]production!AG69</f>
        <v>0.24822687486074366</v>
      </c>
      <c r="AJ11" s="69">
        <f>$F$15*[4]production!AH69</f>
        <v>5.2070550041656435E-2</v>
      </c>
      <c r="AK11" s="10"/>
    </row>
    <row r="12" spans="1:37" ht="15" customHeight="1">
      <c r="A12" s="3" t="s">
        <v>57</v>
      </c>
      <c r="B12" s="2" t="s">
        <v>7</v>
      </c>
      <c r="C12" s="2" t="s">
        <v>7</v>
      </c>
      <c r="D12" s="2" t="s">
        <v>7</v>
      </c>
      <c r="E12" s="2">
        <v>0.6</v>
      </c>
      <c r="F12" s="4">
        <f>F11/0.46*0.948</f>
        <v>1.7332847304347828E-3</v>
      </c>
      <c r="G12" s="2" t="s">
        <v>14</v>
      </c>
      <c r="H12" s="4">
        <f>F11*1000/460*0.948</f>
        <v>1.7332847304347831E-3</v>
      </c>
      <c r="I12" t="b">
        <f>F12=H12</f>
        <v>1</v>
      </c>
      <c r="M12" s="3" t="s">
        <v>55</v>
      </c>
      <c r="N12" s="10">
        <f>(F17+F18)*[5]overall!$Q$20</f>
        <v>8.5029392225674544E-2</v>
      </c>
      <c r="O12" s="10">
        <f>($F$17+$F$18)*[5]overall!R20</f>
        <v>2.0283601209157971</v>
      </c>
      <c r="P12" s="10">
        <f>($F$17+$F$18)*[5]overall!S20</f>
        <v>5.0477812142374952E-3</v>
      </c>
      <c r="Q12" s="10">
        <f>($F$17+$F$18)*[5]overall!T20</f>
        <v>7.2564505430866025E-2</v>
      </c>
      <c r="R12" s="10">
        <f>($F$17+$F$18)*[5]overall!U20</f>
        <v>4.438439969379749E-2</v>
      </c>
      <c r="S12" s="10">
        <f>($F$17+$F$18)*[5]overall!V20</f>
        <v>2.5952617334179051E-3</v>
      </c>
      <c r="T12" s="10">
        <f>($F$17+$F$18)*[5]overall!W20</f>
        <v>3.6272953795962656E-5</v>
      </c>
      <c r="U12" s="10">
        <f>($F$17+$F$18)*[5]overall!X20</f>
        <v>1.4693008109703951</v>
      </c>
      <c r="V12" s="10">
        <f>($F$17+$F$18)*[5]overall!Y20</f>
        <v>4.17967597979117E-3</v>
      </c>
      <c r="W12" s="10">
        <f>($F$17+$F$18)*[5]overall!Z20</f>
        <v>1.1510393237763406</v>
      </c>
      <c r="X12" s="10">
        <f>($F$17+$F$18)*[5]overall!AA20</f>
        <v>7.5784775608485482E-5</v>
      </c>
      <c r="Y12" s="10">
        <f>($F$17+$F$18)*[5]overall!AB20</f>
        <v>4.5109577033945374E-3</v>
      </c>
      <c r="Z12" s="10">
        <f>($F$17+$F$18)*[5]overall!AC20</f>
        <v>7.3482338145854898E-6</v>
      </c>
      <c r="AA12" s="10">
        <f>($F$17+$F$18)*[5]overall!AD20</f>
        <v>1.7893924955361907E-8</v>
      </c>
      <c r="AB12" s="10">
        <f>($F$17+$F$18)*[5]overall!AE20</f>
        <v>2.2331068228391668E-4</v>
      </c>
      <c r="AC12" s="10">
        <f>($F$17+$F$18)*[5]overall!AF20</f>
        <v>5.6458535187220915E-4</v>
      </c>
      <c r="AD12" s="10">
        <f>($F$17+$F$18)*[5]overall!AG20</f>
        <v>4.0583761858677586E-4</v>
      </c>
      <c r="AE12" s="10">
        <f>($F$17+$F$18)*[5]overall!AH20</f>
        <v>7.7530367548648063E-5</v>
      </c>
      <c r="AF12" s="10">
        <f>($F$17+$F$18)*[5]overall!AI20</f>
        <v>7.4681662477673932E-4</v>
      </c>
      <c r="AG12" s="10">
        <f>($F$17+$F$18)*[5]overall!AJ20</f>
        <v>2.538395906416382E-4</v>
      </c>
      <c r="AH12" s="10">
        <f>($F$17+$F$18)*[5]overall!AK20</f>
        <v>3.3471725714354092E-3</v>
      </c>
      <c r="AI12" s="10">
        <f>($F$17+$F$18)*[5]overall!AL20</f>
        <v>1.3094112908093413E-2</v>
      </c>
      <c r="AJ12" s="10">
        <f>($F$17+$F$18)*[5]overall!AM20</f>
        <v>5.5314624616756751E-3</v>
      </c>
    </row>
    <row r="13" spans="1:37">
      <c r="A13" s="3" t="s">
        <v>161</v>
      </c>
      <c r="B13" s="2">
        <f>320/300*204</f>
        <v>217.6</v>
      </c>
      <c r="C13" s="2">
        <v>0.8</v>
      </c>
      <c r="D13" s="2">
        <v>1000</v>
      </c>
      <c r="E13" s="2">
        <v>0.6</v>
      </c>
      <c r="F13" s="4">
        <f>B13*C13*D13/1000000000/E13</f>
        <v>2.901333333333333E-4</v>
      </c>
      <c r="G13" s="2"/>
      <c r="H13" s="2"/>
      <c r="M13" s="3" t="s">
        <v>27</v>
      </c>
      <c r="N13" s="10">
        <f>F20*[2]production!$D$78</f>
        <v>7.007356097560976E-3</v>
      </c>
      <c r="O13" s="10">
        <f>$F$20*[2]production!M78</f>
        <v>6.5261304301170733E-2</v>
      </c>
      <c r="P13" s="10">
        <f>$F$20*[2]production!N78</f>
        <v>9.7510829268292686E-5</v>
      </c>
      <c r="Q13" s="10">
        <f>$F$20*[2]production!O78</f>
        <v>6.4433853658536584E-3</v>
      </c>
      <c r="R13" s="10">
        <f>$F$20*[2]production!P78</f>
        <v>1.4504663414634147E-3</v>
      </c>
      <c r="S13" s="10">
        <f>$F$20*[2]production!Q78</f>
        <v>6.2695317073170734E-5</v>
      </c>
      <c r="T13" s="10">
        <f>$F$20*[2]production!R78</f>
        <v>1.76364E-6</v>
      </c>
      <c r="U13" s="10">
        <f>$F$20*[2]production!S78</f>
        <v>7.8660878048780483E-2</v>
      </c>
      <c r="V13" s="10">
        <f>$F$20*[2]production!T78</f>
        <v>6.9267512195121954E-5</v>
      </c>
      <c r="W13" s="10">
        <f>$F$20*[2]production!U78</f>
        <v>8.3944975609756098E-2</v>
      </c>
      <c r="X13" s="10">
        <f>$F$20*[2]production!V78</f>
        <v>6.2105268292682925E-6</v>
      </c>
      <c r="Y13" s="10">
        <f>$F$20*[2]production!W78</f>
        <v>7.0084097560975617E-5</v>
      </c>
      <c r="Z13" s="10">
        <f>$F$20*[2]production!X78</f>
        <v>4.3558243902439025E-7</v>
      </c>
      <c r="AA13" s="10">
        <f>$F$20*[2]production!Y78</f>
        <v>1.8822556097560975E-10</v>
      </c>
      <c r="AB13" s="10">
        <f>$F$20*[2]production!Z78</f>
        <v>1.4607395121951219E-5</v>
      </c>
      <c r="AC13" s="10">
        <f>$F$20*[2]production!AA78</f>
        <v>1.8946360975609756E-5</v>
      </c>
      <c r="AD13" s="10">
        <f>$F$20*[2]production!AB78</f>
        <v>3.4886634146341461E-5</v>
      </c>
      <c r="AE13" s="10">
        <f>$F$20*[2]production!AC78</f>
        <v>1.6350936585365853E-6</v>
      </c>
      <c r="AF13" s="10">
        <f>$F$20*[2]production!AD78</f>
        <v>5.1297365853658533E-5</v>
      </c>
      <c r="AG13" s="10">
        <f>$F$20*[2]production!AE78</f>
        <v>1.7398536585365853E-5</v>
      </c>
      <c r="AH13" s="10">
        <f>$F$20*[2]production!AF78</f>
        <v>2.6886731707317072E-4</v>
      </c>
      <c r="AI13" s="10">
        <f>$F$20*[2]production!AG78</f>
        <v>7.9453756097560982E-4</v>
      </c>
      <c r="AJ13" s="10">
        <f>$F$20*[2]production!AH78</f>
        <v>1.7718585365853658E-4</v>
      </c>
    </row>
    <row r="14" spans="1:37">
      <c r="A14" s="3" t="s">
        <v>15</v>
      </c>
      <c r="B14" s="2" t="s">
        <v>7</v>
      </c>
      <c r="C14" s="2" t="s">
        <v>7</v>
      </c>
      <c r="D14" s="2" t="s">
        <v>7</v>
      </c>
      <c r="E14" s="2">
        <v>0.6</v>
      </c>
      <c r="F14" s="4">
        <f>F13*1000000/50*0.785/1000</f>
        <v>4.5550933333333328E-3</v>
      </c>
      <c r="G14" s="2" t="s">
        <v>16</v>
      </c>
      <c r="H14" s="2"/>
      <c r="M14" s="9" t="s">
        <v>47</v>
      </c>
      <c r="N14" s="10">
        <f>SUM(N15:N25)</f>
        <v>0</v>
      </c>
      <c r="O14" s="10">
        <f>SUM(O15:O25)</f>
        <v>0</v>
      </c>
      <c r="P14" s="10">
        <f>SUM(P15:P25)</f>
        <v>0</v>
      </c>
      <c r="Q14" s="10">
        <f t="shared" ref="Q14:AJ14" si="0">SUM(Q15:Q25)</f>
        <v>0</v>
      </c>
      <c r="R14" s="10">
        <f t="shared" si="0"/>
        <v>0</v>
      </c>
      <c r="S14" s="10">
        <f t="shared" si="0"/>
        <v>2.7206921490436287E-5</v>
      </c>
      <c r="T14" s="10">
        <f t="shared" si="0"/>
        <v>0</v>
      </c>
      <c r="U14" s="10">
        <f t="shared" si="0"/>
        <v>5.0124785560202348E-2</v>
      </c>
      <c r="V14" s="10">
        <f t="shared" si="0"/>
        <v>0</v>
      </c>
      <c r="W14" s="10">
        <f t="shared" si="0"/>
        <v>1.0105691890333567E-3</v>
      </c>
      <c r="X14" s="10">
        <f t="shared" si="0"/>
        <v>0</v>
      </c>
      <c r="Y14" s="10">
        <f t="shared" si="0"/>
        <v>0</v>
      </c>
      <c r="Z14" s="10">
        <f t="shared" si="0"/>
        <v>0</v>
      </c>
      <c r="AA14" s="10">
        <f t="shared" si="0"/>
        <v>0</v>
      </c>
      <c r="AB14" s="10">
        <f t="shared" si="0"/>
        <v>0</v>
      </c>
      <c r="AC14" s="10">
        <f t="shared" si="0"/>
        <v>6.6639732227933464E-3</v>
      </c>
      <c r="AD14" s="10">
        <f t="shared" si="0"/>
        <v>0</v>
      </c>
      <c r="AE14" s="10">
        <f t="shared" si="0"/>
        <v>8.833030089755125E-5</v>
      </c>
      <c r="AF14" s="10">
        <f t="shared" si="0"/>
        <v>0</v>
      </c>
      <c r="AG14" s="10">
        <f t="shared" si="0"/>
        <v>0</v>
      </c>
      <c r="AH14" s="10">
        <f t="shared" si="0"/>
        <v>0</v>
      </c>
      <c r="AI14" s="10">
        <f t="shared" si="0"/>
        <v>5.5039459986704373E-7</v>
      </c>
      <c r="AJ14" s="10">
        <f t="shared" si="0"/>
        <v>0</v>
      </c>
    </row>
    <row r="15" spans="1:37">
      <c r="A15" s="48" t="s">
        <v>169</v>
      </c>
      <c r="B15" s="48"/>
      <c r="C15" s="48"/>
      <c r="D15" s="48"/>
      <c r="E15" s="48"/>
      <c r="F15" s="66">
        <f>'energy consumption'!F12*1000/7.4*4.91/1000</f>
        <v>3.4834459487327023</v>
      </c>
      <c r="G15" s="48" t="s">
        <v>170</v>
      </c>
      <c r="H15" s="37" t="s">
        <v>179</v>
      </c>
      <c r="M15" s="3" t="s">
        <v>162</v>
      </c>
    </row>
    <row r="16" spans="1:37" ht="15" customHeight="1">
      <c r="A16" s="8" t="s">
        <v>12</v>
      </c>
      <c r="B16" s="2"/>
      <c r="C16" s="2"/>
      <c r="D16" s="2"/>
      <c r="E16" s="2"/>
      <c r="F16" s="4"/>
      <c r="G16" s="2"/>
      <c r="H16" s="2"/>
      <c r="M16" s="3" t="s">
        <v>21</v>
      </c>
      <c r="N16" s="10">
        <f>$F$24*'[2]direct emissions'!D33</f>
        <v>0</v>
      </c>
      <c r="O16" s="10">
        <f>$F$24*'[2]direct emissions'!M33</f>
        <v>0</v>
      </c>
      <c r="P16" s="10">
        <f>$F$24*'[2]direct emissions'!N33</f>
        <v>0</v>
      </c>
      <c r="Q16" s="10">
        <f>$F$24*'[2]direct emissions'!O33</f>
        <v>0</v>
      </c>
      <c r="R16" s="10">
        <f>$F$24*'[2]direct emissions'!P33</f>
        <v>0</v>
      </c>
      <c r="S16" s="10">
        <f>$F$24*'[2]direct emissions'!Q33</f>
        <v>1.2318738644377603E-6</v>
      </c>
      <c r="T16" s="10">
        <f>$F$24*'[2]direct emissions'!R33</f>
        <v>0</v>
      </c>
      <c r="U16" s="10">
        <f>$F$24*'[2]direct emissions'!S33</f>
        <v>1.7688243082398919E-3</v>
      </c>
      <c r="V16" s="10">
        <f>$F$24*'[2]direct emissions'!T33</f>
        <v>0</v>
      </c>
      <c r="W16" s="10">
        <f>$F$24*'[2]direct emissions'!U33</f>
        <v>1.3458509872082792E-7</v>
      </c>
      <c r="X16" s="10">
        <f>$F$24*'[2]direct emissions'!V33</f>
        <v>0</v>
      </c>
      <c r="Y16" s="10">
        <f>$F$24*'[2]direct emissions'!W33</f>
        <v>0</v>
      </c>
      <c r="Z16" s="10">
        <f>$F$24*'[2]direct emissions'!X33</f>
        <v>0</v>
      </c>
      <c r="AA16" s="10">
        <f>$F$24*'[2]direct emissions'!Y33</f>
        <v>0</v>
      </c>
      <c r="AB16" s="10">
        <f>$F$24*'[2]direct emissions'!Z33</f>
        <v>0</v>
      </c>
      <c r="AC16" s="10">
        <f>$F$24*'[2]direct emissions'!AA33</f>
        <v>5.2174233128834367E-3</v>
      </c>
      <c r="AD16" s="10">
        <f>$F$24*'[2]direct emissions'!AB33</f>
        <v>0</v>
      </c>
      <c r="AE16" s="10">
        <f>$F$24*'[2]direct emissions'!AC33</f>
        <v>2.5884780116127418E-6</v>
      </c>
      <c r="AF16" s="10">
        <f>$F$24*'[2]direct emissions'!AD33</f>
        <v>0</v>
      </c>
      <c r="AG16" s="10">
        <f>$F$24*'[2]direct emissions'!AE33</f>
        <v>0</v>
      </c>
      <c r="AH16" s="10">
        <f>$F$24*'[2]direct emissions'!AF33</f>
        <v>0</v>
      </c>
      <c r="AI16" s="10">
        <f>$F$24*'[2]direct emissions'!AG33</f>
        <v>0</v>
      </c>
      <c r="AJ16" s="10">
        <f>$F$24*'[2]direct emissions'!AH33</f>
        <v>0</v>
      </c>
    </row>
    <row r="17" spans="1:36" ht="15" customHeight="1">
      <c r="A17" s="3" t="s">
        <v>29</v>
      </c>
      <c r="B17" s="2">
        <v>70</v>
      </c>
      <c r="C17" s="2">
        <v>0.8</v>
      </c>
      <c r="D17" s="2">
        <v>5610</v>
      </c>
      <c r="E17" s="2">
        <v>0.6</v>
      </c>
      <c r="F17" s="5">
        <f>B17*C17*D17/E17/1000000000</f>
        <v>5.2360000000000004E-4</v>
      </c>
      <c r="G17" s="2" t="s">
        <v>32</v>
      </c>
      <c r="H17" s="2"/>
      <c r="M17" s="3" t="s">
        <v>22</v>
      </c>
      <c r="N17" s="10">
        <f>$F$25*'[2]direct emissions'!D34</f>
        <v>0</v>
      </c>
      <c r="O17" s="10">
        <f>$F$25*'[2]direct emissions'!M34</f>
        <v>0</v>
      </c>
      <c r="P17" s="10">
        <f>$F$25*'[2]direct emissions'!N34</f>
        <v>0</v>
      </c>
      <c r="Q17" s="10">
        <f>$F$25*'[2]direct emissions'!O34</f>
        <v>0</v>
      </c>
      <c r="R17" s="10">
        <f>$F$25*'[2]direct emissions'!P34</f>
        <v>0</v>
      </c>
      <c r="S17" s="10">
        <f>$F$25*'[2]direct emissions'!Q34</f>
        <v>1.4458654940852158E-5</v>
      </c>
      <c r="T17" s="10">
        <f>$F$25*'[2]direct emissions'!R34</f>
        <v>0</v>
      </c>
      <c r="U17" s="10">
        <f>$F$25*'[2]direct emissions'!S34</f>
        <v>0</v>
      </c>
      <c r="V17" s="10">
        <f>$F$25*'[2]direct emissions'!T34</f>
        <v>0</v>
      </c>
      <c r="W17" s="10">
        <f>$F$25*'[2]direct emissions'!U34</f>
        <v>5.576869050591462E-7</v>
      </c>
      <c r="X17" s="10">
        <f>$F$25*'[2]direct emissions'!V34</f>
        <v>0</v>
      </c>
      <c r="Y17" s="10">
        <f>$F$25*'[2]direct emissions'!W34</f>
        <v>0</v>
      </c>
      <c r="Z17" s="10">
        <f>$F$25*'[2]direct emissions'!X34</f>
        <v>0</v>
      </c>
      <c r="AA17" s="10">
        <f>$F$25*'[2]direct emissions'!Y34</f>
        <v>0</v>
      </c>
      <c r="AB17" s="10">
        <f>$F$25*'[2]direct emissions'!Z34</f>
        <v>0</v>
      </c>
      <c r="AC17" s="10">
        <f>$F$25*'[2]direct emissions'!AA34</f>
        <v>0</v>
      </c>
      <c r="AD17" s="10">
        <f>$F$25*'[2]direct emissions'!AB34</f>
        <v>0</v>
      </c>
      <c r="AE17" s="10">
        <f>$F$25*'[2]direct emissions'!AC34</f>
        <v>5.6756285293258754E-5</v>
      </c>
      <c r="AF17" s="10">
        <f>$F$25*'[2]direct emissions'!AD34</f>
        <v>0</v>
      </c>
      <c r="AG17" s="10">
        <f>$F$25*'[2]direct emissions'!AE34</f>
        <v>0</v>
      </c>
      <c r="AH17" s="10">
        <f>$F$25*'[2]direct emissions'!AF34</f>
        <v>0</v>
      </c>
      <c r="AI17" s="10">
        <f>$F$25*'[2]direct emissions'!AG34</f>
        <v>0</v>
      </c>
      <c r="AJ17" s="10">
        <f>$F$25*'[2]direct emissions'!AH34</f>
        <v>0</v>
      </c>
    </row>
    <row r="18" spans="1:36">
      <c r="A18" s="3" t="s">
        <v>30</v>
      </c>
      <c r="B18" s="2" t="s">
        <v>7</v>
      </c>
      <c r="C18" s="2" t="s">
        <v>7</v>
      </c>
      <c r="D18" s="2" t="s">
        <v>7</v>
      </c>
      <c r="E18" s="2">
        <v>0.6</v>
      </c>
      <c r="F18" s="5">
        <f>F17/2*98</f>
        <v>2.5656400000000003E-2</v>
      </c>
      <c r="G18" s="1" t="s">
        <v>31</v>
      </c>
      <c r="H18" s="2"/>
      <c r="M18" s="3" t="s">
        <v>160</v>
      </c>
      <c r="P18" s="10"/>
      <c r="Q18" s="10"/>
      <c r="R18" s="10"/>
      <c r="S18" s="10"/>
      <c r="T18" s="10"/>
      <c r="U18" s="10"/>
      <c r="V18" s="10"/>
      <c r="W18" s="10"/>
      <c r="X18" s="10"/>
      <c r="Y18" s="10"/>
      <c r="Z18" s="10"/>
      <c r="AA18" s="10"/>
      <c r="AB18" s="10"/>
      <c r="AC18" s="10"/>
      <c r="AD18" s="10"/>
      <c r="AE18" s="10"/>
      <c r="AF18" s="10"/>
      <c r="AG18" s="10"/>
      <c r="AH18" s="10"/>
      <c r="AI18" s="10"/>
      <c r="AJ18" s="10"/>
    </row>
    <row r="19" spans="1:36">
      <c r="A19" s="8" t="s">
        <v>18</v>
      </c>
      <c r="B19" s="2"/>
      <c r="C19" s="2"/>
      <c r="D19" s="2"/>
      <c r="E19" s="2"/>
      <c r="F19" s="4"/>
      <c r="G19" s="2"/>
      <c r="H19" s="2"/>
      <c r="M19" s="3" t="s">
        <v>57</v>
      </c>
      <c r="N19" s="10">
        <f>$F$27*'[2]direct emissions'!D28</f>
        <v>0</v>
      </c>
      <c r="O19" s="10">
        <f>$F$27*'[2]direct emissions'!M28</f>
        <v>0</v>
      </c>
      <c r="P19" s="10">
        <f>$F$27*'[2]direct emissions'!N28</f>
        <v>0</v>
      </c>
      <c r="Q19" s="10">
        <f>$F$27*'[2]direct emissions'!O28</f>
        <v>0</v>
      </c>
      <c r="R19" s="10">
        <f>$F$27*'[2]direct emissions'!P28</f>
        <v>0</v>
      </c>
      <c r="S19" s="10">
        <f>$F$27*'[2]direct emissions'!Q28</f>
        <v>0</v>
      </c>
      <c r="T19" s="10">
        <f>$F$27*'[2]direct emissions'!R28</f>
        <v>0</v>
      </c>
      <c r="U19" s="10">
        <f>$F$27*'[2]direct emissions'!S28</f>
        <v>0</v>
      </c>
      <c r="V19" s="10">
        <f>$F$27*'[2]direct emissions'!T28</f>
        <v>0</v>
      </c>
      <c r="W19" s="10">
        <f>$F$27*'[2]direct emissions'!U28</f>
        <v>0</v>
      </c>
      <c r="X19" s="10">
        <f>$F$27*'[2]direct emissions'!V28</f>
        <v>0</v>
      </c>
      <c r="Y19" s="10">
        <f>$F$27*'[2]direct emissions'!W28</f>
        <v>0</v>
      </c>
      <c r="Z19" s="10">
        <f>$F$27*'[2]direct emissions'!X28</f>
        <v>0</v>
      </c>
      <c r="AA19" s="10">
        <f>$F$27*'[2]direct emissions'!Y28</f>
        <v>0</v>
      </c>
      <c r="AB19" s="10">
        <f>$F$27*'[2]direct emissions'!Z28</f>
        <v>0</v>
      </c>
      <c r="AC19" s="10">
        <f>$F$27*'[2]direct emissions'!AA28</f>
        <v>0</v>
      </c>
      <c r="AD19" s="10">
        <f>$F$27*'[2]direct emissions'!AB28</f>
        <v>0</v>
      </c>
      <c r="AE19" s="10">
        <f>$F$27*'[2]direct emissions'!AC28</f>
        <v>0</v>
      </c>
      <c r="AF19" s="10">
        <f>$F$27*'[2]direct emissions'!AD28</f>
        <v>0</v>
      </c>
      <c r="AG19" s="10">
        <f>$F$27*'[2]direct emissions'!AE28</f>
        <v>0</v>
      </c>
      <c r="AH19" s="10">
        <f>$F$27*'[2]direct emissions'!AF28</f>
        <v>0</v>
      </c>
      <c r="AI19" s="10">
        <f>$F$27*'[2]direct emissions'!AG28</f>
        <v>0</v>
      </c>
      <c r="AJ19" s="10">
        <f>$F$27*'[2]direct emissions'!AH28</f>
        <v>0</v>
      </c>
    </row>
    <row r="20" spans="1:36">
      <c r="A20" s="3" t="s">
        <v>27</v>
      </c>
      <c r="B20" s="2">
        <v>100</v>
      </c>
      <c r="C20" s="2">
        <v>0.8</v>
      </c>
      <c r="D20" s="2">
        <v>2700</v>
      </c>
      <c r="E20" s="2">
        <v>0.82</v>
      </c>
      <c r="F20" s="4">
        <f>B20*C20*D20/E20/1000000000</f>
        <v>2.6341463414634146E-4</v>
      </c>
      <c r="G20" s="2" t="s">
        <v>174</v>
      </c>
      <c r="I20" t="s">
        <v>33</v>
      </c>
      <c r="J20" t="s">
        <v>34</v>
      </c>
      <c r="K20">
        <f>59+16</f>
        <v>75</v>
      </c>
      <c r="L20">
        <v>6840</v>
      </c>
      <c r="M20" s="3" t="s">
        <v>161</v>
      </c>
      <c r="P20" s="10"/>
      <c r="Q20" s="10"/>
      <c r="R20" s="10"/>
      <c r="S20" s="10"/>
      <c r="T20" s="10"/>
      <c r="U20" s="10"/>
      <c r="V20" s="10"/>
      <c r="W20" s="10"/>
      <c r="X20" s="10"/>
      <c r="Y20" s="10"/>
      <c r="Z20" s="10"/>
      <c r="AA20" s="10"/>
      <c r="AB20" s="10"/>
      <c r="AC20" s="10"/>
      <c r="AD20" s="10"/>
      <c r="AE20" s="10"/>
      <c r="AF20" s="10"/>
      <c r="AG20" s="10"/>
      <c r="AH20" s="10"/>
      <c r="AI20" s="10"/>
      <c r="AJ20" s="10"/>
    </row>
    <row r="21" spans="1:36">
      <c r="A21" s="9" t="s">
        <v>47</v>
      </c>
      <c r="H21" s="14" t="s">
        <v>84</v>
      </c>
      <c r="J21" t="s">
        <v>35</v>
      </c>
      <c r="K21">
        <f>59*2+16*3</f>
        <v>166</v>
      </c>
      <c r="L21">
        <v>4840</v>
      </c>
      <c r="M21" s="3" t="s">
        <v>15</v>
      </c>
      <c r="N21" s="10">
        <f>$F$29*'[2]direct emissions'!D24</f>
        <v>0</v>
      </c>
      <c r="O21" s="10">
        <f>$F$29*'[2]direct emissions'!M24</f>
        <v>0</v>
      </c>
      <c r="P21" s="10">
        <f>$F$29*'[2]direct emissions'!N24</f>
        <v>0</v>
      </c>
      <c r="Q21" s="10">
        <f>$F$29*'[2]direct emissions'!O24</f>
        <v>0</v>
      </c>
      <c r="R21" s="10">
        <f>$F$29*'[2]direct emissions'!P24</f>
        <v>0</v>
      </c>
      <c r="S21" s="10">
        <f>$F$29*'[2]direct emissions'!Q24</f>
        <v>0</v>
      </c>
      <c r="T21" s="10">
        <f>$F$29*'[2]direct emissions'!R24</f>
        <v>0</v>
      </c>
      <c r="U21" s="10">
        <f>$F$29*'[2]direct emissions'!S24</f>
        <v>0</v>
      </c>
      <c r="V21" s="10">
        <f>$F$29*'[2]direct emissions'!T24</f>
        <v>0</v>
      </c>
      <c r="W21" s="10">
        <f>$F$29*'[2]direct emissions'!U24</f>
        <v>0</v>
      </c>
      <c r="X21" s="10">
        <f>$F$29*'[2]direct emissions'!V24</f>
        <v>0</v>
      </c>
      <c r="Y21" s="10">
        <f>$F$29*'[2]direct emissions'!W24</f>
        <v>0</v>
      </c>
      <c r="Z21" s="10">
        <f>$F$29*'[2]direct emissions'!X24</f>
        <v>0</v>
      </c>
      <c r="AA21" s="10">
        <f>$F$29*'[2]direct emissions'!Y24</f>
        <v>0</v>
      </c>
      <c r="AB21" s="10">
        <f>$F$29*'[2]direct emissions'!Z24</f>
        <v>0</v>
      </c>
      <c r="AC21" s="10">
        <f>$F$29*'[2]direct emissions'!AA24</f>
        <v>1.4465499099099099E-3</v>
      </c>
      <c r="AD21" s="10">
        <f>$F$29*'[2]direct emissions'!AB24</f>
        <v>0</v>
      </c>
      <c r="AE21" s="10">
        <f>$F$29*'[2]direct emissions'!AC24</f>
        <v>0</v>
      </c>
      <c r="AF21" s="10">
        <f>$F$29*'[2]direct emissions'!AD24</f>
        <v>0</v>
      </c>
      <c r="AG21" s="10">
        <f>$F$29*'[2]direct emissions'!AE24</f>
        <v>0</v>
      </c>
      <c r="AH21" s="10">
        <f>$F$29*'[2]direct emissions'!AF24</f>
        <v>0</v>
      </c>
      <c r="AI21" s="10">
        <f>$F$29*'[2]direct emissions'!AG24</f>
        <v>5.5039459986704373E-7</v>
      </c>
      <c r="AJ21" s="10">
        <f>$F$29*'[2]direct emissions'!AH24</f>
        <v>0</v>
      </c>
    </row>
    <row r="22" spans="1:36">
      <c r="A22" s="48" t="s">
        <v>9</v>
      </c>
      <c r="B22" s="43"/>
      <c r="C22" s="43"/>
      <c r="D22" s="43"/>
      <c r="E22" s="43"/>
      <c r="F22" s="49">
        <f>F4</f>
        <v>2.5770000000000001E-2</v>
      </c>
      <c r="G22" s="48" t="s">
        <v>85</v>
      </c>
      <c r="H22" s="13" t="s">
        <v>88</v>
      </c>
      <c r="M22" s="3" t="s">
        <v>29</v>
      </c>
      <c r="P22" s="10"/>
      <c r="Q22" s="10"/>
      <c r="R22" s="10"/>
      <c r="S22" s="10"/>
      <c r="T22" s="10"/>
      <c r="U22" s="10"/>
      <c r="V22" s="10"/>
      <c r="W22" s="10"/>
      <c r="X22" s="10"/>
      <c r="Y22" s="10"/>
      <c r="Z22" s="10"/>
      <c r="AA22" s="10"/>
      <c r="AB22" s="10"/>
      <c r="AC22" s="10"/>
      <c r="AD22" s="10"/>
      <c r="AE22" s="10"/>
      <c r="AF22" s="10"/>
      <c r="AG22" s="10"/>
      <c r="AH22" s="10"/>
      <c r="AI22" s="10"/>
      <c r="AJ22" s="10"/>
    </row>
    <row r="23" spans="1:36">
      <c r="A23" s="3" t="s">
        <v>162</v>
      </c>
      <c r="F23" s="5">
        <f>F7*0.7</f>
        <v>1.9815936E-3</v>
      </c>
      <c r="G23" s="13" t="s">
        <v>86</v>
      </c>
      <c r="H23" s="13" t="s">
        <v>89</v>
      </c>
      <c r="J23" t="s">
        <v>20</v>
      </c>
      <c r="K23">
        <f>59+(14+16*3)*2+6*18</f>
        <v>291</v>
      </c>
      <c r="M23" s="3" t="s">
        <v>30</v>
      </c>
      <c r="N23" s="10">
        <f>$F$31*'[2]direct emissions'!D35</f>
        <v>0</v>
      </c>
      <c r="O23" s="10">
        <f>$F$31*'[2]direct emissions'!M35</f>
        <v>0</v>
      </c>
      <c r="P23" s="10">
        <f>$F$31*'[2]direct emissions'!N35</f>
        <v>0</v>
      </c>
      <c r="Q23" s="10">
        <f>$F$31*'[2]direct emissions'!O35</f>
        <v>0</v>
      </c>
      <c r="R23" s="10">
        <f>$F$31*'[2]direct emissions'!P35</f>
        <v>0</v>
      </c>
      <c r="S23" s="10">
        <f>$F$31*'[2]direct emissions'!Q35</f>
        <v>1.1516392685146369E-5</v>
      </c>
      <c r="T23" s="10">
        <f>$F$31*'[2]direct emissions'!R35</f>
        <v>0</v>
      </c>
      <c r="U23" s="10">
        <f>$F$31*'[2]direct emissions'!S35</f>
        <v>4.8355961251962454E-2</v>
      </c>
      <c r="V23" s="10">
        <f>$F$31*'[2]direct emissions'!T35</f>
        <v>0</v>
      </c>
      <c r="W23" s="10">
        <f>$F$31*'[2]direct emissions'!U35</f>
        <v>1.0098769170295767E-3</v>
      </c>
      <c r="X23" s="10">
        <f>$F$31*'[2]direct emissions'!V35</f>
        <v>0</v>
      </c>
      <c r="Y23" s="10">
        <f>$F$31*'[2]direct emissions'!W35</f>
        <v>0</v>
      </c>
      <c r="Z23" s="10">
        <f>$F$31*'[2]direct emissions'!X35</f>
        <v>0</v>
      </c>
      <c r="AA23" s="10">
        <f>$F$31*'[2]direct emissions'!Y35</f>
        <v>0</v>
      </c>
      <c r="AB23" s="10">
        <f>$F$31*'[2]direct emissions'!Z35</f>
        <v>0</v>
      </c>
      <c r="AC23" s="10">
        <f>$F$31*'[2]direct emissions'!AA35</f>
        <v>0</v>
      </c>
      <c r="AD23" s="10">
        <f>$F$31*'[2]direct emissions'!AB35</f>
        <v>0</v>
      </c>
      <c r="AE23" s="10">
        <f>$F$31*'[2]direct emissions'!AC35</f>
        <v>2.8985537592679748E-5</v>
      </c>
      <c r="AF23" s="10">
        <f>$F$31*'[2]direct emissions'!AD35</f>
        <v>0</v>
      </c>
      <c r="AG23" s="10">
        <f>$F$31*'[2]direct emissions'!AE35</f>
        <v>0</v>
      </c>
      <c r="AH23" s="10">
        <f>$F$31*'[2]direct emissions'!AF35</f>
        <v>0</v>
      </c>
      <c r="AI23" s="10">
        <f>$F$31*'[2]direct emissions'!AG35</f>
        <v>0</v>
      </c>
      <c r="AJ23" s="10">
        <f>$F$31*'[2]direct emissions'!AH35</f>
        <v>0</v>
      </c>
    </row>
    <row r="24" spans="1:36">
      <c r="A24" s="3" t="s">
        <v>21</v>
      </c>
      <c r="F24" s="5">
        <f>F8</f>
        <v>8.2807361963190204E-3</v>
      </c>
      <c r="G24" s="13" t="s">
        <v>87</v>
      </c>
      <c r="H24" s="13" t="s">
        <v>89</v>
      </c>
      <c r="M24" s="3" t="s">
        <v>27</v>
      </c>
      <c r="N24" s="10">
        <f>$F$32*'[2]direct emissions'!D36</f>
        <v>0</v>
      </c>
      <c r="O24" s="10">
        <f>$F$32*'[2]direct emissions'!M36</f>
        <v>0</v>
      </c>
      <c r="P24" s="10">
        <f>$F$32*'[2]direct emissions'!N36</f>
        <v>0</v>
      </c>
      <c r="Q24" s="10">
        <f>$F$32*'[2]direct emissions'!O36</f>
        <v>0</v>
      </c>
      <c r="R24" s="10">
        <f>$F$32*'[2]direct emissions'!P36</f>
        <v>0</v>
      </c>
      <c r="S24" s="10">
        <f>$F$32*'[2]direct emissions'!Q36</f>
        <v>0</v>
      </c>
      <c r="T24" s="10">
        <f>$F$32*'[2]direct emissions'!R36</f>
        <v>0</v>
      </c>
      <c r="U24" s="10">
        <f>$F$32*'[2]direct emissions'!S36</f>
        <v>0</v>
      </c>
      <c r="V24" s="10">
        <f>$F$32*'[2]direct emissions'!T36</f>
        <v>0</v>
      </c>
      <c r="W24" s="10">
        <f>$F$32*'[2]direct emissions'!U36</f>
        <v>0</v>
      </c>
      <c r="X24" s="10">
        <f>$F$32*'[2]direct emissions'!V36</f>
        <v>0</v>
      </c>
      <c r="Y24" s="10">
        <f>$F$32*'[2]direct emissions'!W36</f>
        <v>0</v>
      </c>
      <c r="Z24" s="10">
        <f>$F$32*'[2]direct emissions'!X36</f>
        <v>0</v>
      </c>
      <c r="AA24" s="10">
        <f>$F$32*'[2]direct emissions'!Y36</f>
        <v>0</v>
      </c>
      <c r="AB24" s="10">
        <f>$F$32*'[2]direct emissions'!Z36</f>
        <v>0</v>
      </c>
      <c r="AC24" s="10">
        <f>$F$32*'[2]direct emissions'!AA36</f>
        <v>0</v>
      </c>
      <c r="AD24" s="10">
        <f>$F$32*'[2]direct emissions'!AB36</f>
        <v>0</v>
      </c>
      <c r="AE24" s="10">
        <f>$F$32*'[2]direct emissions'!AC36</f>
        <v>0</v>
      </c>
      <c r="AF24" s="10">
        <f>$F$32*'[2]direct emissions'!AD36</f>
        <v>0</v>
      </c>
      <c r="AG24" s="10">
        <f>$F$32*'[2]direct emissions'!AE36</f>
        <v>0</v>
      </c>
      <c r="AH24" s="10">
        <f>$F$32*'[2]direct emissions'!AF36</f>
        <v>0</v>
      </c>
      <c r="AI24" s="10">
        <f>$F$32*'[2]direct emissions'!AG36</f>
        <v>0</v>
      </c>
      <c r="AJ24" s="10">
        <f>$F$32*'[2]direct emissions'!AH36</f>
        <v>0</v>
      </c>
    </row>
    <row r="25" spans="1:36">
      <c r="A25" s="3" t="s">
        <v>22</v>
      </c>
      <c r="F25" s="5">
        <f>F9</f>
        <v>2.0467028121600003E-3</v>
      </c>
      <c r="G25" s="13" t="s">
        <v>87</v>
      </c>
      <c r="H25" s="13" t="s">
        <v>89</v>
      </c>
      <c r="M25" s="48" t="str">
        <f>A33</f>
        <v>Nitrogen</v>
      </c>
      <c r="N25" s="69"/>
      <c r="O25" s="69"/>
      <c r="P25" s="69"/>
      <c r="Q25" s="69"/>
      <c r="R25" s="69"/>
      <c r="S25" s="69"/>
      <c r="T25" s="69"/>
      <c r="U25" s="69"/>
      <c r="V25" s="69"/>
      <c r="W25" s="69"/>
      <c r="X25" s="69"/>
      <c r="Y25" s="69"/>
      <c r="Z25" s="69"/>
      <c r="AA25" s="69"/>
      <c r="AB25" s="69"/>
      <c r="AC25" s="69"/>
      <c r="AD25" s="69"/>
      <c r="AE25" s="69"/>
      <c r="AF25" s="69"/>
      <c r="AG25" s="69"/>
      <c r="AH25" s="69"/>
      <c r="AI25" s="69"/>
      <c r="AJ25" s="69"/>
    </row>
    <row r="26" spans="1:36">
      <c r="A26" s="3" t="s">
        <v>160</v>
      </c>
      <c r="F26" s="5">
        <f>F11*0.7</f>
        <v>5.887317333333334E-4</v>
      </c>
      <c r="G26" s="2" t="s">
        <v>90</v>
      </c>
      <c r="H26" s="13" t="s">
        <v>89</v>
      </c>
      <c r="M26" s="9" t="s">
        <v>96</v>
      </c>
      <c r="N26" s="10">
        <f>$F$36/1000*[2]production!D3</f>
        <v>1.44631779E-4</v>
      </c>
      <c r="O26" s="10">
        <f>$F$36/1000*[2]production!M3</f>
        <v>1.2086428794910004E-3</v>
      </c>
      <c r="P26" s="10">
        <f>$F$36/1000*[2]production!N3</f>
        <v>5.1931415399999998E-6</v>
      </c>
      <c r="Q26" s="10">
        <f>$F$36/1000*[2]production!O3</f>
        <v>1.32338107E-4</v>
      </c>
      <c r="R26" s="10">
        <f>$F$36/1000*[2]production!P3</f>
        <v>2.28677491E-5</v>
      </c>
      <c r="S26" s="10">
        <f>$F$36/1000*[2]production!Q3</f>
        <v>2.0220870100000002E-6</v>
      </c>
      <c r="T26" s="10">
        <f>$F$36/1000*[2]production!R3</f>
        <v>8.2175952000000003E-7</v>
      </c>
      <c r="U26" s="10">
        <f>$F$36/1000*[2]production!S3</f>
        <v>1.86689693E-3</v>
      </c>
      <c r="V26" s="10">
        <f>$F$36/1000*[2]production!T3</f>
        <v>9.2705037999999998E-6</v>
      </c>
      <c r="W26" s="10">
        <f>$F$36/1000*[2]production!U3</f>
        <v>1.81571225E-3</v>
      </c>
      <c r="X26" s="10">
        <f>$F$36/1000*[2]production!V3</f>
        <v>7.6163505000000001E-6</v>
      </c>
      <c r="Y26" s="10">
        <f>$F$36/1000*[2]production!W3</f>
        <v>1.02053838E-5</v>
      </c>
      <c r="Z26" s="10">
        <f>$F$36/1000*[2]production!X3</f>
        <v>1.0613225200000001E-8</v>
      </c>
      <c r="AA26" s="10">
        <f>$F$36/1000*[2]production!Y3</f>
        <v>1.0723657900000001E-11</v>
      </c>
      <c r="AB26" s="10">
        <f>$F$36/1000*[2]production!Z3</f>
        <v>2.9549219600000003E-7</v>
      </c>
      <c r="AC26" s="10">
        <f>$F$36/1000*[2]production!AA3</f>
        <v>3.4743062300000002E-7</v>
      </c>
      <c r="AD26" s="10">
        <f>$F$36/1000*[2]production!AB3</f>
        <v>6.0591910000000003E-7</v>
      </c>
      <c r="AE26" s="10">
        <f>$F$36/1000*[2]production!AC3</f>
        <v>8.0721045000000003E-8</v>
      </c>
      <c r="AF26" s="10">
        <f>$F$36/1000*[2]production!AD3</f>
        <v>1.36498323E-6</v>
      </c>
      <c r="AG26" s="10">
        <f>$F$36/1000*[2]production!AE3</f>
        <v>6.2222107000000004E-7</v>
      </c>
      <c r="AH26" s="10">
        <f>$F$36/1000*[2]production!AF3</f>
        <v>5.9277235000000001E-6</v>
      </c>
      <c r="AI26" s="10">
        <f>$F$36/1000*[2]production!AG3</f>
        <v>1.7941515800000001E-5</v>
      </c>
      <c r="AJ26" s="10">
        <f>$F$36/1000*[2]production!AH3</f>
        <v>3.2155781900000001E-6</v>
      </c>
    </row>
    <row r="27" spans="1:36">
      <c r="A27" s="3" t="s">
        <v>57</v>
      </c>
      <c r="F27" s="5">
        <f>F12</f>
        <v>1.7332847304347828E-3</v>
      </c>
      <c r="G27" s="2" t="s">
        <v>14</v>
      </c>
      <c r="H27" s="13" t="s">
        <v>89</v>
      </c>
      <c r="M27" s="3"/>
    </row>
    <row r="28" spans="1:36">
      <c r="A28" s="3" t="s">
        <v>161</v>
      </c>
      <c r="F28" s="5">
        <f>F13*0.7</f>
        <v>2.030933333333333E-4</v>
      </c>
      <c r="G28" s="2" t="s">
        <v>147</v>
      </c>
      <c r="H28" s="13" t="s">
        <v>89</v>
      </c>
      <c r="M28" s="3"/>
    </row>
    <row r="29" spans="1:36">
      <c r="A29" s="3" t="s">
        <v>15</v>
      </c>
      <c r="F29" s="5">
        <f>F14</f>
        <v>4.5550933333333328E-3</v>
      </c>
      <c r="G29" s="2" t="s">
        <v>16</v>
      </c>
      <c r="H29" s="13" t="s">
        <v>89</v>
      </c>
      <c r="M29" s="3"/>
    </row>
    <row r="30" spans="1:36">
      <c r="A30" s="3" t="s">
        <v>29</v>
      </c>
      <c r="F30" s="5">
        <f>F17*0.7</f>
        <v>3.6652000000000001E-4</v>
      </c>
      <c r="G30" s="13" t="s">
        <v>92</v>
      </c>
      <c r="H30" s="13" t="s">
        <v>89</v>
      </c>
      <c r="M30" s="3"/>
    </row>
    <row r="31" spans="1:36">
      <c r="A31" s="3" t="s">
        <v>30</v>
      </c>
      <c r="F31" s="5">
        <f>F18</f>
        <v>2.5656400000000003E-2</v>
      </c>
      <c r="G31" s="13" t="s">
        <v>93</v>
      </c>
      <c r="H31" s="13" t="s">
        <v>89</v>
      </c>
      <c r="M31" s="3"/>
    </row>
    <row r="32" spans="1:36">
      <c r="A32" s="3" t="s">
        <v>27</v>
      </c>
      <c r="F32" s="5">
        <f>F20*0.18</f>
        <v>4.741463414634146E-5</v>
      </c>
      <c r="G32" s="13" t="s">
        <v>91</v>
      </c>
      <c r="H32" s="13" t="s">
        <v>89</v>
      </c>
      <c r="M32" s="3"/>
    </row>
    <row r="33" spans="1:36">
      <c r="A33" s="48" t="str">
        <f>A15</f>
        <v>Nitrogen</v>
      </c>
      <c r="B33" s="43"/>
      <c r="C33" s="43"/>
      <c r="D33" s="43"/>
      <c r="E33" s="43"/>
      <c r="F33" s="49">
        <f>F15</f>
        <v>3.4834459487327023</v>
      </c>
      <c r="G33" s="67"/>
      <c r="H33" s="13" t="s">
        <v>89</v>
      </c>
      <c r="M33" s="3"/>
    </row>
    <row r="34" spans="1:36">
      <c r="A34" s="9" t="s">
        <v>48</v>
      </c>
      <c r="F34" s="5">
        <f>SUM(F3:F20)-F5-SUM(F22:F32)-F33</f>
        <v>1.5415616879999994</v>
      </c>
      <c r="G34" s="5"/>
      <c r="H34" s="5"/>
      <c r="M34" s="3"/>
    </row>
    <row r="35" spans="1:36">
      <c r="N35" s="18">
        <f t="shared" ref="N35:AJ35" si="1">SUM(N3:N14)+N26</f>
        <v>18.710247284398942</v>
      </c>
      <c r="O35" s="18">
        <f t="shared" si="1"/>
        <v>320.00314392961832</v>
      </c>
      <c r="P35" s="18">
        <f t="shared" si="1"/>
        <v>0.16806569914861549</v>
      </c>
      <c r="Q35" s="18">
        <f t="shared" si="1"/>
        <v>17.581005765578603</v>
      </c>
      <c r="R35" s="18">
        <f t="shared" si="1"/>
        <v>7.4001520918662553</v>
      </c>
      <c r="S35" s="18">
        <f t="shared" si="1"/>
        <v>0.10918735349070037</v>
      </c>
      <c r="T35" s="18">
        <f t="shared" si="1"/>
        <v>1.9831249317732885E-3</v>
      </c>
      <c r="U35" s="18">
        <f t="shared" si="1"/>
        <v>198.29607636215889</v>
      </c>
      <c r="V35" s="18">
        <f t="shared" si="1"/>
        <v>0.34857960086665507</v>
      </c>
      <c r="W35" s="18">
        <f t="shared" si="1"/>
        <v>94.382299092458467</v>
      </c>
      <c r="X35" s="18">
        <f t="shared" si="1"/>
        <v>1.6959099338806023E-2</v>
      </c>
      <c r="Y35" s="18">
        <f t="shared" si="1"/>
        <v>0.69057425731122679</v>
      </c>
      <c r="Z35" s="18">
        <f t="shared" si="1"/>
        <v>2.8352892808695303E-3</v>
      </c>
      <c r="AA35" s="18">
        <f t="shared" si="1"/>
        <v>1.4928111640763297E-6</v>
      </c>
      <c r="AB35" s="18">
        <f t="shared" si="1"/>
        <v>2.6354587708323891E-2</v>
      </c>
      <c r="AC35" s="18">
        <f t="shared" si="1"/>
        <v>6.0875179034101994E-2</v>
      </c>
      <c r="AD35" s="18">
        <f t="shared" si="1"/>
        <v>8.3015054189617174E-2</v>
      </c>
      <c r="AE35" s="18">
        <f t="shared" si="1"/>
        <v>9.0106693192577945E-3</v>
      </c>
      <c r="AF35" s="18">
        <f t="shared" si="1"/>
        <v>2.9264514478839276E-2</v>
      </c>
      <c r="AG35" s="18">
        <f t="shared" si="1"/>
        <v>2.7195542870763628E-2</v>
      </c>
      <c r="AH35" s="18">
        <f t="shared" si="1"/>
        <v>0.5696783254405301</v>
      </c>
      <c r="AI35" s="18">
        <f t="shared" si="1"/>
        <v>2.0224293138753815</v>
      </c>
      <c r="AJ35" s="18">
        <f t="shared" si="1"/>
        <v>0.91931961963033371</v>
      </c>
    </row>
    <row r="36" spans="1:36">
      <c r="A36" s="3" t="s">
        <v>94</v>
      </c>
      <c r="F36" s="5">
        <f>F5+F22</f>
        <v>5.8430000000000003E-2</v>
      </c>
      <c r="G36" s="10"/>
      <c r="H36" s="5"/>
    </row>
    <row r="45" spans="1:36">
      <c r="O45" s="18">
        <f>SUM(O3:O13)</f>
        <v>320.00193528673884</v>
      </c>
    </row>
  </sheetData>
  <mergeCells count="2">
    <mergeCell ref="G4:G5"/>
    <mergeCell ref="G1:L1"/>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F30"/>
  <sheetViews>
    <sheetView topLeftCell="B1" zoomScaleNormal="100" workbookViewId="0">
      <selection activeCell="D12" sqref="D12"/>
    </sheetView>
  </sheetViews>
  <sheetFormatPr defaultColWidth="9.140625" defaultRowHeight="15"/>
  <cols>
    <col min="1" max="1" width="9.5703125" style="63" bestFit="1" customWidth="1"/>
    <col min="2" max="5" width="32.140625" style="10" customWidth="1"/>
    <col min="6" max="6" width="18.7109375" style="10" customWidth="1"/>
    <col min="7" max="7" width="31.28515625" style="10" customWidth="1"/>
    <col min="8" max="8" width="9.140625" style="10"/>
    <col min="9" max="9" width="32" style="10" customWidth="1"/>
    <col min="10" max="10" width="27.140625" style="10" customWidth="1"/>
    <col min="11" max="11" width="18.42578125" style="10" customWidth="1"/>
    <col min="12" max="32" width="19.85546875" style="10" customWidth="1"/>
    <col min="33" max="33" width="22.140625" style="10" customWidth="1"/>
    <col min="34" max="16384" width="9.140625" style="10"/>
  </cols>
  <sheetData>
    <row r="4" spans="1:32">
      <c r="B4" s="118" t="s">
        <v>37</v>
      </c>
      <c r="C4" s="118"/>
      <c r="D4" s="118"/>
      <c r="E4" s="118"/>
      <c r="L4" s="119" t="s">
        <v>82</v>
      </c>
      <c r="M4" s="119"/>
      <c r="N4" s="119"/>
      <c r="O4" s="119"/>
      <c r="P4" s="119"/>
      <c r="Q4" s="119"/>
      <c r="R4" s="119"/>
      <c r="S4" s="119"/>
      <c r="T4" s="119"/>
      <c r="U4" s="119"/>
      <c r="V4" s="119"/>
      <c r="W4" s="119"/>
      <c r="X4" s="119"/>
      <c r="Y4" s="119"/>
      <c r="Z4" s="119"/>
      <c r="AA4" s="119"/>
      <c r="AB4" s="119"/>
      <c r="AC4" s="119"/>
      <c r="AD4" s="120" t="s">
        <v>83</v>
      </c>
      <c r="AE4" s="120"/>
      <c r="AF4" s="120"/>
    </row>
    <row r="5" spans="1:32" ht="15.75" thickBot="1">
      <c r="A5" s="111" t="s">
        <v>176</v>
      </c>
      <c r="B5" s="4"/>
      <c r="C5" s="4" t="s">
        <v>38</v>
      </c>
      <c r="D5" s="4" t="s">
        <v>39</v>
      </c>
      <c r="E5" s="4" t="s">
        <v>40</v>
      </c>
      <c r="G5" s="10" t="s">
        <v>167</v>
      </c>
      <c r="I5" s="38"/>
      <c r="J5" s="38" t="s">
        <v>59</v>
      </c>
      <c r="K5" s="38" t="s">
        <v>58</v>
      </c>
      <c r="L5" s="39" t="s">
        <v>61</v>
      </c>
      <c r="M5" s="39" t="s">
        <v>62</v>
      </c>
      <c r="N5" s="39" t="s">
        <v>63</v>
      </c>
      <c r="O5" s="39" t="s">
        <v>64</v>
      </c>
      <c r="P5" s="39" t="s">
        <v>65</v>
      </c>
      <c r="Q5" s="39" t="s">
        <v>66</v>
      </c>
      <c r="R5" s="39" t="s">
        <v>67</v>
      </c>
      <c r="S5" s="39" t="s">
        <v>68</v>
      </c>
      <c r="T5" s="39" t="s">
        <v>69</v>
      </c>
      <c r="U5" s="39" t="s">
        <v>70</v>
      </c>
      <c r="V5" s="39" t="s">
        <v>71</v>
      </c>
      <c r="W5" s="39" t="s">
        <v>72</v>
      </c>
      <c r="X5" s="39" t="s">
        <v>73</v>
      </c>
      <c r="Y5" s="39" t="s">
        <v>74</v>
      </c>
      <c r="Z5" s="39" t="s">
        <v>75</v>
      </c>
      <c r="AA5" s="39" t="s">
        <v>76</v>
      </c>
      <c r="AB5" s="39" t="s">
        <v>77</v>
      </c>
      <c r="AC5" s="39" t="s">
        <v>78</v>
      </c>
      <c r="AD5" s="40" t="s">
        <v>79</v>
      </c>
      <c r="AE5" s="40" t="s">
        <v>80</v>
      </c>
      <c r="AF5" s="40" t="s">
        <v>81</v>
      </c>
    </row>
    <row r="6" spans="1:32">
      <c r="B6" s="70" t="s">
        <v>175</v>
      </c>
      <c r="C6" s="71"/>
      <c r="D6" s="71"/>
      <c r="E6" s="71"/>
      <c r="F6" s="72"/>
      <c r="I6" s="11" t="s">
        <v>41</v>
      </c>
      <c r="J6" s="10">
        <f>F7*[2]production!$D$7</f>
        <v>2.8396800022717437</v>
      </c>
      <c r="K6" s="10">
        <f>$F$7*[2]production!M7</f>
        <v>49.96641093677313</v>
      </c>
      <c r="L6" s="10">
        <f>$F$7*[2]production!N7</f>
        <v>3.2510800026008635E-3</v>
      </c>
      <c r="M6" s="10">
        <f>$F$7*[2]production!O7</f>
        <v>2.6799600021439676</v>
      </c>
      <c r="N6" s="10">
        <f>$F$7*[2]production!P7</f>
        <v>1.1836000009468799</v>
      </c>
      <c r="O6" s="10">
        <f>$F$7*[2]production!Q7</f>
        <v>1.0204000008163197E-2</v>
      </c>
      <c r="P6" s="10">
        <f>$F$7*[2]production!R7</f>
        <v>4.9796000039836795E-5</v>
      </c>
      <c r="Q6" s="10">
        <f>$F$7*[2]production!S7</f>
        <v>20.874000016699195</v>
      </c>
      <c r="R6" s="10">
        <f>$F$7*[2]production!T7</f>
        <v>1.6892000013513597E-2</v>
      </c>
      <c r="S6" s="10">
        <f>$F$7*[2]production!U7</f>
        <v>6.2776000050220784</v>
      </c>
      <c r="T6" s="10">
        <f>$F$7*[2]production!V7</f>
        <v>2.4590000019671992E-3</v>
      </c>
      <c r="U6" s="10">
        <f>$F$7*[2]production!W7</f>
        <v>1.1996000009596797E-2</v>
      </c>
      <c r="V6" s="10">
        <f>$F$7*[2]production!X7</f>
        <v>4.4140000035311993E-4</v>
      </c>
      <c r="W6" s="10">
        <f>$F$7*[2]production!Y7</f>
        <v>2.3717600018974076E-7</v>
      </c>
      <c r="X6" s="10">
        <f>$F$7*[2]production!Z7</f>
        <v>2.9944800023955836E-3</v>
      </c>
      <c r="Y6" s="10">
        <f>$F$7*[2]production!AA7</f>
        <v>8.0544000064435191E-3</v>
      </c>
      <c r="Z6" s="10">
        <f>$F$7*[2]production!AB7</f>
        <v>1.1600000009279998E-2</v>
      </c>
      <c r="AA6" s="10">
        <f>$F$7*[2]production!AC7</f>
        <v>2.0761200016608956E-4</v>
      </c>
      <c r="AB6" s="10">
        <f>$F$7*[2]production!AD7</f>
        <v>1.2804400010243519E-3</v>
      </c>
      <c r="AC6" s="10">
        <f>$F$7*[2]production!AE7</f>
        <v>3.2074400025659512E-4</v>
      </c>
      <c r="AD6" s="10">
        <f>$F$7*[2]production!AF7</f>
        <v>7.8456000062764791E-2</v>
      </c>
      <c r="AE6" s="10">
        <f>$F$7*[2]production!AG7</f>
        <v>0.24192800019354235</v>
      </c>
      <c r="AF6" s="10">
        <f>$F$7*[2]production!AH7</f>
        <v>0.14248400011398718</v>
      </c>
    </row>
    <row r="7" spans="1:32" ht="15.75" thickBot="1">
      <c r="B7" s="73" t="s">
        <v>41</v>
      </c>
      <c r="C7" s="74">
        <f>120/100*10000</f>
        <v>12000</v>
      </c>
      <c r="D7" s="75">
        <f>20*60</f>
        <v>1200</v>
      </c>
      <c r="E7" s="76">
        <f>C7*D7/1000000</f>
        <v>14.4</v>
      </c>
      <c r="F7" s="77">
        <f>E7*0.277777778</f>
        <v>4.0000000031999994</v>
      </c>
      <c r="I7" s="11" t="s">
        <v>152</v>
      </c>
      <c r="J7" s="10">
        <f>F9*[2]production!$D$7</f>
        <v>4.7574154393188799</v>
      </c>
      <c r="K7" s="10">
        <f>$F$9*[2]production!M7</f>
        <v>83.710479577905772</v>
      </c>
      <c r="L7" s="10">
        <f>$F$9*[2]production!N7</f>
        <v>5.4466482795458718E-3</v>
      </c>
      <c r="M7" s="10">
        <f>$F$9*[2]production!O7</f>
        <v>4.4898309248778112</v>
      </c>
      <c r="N7" s="10">
        <f>$F$9*[2]production!P7</f>
        <v>1.9829265670701719</v>
      </c>
      <c r="O7" s="10">
        <f>$F$9*[2]production!Q7</f>
        <v>1.7095118866495465E-2</v>
      </c>
      <c r="P7" s="10">
        <f>$F$9*[2]production!R7</f>
        <v>8.3424984229322642E-5</v>
      </c>
      <c r="Q7" s="10">
        <f>$F$9*[2]production!S7</f>
        <v>34.970943867035118</v>
      </c>
      <c r="R7" s="10">
        <f>$F$9*[2]production!T7</f>
        <v>2.8299759691575992E-2</v>
      </c>
      <c r="S7" s="10">
        <f>$F$9*[2]production!U7</f>
        <v>10.517083319905129</v>
      </c>
      <c r="T7" s="10">
        <f>$F$9*[2]production!V7</f>
        <v>4.1196488918769456E-3</v>
      </c>
      <c r="U7" s="10">
        <f>$F$9*[2]production!W7</f>
        <v>2.0097319278957235E-2</v>
      </c>
      <c r="V7" s="10">
        <f>$F$9*[2]production!X7</f>
        <v>7.3949289177490188E-4</v>
      </c>
      <c r="W7" s="10">
        <f>$F$9*[2]production!Y7</f>
        <v>3.9734926619756263E-7</v>
      </c>
      <c r="X7" s="10">
        <f>$F$9*[2]production!Z7</f>
        <v>5.0167573053060896E-3</v>
      </c>
      <c r="Y7" s="10">
        <f>$F$9*[2]production!AA7</f>
        <v>1.3493818639582622E-2</v>
      </c>
      <c r="Z7" s="10">
        <f>$F$9*[2]production!AB7</f>
        <v>1.9433886598524835E-2</v>
      </c>
      <c r="AA7" s="10">
        <f>$F$9*[2]production!AC7</f>
        <v>3.4781966073214985E-4</v>
      </c>
      <c r="AB7" s="10">
        <f>$F$9*[2]production!AD7</f>
        <v>2.1451660134668227E-3</v>
      </c>
      <c r="AC7" s="10">
        <f>$F$9*[2]production!AE7</f>
        <v>5.3735366578941803E-4</v>
      </c>
      <c r="AD7" s="10">
        <f>$F$9*[2]production!AF7</f>
        <v>0.13144008680809174</v>
      </c>
      <c r="AE7" s="10">
        <f>$F$9*[2]production!AG7</f>
        <v>0.40531045836275142</v>
      </c>
      <c r="AF7" s="10">
        <f>$F$9*[2]production!AH7</f>
        <v>0.23870843949174245</v>
      </c>
    </row>
    <row r="8" spans="1:32">
      <c r="B8" s="70" t="s">
        <v>43</v>
      </c>
      <c r="C8" s="71"/>
      <c r="D8" s="78"/>
      <c r="E8" s="79"/>
      <c r="F8" s="80"/>
      <c r="I8" s="11" t="s">
        <v>157</v>
      </c>
      <c r="J8" s="10">
        <f>F10*[2]production!$D$7</f>
        <v>30.668544024534835</v>
      </c>
      <c r="K8" s="10">
        <f>$F$10*[2]production!M7</f>
        <v>539.63723811714988</v>
      </c>
      <c r="L8" s="10">
        <f>$F$10*[2]production!N7</f>
        <v>3.511166402808933E-2</v>
      </c>
      <c r="M8" s="10">
        <f>$F$10*[2]production!O7</f>
        <v>28.943568023154853</v>
      </c>
      <c r="N8" s="10">
        <f>$F$10*[2]production!P7</f>
        <v>12.782880010226304</v>
      </c>
      <c r="O8" s="10">
        <f>$F$10*[2]production!Q7</f>
        <v>0.11020320008816255</v>
      </c>
      <c r="P8" s="10">
        <f>$F$10*[2]production!R7</f>
        <v>5.377968004302375E-4</v>
      </c>
      <c r="Q8" s="10">
        <f>$F$10*[2]production!S7</f>
        <v>225.43920018035135</v>
      </c>
      <c r="R8" s="10">
        <f>$F$10*[2]production!T7</f>
        <v>0.18243360014594689</v>
      </c>
      <c r="S8" s="10">
        <f>$F$10*[2]production!U7</f>
        <v>67.798080054238454</v>
      </c>
      <c r="T8" s="10">
        <f>$F$10*[2]production!V7</f>
        <v>2.6557200021245758E-2</v>
      </c>
      <c r="U8" s="10">
        <f>$F$10*[2]production!W7</f>
        <v>0.12955680010364543</v>
      </c>
      <c r="V8" s="10">
        <f>$F$10*[2]production!X7</f>
        <v>4.7671200038136956E-3</v>
      </c>
      <c r="W8" s="10">
        <f>$F$10*[2]production!Y7</f>
        <v>2.5615008020492004E-6</v>
      </c>
      <c r="X8" s="10">
        <f>$F$10*[2]production!Z7</f>
        <v>3.2340384025872304E-2</v>
      </c>
      <c r="Y8" s="10">
        <f>$F$10*[2]production!AA7</f>
        <v>8.6987520069590013E-2</v>
      </c>
      <c r="Z8" s="10">
        <f>$F$10*[2]production!AB7</f>
        <v>0.125280000100224</v>
      </c>
      <c r="AA8" s="10">
        <f>$F$10*[2]production!AC7</f>
        <v>2.2422096017937678E-3</v>
      </c>
      <c r="AB8" s="10">
        <f>$F$10*[2]production!AD7</f>
        <v>1.3828752011063003E-2</v>
      </c>
      <c r="AC8" s="10">
        <f>$F$10*[2]production!AE7</f>
        <v>3.4640352027712276E-3</v>
      </c>
      <c r="AD8" s="10">
        <f>$F$10*[2]production!AF7</f>
        <v>0.84732480067785976</v>
      </c>
      <c r="AE8" s="10">
        <f>$F$10*[2]production!AG7</f>
        <v>2.612822402090258</v>
      </c>
      <c r="AF8" s="10">
        <f>$F$10*[2]production!AH7</f>
        <v>1.5388272012310618</v>
      </c>
    </row>
    <row r="9" spans="1:32">
      <c r="B9" s="81" t="s">
        <v>49</v>
      </c>
      <c r="C9" s="82">
        <f>(300+370)*(10000*'material inventory'!C7/100)^2*((1000+4000)/2/9999)^2</f>
        <v>268053.60804107209</v>
      </c>
      <c r="D9" s="83">
        <v>90</v>
      </c>
      <c r="E9" s="84">
        <f>C9*D9/1000000</f>
        <v>24.124824723696488</v>
      </c>
      <c r="F9" s="85">
        <f t="shared" ref="F9:F22" si="0">E9*0.277777778</f>
        <v>6.701340206387874</v>
      </c>
      <c r="G9" s="10" t="s">
        <v>164</v>
      </c>
      <c r="I9" s="11" t="s">
        <v>180</v>
      </c>
      <c r="J9" s="10">
        <f>$F12*[4]production!D$7</f>
        <v>3.7270800029816638</v>
      </c>
      <c r="K9" s="10">
        <f>$F12*[4]production!M$7</f>
        <v>65.580914354514732</v>
      </c>
      <c r="L9" s="10">
        <f>$F12*[4]production!N$7</f>
        <v>4.2670425034136332E-3</v>
      </c>
      <c r="M9" s="10">
        <f>$F12*[4]production!O$7</f>
        <v>3.5174475028139573</v>
      </c>
      <c r="N9" s="10">
        <f>$F12*[4]production!P$7</f>
        <v>1.5534750012427798</v>
      </c>
      <c r="O9" s="10">
        <f>$F12*[4]production!Q$7</f>
        <v>1.3392750010714199E-2</v>
      </c>
      <c r="P9" s="10">
        <f>$F12*[4]production!R$7</f>
        <v>6.5357250052285794E-5</v>
      </c>
      <c r="Q9" s="10">
        <f>$F12*[4]production!S$7</f>
        <v>27.397125021917695</v>
      </c>
      <c r="R9" s="10">
        <f>$F12*[4]production!T$7</f>
        <v>2.21707500177366E-2</v>
      </c>
      <c r="S9" s="10">
        <f>$F12*[4]production!U$7</f>
        <v>8.2393500065914793</v>
      </c>
      <c r="T9" s="10">
        <f>$F12*[4]production!V$7</f>
        <v>3.2274375025819492E-3</v>
      </c>
      <c r="U9" s="10">
        <f>$F12*[4]production!W$7</f>
        <v>1.5744750012595798E-2</v>
      </c>
      <c r="V9" s="10">
        <f>$F12*[4]production!X$7</f>
        <v>5.793375004634699E-4</v>
      </c>
      <c r="W9" s="10">
        <f>$F12*[4]production!Y$7</f>
        <v>3.112935002490348E-7</v>
      </c>
      <c r="X9" s="10">
        <f>$F12*[4]production!Z$7</f>
        <v>3.9302550031442033E-3</v>
      </c>
      <c r="Y9" s="10">
        <f>$F12*[4]production!AA$7</f>
        <v>1.0571400008457119E-2</v>
      </c>
      <c r="Z9" s="10">
        <f>$F12*[4]production!AB$7</f>
        <v>1.5225000012179997E-2</v>
      </c>
      <c r="AA9" s="10">
        <f>$F12*[4]production!AC$7</f>
        <v>2.7249075021799256E-4</v>
      </c>
      <c r="AB9" s="10">
        <f>$F12*[4]production!AD$7</f>
        <v>1.680577501344462E-3</v>
      </c>
      <c r="AC9" s="10">
        <f>$F12*[4]production!AE$7</f>
        <v>4.2097650033678111E-4</v>
      </c>
      <c r="AD9" s="10">
        <f>$F12*[4]production!AF$7</f>
        <v>0.10297350008237878</v>
      </c>
      <c r="AE9" s="10">
        <f>$F12*[4]production!AG$7</f>
        <v>0.31753050025402435</v>
      </c>
      <c r="AF9" s="10">
        <f>$F12*[4]production!AH$7</f>
        <v>0.18701025014960818</v>
      </c>
    </row>
    <row r="10" spans="1:32" ht="15.75" thickBot="1">
      <c r="A10" s="63">
        <v>300</v>
      </c>
      <c r="B10" s="86" t="s">
        <v>53</v>
      </c>
      <c r="C10" s="87">
        <f>630/350*A10/100*10000*'material inventory'!C7</f>
        <v>43200</v>
      </c>
      <c r="D10" s="88">
        <f>60*60</f>
        <v>3600</v>
      </c>
      <c r="E10" s="89">
        <f>C10*D10/1000000</f>
        <v>155.52000000000001</v>
      </c>
      <c r="F10" s="90">
        <f t="shared" si="0"/>
        <v>43.200000034559999</v>
      </c>
      <c r="I10" s="11" t="s">
        <v>153</v>
      </c>
      <c r="J10" s="10">
        <f>F13*[2]production!$D$7</f>
        <v>8.4576274476780081E-2</v>
      </c>
      <c r="K10" s="10">
        <f>$F$13*[2]production!M7</f>
        <v>1.4881863036072136</v>
      </c>
      <c r="L10" s="10">
        <f>$F$13*[2]production!N7</f>
        <v>9.6829302747482171E-5</v>
      </c>
      <c r="M10" s="10">
        <f>$F$13*[2]production!O7</f>
        <v>7.9819216442272203E-2</v>
      </c>
      <c r="N10" s="10">
        <f>$F$13*[2]production!P7</f>
        <v>3.525202785902528E-2</v>
      </c>
      <c r="O10" s="10">
        <f>$F$13*[2]production!Q7</f>
        <v>3.039132242932527E-4</v>
      </c>
      <c r="P10" s="10">
        <f>$F$13*[2]production!R7</f>
        <v>1.4831108307435136E-6</v>
      </c>
      <c r="Q10" s="10">
        <f>$F$13*[2]production!S7</f>
        <v>0.62170566874729094</v>
      </c>
      <c r="R10" s="10">
        <f>$F$13*[2]production!T7</f>
        <v>5.0310683896135093E-4</v>
      </c>
      <c r="S10" s="10">
        <f>$F$13*[2]production!U7</f>
        <v>0.18697037013164672</v>
      </c>
      <c r="T10" s="10">
        <f>$F$13*[2]production!V7</f>
        <v>7.3238202522256797E-5</v>
      </c>
      <c r="U10" s="10">
        <f>$F$13*[2]production!W7</f>
        <v>3.5728567607035079E-4</v>
      </c>
      <c r="V10" s="10">
        <f>$F$13*[2]production!X7</f>
        <v>1.3146540298220478E-5</v>
      </c>
      <c r="W10" s="10">
        <f>$F$13*[2]production!Y7</f>
        <v>7.0639869546233354E-9</v>
      </c>
      <c r="X10" s="10">
        <f>$F$13*[2]production!Z7</f>
        <v>8.9186796538774931E-5</v>
      </c>
      <c r="Y10" s="10">
        <f>$F$13*[2]production!AA7</f>
        <v>2.398901091481355E-4</v>
      </c>
      <c r="Z10" s="10">
        <f>$F$13*[2]production!AB7</f>
        <v>3.4549131730710812E-4</v>
      </c>
      <c r="AA10" s="10">
        <f>$F$13*[2]production!AC7</f>
        <v>6.1834606352382193E-6</v>
      </c>
      <c r="AB10" s="10">
        <f>$F$13*[2]production!AD7</f>
        <v>3.8136284683854624E-5</v>
      </c>
      <c r="AC10" s="10">
        <f>$F$13*[2]production!AE7</f>
        <v>9.5529540584785421E-6</v>
      </c>
      <c r="AD10" s="10">
        <f>$F$13*[2]production!AF7</f>
        <v>2.3367126543660756E-3</v>
      </c>
      <c r="AE10" s="10">
        <f>$F$13*[2]production!AG7</f>
        <v>7.2055192597822474E-3</v>
      </c>
      <c r="AF10" s="10">
        <f>$F$13*[2]production!AH7</f>
        <v>4.24370559096431E-3</v>
      </c>
    </row>
    <row r="11" spans="1:32">
      <c r="B11" s="70" t="s">
        <v>13</v>
      </c>
      <c r="C11" s="71"/>
      <c r="D11" s="78"/>
      <c r="E11" s="79"/>
      <c r="F11" s="80"/>
      <c r="I11" s="11" t="s">
        <v>156</v>
      </c>
      <c r="J11" s="10">
        <f>F14*[2]production!$D$7</f>
        <v>1.1926656009541325</v>
      </c>
      <c r="K11" s="10">
        <f>$F$14*[2]production!M7</f>
        <v>20.985892593444717</v>
      </c>
      <c r="L11" s="10">
        <f>$F$14*[2]production!N7</f>
        <v>1.3654536010923629E-3</v>
      </c>
      <c r="M11" s="10">
        <f>$F$14*[2]production!O7</f>
        <v>1.1255832009004665</v>
      </c>
      <c r="N11" s="10">
        <f>$F$14*[2]production!P7</f>
        <v>0.4971120003976896</v>
      </c>
      <c r="O11" s="10">
        <f>$F$14*[2]production!Q7</f>
        <v>4.285680003428544E-3</v>
      </c>
      <c r="P11" s="10">
        <f>$F$14*[2]production!R7</f>
        <v>2.0914320016731457E-5</v>
      </c>
      <c r="Q11" s="10">
        <f>$F$14*[2]production!S7</f>
        <v>8.7670800070136625</v>
      </c>
      <c r="R11" s="10">
        <f>$F$14*[2]production!T7</f>
        <v>7.0946400056757118E-3</v>
      </c>
      <c r="S11" s="10">
        <f>$F$14*[2]production!U7</f>
        <v>2.6365920021092735</v>
      </c>
      <c r="T11" s="10">
        <f>$F$14*[2]production!V7</f>
        <v>1.0327800008262239E-3</v>
      </c>
      <c r="U11" s="10">
        <f>$F$14*[2]production!W7</f>
        <v>5.0383200040306558E-3</v>
      </c>
      <c r="V11" s="10">
        <f>$F$14*[2]production!X7</f>
        <v>1.8538800014831038E-4</v>
      </c>
      <c r="W11" s="10">
        <f>$F$14*[2]production!Y7</f>
        <v>9.9613920079691132E-8</v>
      </c>
      <c r="X11" s="10">
        <f>$F$14*[2]production!Z7</f>
        <v>1.2576816010061451E-3</v>
      </c>
      <c r="Y11" s="10">
        <f>$F$14*[2]production!AA7</f>
        <v>3.3828480027062783E-3</v>
      </c>
      <c r="Z11" s="10">
        <f>$F$14*[2]production!AB7</f>
        <v>4.8720000038975997E-3</v>
      </c>
      <c r="AA11" s="10">
        <f>$F$14*[2]production!AC7</f>
        <v>8.7197040069757637E-5</v>
      </c>
      <c r="AB11" s="10">
        <f>$F$14*[2]production!AD7</f>
        <v>5.3778480043022788E-4</v>
      </c>
      <c r="AC11" s="10">
        <f>$F$14*[2]production!AE7</f>
        <v>1.3471248010776997E-4</v>
      </c>
      <c r="AD11" s="10">
        <f>$F$14*[2]production!AF7</f>
        <v>3.2951520026361217E-2</v>
      </c>
      <c r="AE11" s="10">
        <f>$F$14*[2]production!AG7</f>
        <v>0.1016097600812878</v>
      </c>
      <c r="AF11" s="10">
        <f>$F$14*[2]production!AH7</f>
        <v>5.984328004787462E-2</v>
      </c>
    </row>
    <row r="12" spans="1:32">
      <c r="B12" s="91" t="s">
        <v>170</v>
      </c>
      <c r="C12" s="92">
        <f>300*100</f>
        <v>30000</v>
      </c>
      <c r="D12" s="93">
        <f>D13+D14+D15</f>
        <v>630</v>
      </c>
      <c r="E12" s="94">
        <f>C12*D12/1000000</f>
        <v>18.899999999999999</v>
      </c>
      <c r="F12" s="95">
        <f t="shared" si="0"/>
        <v>5.2500000041999995</v>
      </c>
      <c r="I12" s="11" t="s">
        <v>154</v>
      </c>
      <c r="J12" s="10">
        <f>F15*[2]production!$D$7</f>
        <v>4.2288137238390036</v>
      </c>
      <c r="K12" s="10">
        <f>$F$15*[2]production!M7</f>
        <v>74.409315180360679</v>
      </c>
      <c r="L12" s="10">
        <f>$F$15*[2]production!N7</f>
        <v>4.8414651373741083E-3</v>
      </c>
      <c r="M12" s="10">
        <f>$F$15*[2]production!O7</f>
        <v>3.9909608221136099</v>
      </c>
      <c r="N12" s="10">
        <f>$F$15*[2]production!P7</f>
        <v>1.7626013929512638</v>
      </c>
      <c r="O12" s="10">
        <f>$F$15*[2]production!Q7</f>
        <v>1.5195661214662636E-2</v>
      </c>
      <c r="P12" s="10">
        <f>$F$15*[2]production!R7</f>
        <v>7.4155541537175682E-5</v>
      </c>
      <c r="Q12" s="10">
        <f>$F$15*[2]production!S7</f>
        <v>31.085283437364549</v>
      </c>
      <c r="R12" s="10">
        <f>$F$15*[2]production!T7</f>
        <v>2.5155341948067549E-2</v>
      </c>
      <c r="S12" s="10">
        <f>$F$15*[2]production!U7</f>
        <v>9.3485185065823355</v>
      </c>
      <c r="T12" s="10">
        <f>$F$15*[2]production!V7</f>
        <v>3.6619101261128402E-3</v>
      </c>
      <c r="U12" s="10">
        <f>$F$15*[2]production!W7</f>
        <v>1.7864283803517539E-2</v>
      </c>
      <c r="V12" s="10">
        <f>$F$15*[2]production!X7</f>
        <v>6.5732701491102389E-4</v>
      </c>
      <c r="W12" s="10">
        <f>$F$15*[2]production!Y7</f>
        <v>3.5319934773116675E-7</v>
      </c>
      <c r="X12" s="10">
        <f>$F$15*[2]production!Z7</f>
        <v>4.4593398269387463E-3</v>
      </c>
      <c r="Y12" s="10">
        <f>$F$15*[2]production!AA7</f>
        <v>1.1994505457406775E-2</v>
      </c>
      <c r="Z12" s="10">
        <f>$F$15*[2]production!AB7</f>
        <v>1.7274565865355408E-2</v>
      </c>
      <c r="AA12" s="10">
        <f>$F$15*[2]production!AC7</f>
        <v>3.0917303176191096E-4</v>
      </c>
      <c r="AB12" s="10">
        <f>$F$15*[2]production!AD7</f>
        <v>1.9068142341927311E-3</v>
      </c>
      <c r="AC12" s="10">
        <f>$F$15*[2]production!AE7</f>
        <v>4.7764770292392712E-4</v>
      </c>
      <c r="AD12" s="10">
        <f>$F$15*[2]production!AF7</f>
        <v>0.11683563271830379</v>
      </c>
      <c r="AE12" s="10">
        <f>$F$15*[2]production!AG7</f>
        <v>0.36027596298911235</v>
      </c>
      <c r="AF12" s="10">
        <f>$F$15*[2]production!AH7</f>
        <v>0.21218527954821551</v>
      </c>
    </row>
    <row r="13" spans="1:32">
      <c r="B13" s="81" t="s">
        <v>51</v>
      </c>
      <c r="C13" s="82">
        <f>(300+370)*(10000*'material inventory'!C11/100)^2*(1000/9999)^2</f>
        <v>42888.577286571533</v>
      </c>
      <c r="D13" s="83">
        <v>10</v>
      </c>
      <c r="E13" s="84">
        <f>C13*D13/1000000</f>
        <v>0.42888577286571533</v>
      </c>
      <c r="F13" s="85">
        <f t="shared" si="0"/>
        <v>0.11913493700245109</v>
      </c>
      <c r="G13" s="10" t="s">
        <v>165</v>
      </c>
      <c r="I13" s="11" t="s">
        <v>155</v>
      </c>
      <c r="J13" s="10">
        <f>F16*[2]production!$D$7</f>
        <v>20.445696016356557</v>
      </c>
      <c r="K13" s="10">
        <f>$F$16*[2]production!M7</f>
        <v>359.75815874476655</v>
      </c>
      <c r="L13" s="10">
        <f>$F$16*[2]production!N7</f>
        <v>2.340777601872622E-2</v>
      </c>
      <c r="M13" s="10">
        <f>$F$16*[2]production!O7</f>
        <v>19.295712015436568</v>
      </c>
      <c r="N13" s="10">
        <f>$F$16*[2]production!P7</f>
        <v>8.5219200068175365</v>
      </c>
      <c r="O13" s="10">
        <f>$F$16*[2]production!Q7</f>
        <v>7.3468800058775041E-2</v>
      </c>
      <c r="P13" s="10">
        <f>$F$16*[2]production!R7</f>
        <v>3.5853120028682498E-4</v>
      </c>
      <c r="Q13" s="10">
        <f>$F$16*[2]production!S7</f>
        <v>150.29280012023423</v>
      </c>
      <c r="R13" s="10">
        <f>$F$16*[2]production!T7</f>
        <v>0.12162240009729793</v>
      </c>
      <c r="S13" s="10">
        <f>$F$16*[2]production!U7</f>
        <v>45.198720036158974</v>
      </c>
      <c r="T13" s="10">
        <f>$F$16*[2]production!V7</f>
        <v>1.7704800014163836E-2</v>
      </c>
      <c r="U13" s="10">
        <f>$F$16*[2]production!W7</f>
        <v>8.6371200069096959E-2</v>
      </c>
      <c r="V13" s="10">
        <f>$F$16*[2]production!X7</f>
        <v>3.1780800025424639E-3</v>
      </c>
      <c r="W13" s="10">
        <f>$F$16*[2]production!Y7</f>
        <v>1.7076672013661337E-6</v>
      </c>
      <c r="X13" s="10">
        <f>$F$16*[2]production!Z7</f>
        <v>2.1560256017248203E-2</v>
      </c>
      <c r="Y13" s="10">
        <f>$F$16*[2]production!AA7</f>
        <v>5.7991680046393337E-2</v>
      </c>
      <c r="Z13" s="10">
        <f>$F$16*[2]production!AB7</f>
        <v>8.3520000066815994E-2</v>
      </c>
      <c r="AA13" s="10">
        <f>$F$16*[2]production!AC7</f>
        <v>1.494806401195845E-3</v>
      </c>
      <c r="AB13" s="10">
        <f>$F$16*[2]production!AD7</f>
        <v>9.2191680073753345E-3</v>
      </c>
      <c r="AC13" s="10">
        <f>$F$16*[2]production!AE7</f>
        <v>2.3093568018474854E-3</v>
      </c>
      <c r="AD13" s="10">
        <f>$F$16*[2]production!AF7</f>
        <v>0.56488320045190654</v>
      </c>
      <c r="AE13" s="10">
        <f>$F$16*[2]production!AG7</f>
        <v>1.7418816013935052</v>
      </c>
      <c r="AF13" s="10">
        <f>$F$16*[2]production!AH7</f>
        <v>1.0258848008207078</v>
      </c>
    </row>
    <row r="14" spans="1:32">
      <c r="A14" s="63">
        <v>70</v>
      </c>
      <c r="B14" s="96" t="s">
        <v>42</v>
      </c>
      <c r="C14" s="97">
        <f>630/350*A14/100*10000*'material inventory'!C11</f>
        <v>10080</v>
      </c>
      <c r="D14" s="98">
        <v>600</v>
      </c>
      <c r="E14" s="99">
        <f>C14*D14/1000000</f>
        <v>6.048</v>
      </c>
      <c r="F14" s="100">
        <f t="shared" si="0"/>
        <v>1.680000001344</v>
      </c>
      <c r="I14" s="11" t="s">
        <v>158</v>
      </c>
      <c r="J14" s="10">
        <f>F18*[2]production!$D$7</f>
        <v>4.7574154393188799</v>
      </c>
      <c r="K14" s="10">
        <f>$F$18*[2]production!M7</f>
        <v>83.710479577905772</v>
      </c>
      <c r="L14" s="10">
        <f>$F$18*[2]production!N7</f>
        <v>5.4466482795458718E-3</v>
      </c>
      <c r="M14" s="10">
        <f>$F$18*[2]production!O7</f>
        <v>4.4898309248778112</v>
      </c>
      <c r="N14" s="10">
        <f>$F$18*[2]production!P7</f>
        <v>1.9829265670701719</v>
      </c>
      <c r="O14" s="10">
        <f>$F$18*[2]production!Q7</f>
        <v>1.7095118866495465E-2</v>
      </c>
      <c r="P14" s="10">
        <f>$F$18*[2]production!R7</f>
        <v>8.3424984229322642E-5</v>
      </c>
      <c r="Q14" s="10">
        <f>$F$18*[2]production!S7</f>
        <v>34.970943867035118</v>
      </c>
      <c r="R14" s="10">
        <f>$F$18*[2]production!T7</f>
        <v>2.8299759691575992E-2</v>
      </c>
      <c r="S14" s="10">
        <f>$F$18*[2]production!U7</f>
        <v>10.517083319905129</v>
      </c>
      <c r="T14" s="10">
        <f>$F$18*[2]production!V7</f>
        <v>4.1196488918769456E-3</v>
      </c>
      <c r="U14" s="10">
        <f>$F$18*[2]production!W7</f>
        <v>2.0097319278957235E-2</v>
      </c>
      <c r="V14" s="10">
        <f>$F$18*[2]production!X7</f>
        <v>7.3949289177490188E-4</v>
      </c>
      <c r="W14" s="10">
        <f>$F$18*[2]production!Y7</f>
        <v>3.9734926619756263E-7</v>
      </c>
      <c r="X14" s="10">
        <f>$F$18*[2]production!Z7</f>
        <v>5.0167573053060896E-3</v>
      </c>
      <c r="Y14" s="10">
        <f>$F$18*[2]production!AA7</f>
        <v>1.3493818639582622E-2</v>
      </c>
      <c r="Z14" s="10">
        <f>$F$18*[2]production!AB7</f>
        <v>1.9433886598524835E-2</v>
      </c>
      <c r="AA14" s="10">
        <f>$F$18*[2]production!AC7</f>
        <v>3.4781966073214985E-4</v>
      </c>
      <c r="AB14" s="10">
        <f>$F$18*[2]production!AD7</f>
        <v>2.1451660134668227E-3</v>
      </c>
      <c r="AC14" s="10">
        <f>$F$18*[2]production!AE7</f>
        <v>5.3735366578941803E-4</v>
      </c>
      <c r="AD14" s="10">
        <f>$F$18*[2]production!AF7</f>
        <v>0.13144008680809174</v>
      </c>
      <c r="AE14" s="10">
        <f>$F$18*[2]production!AG7</f>
        <v>0.40531045836275142</v>
      </c>
      <c r="AF14" s="10">
        <f>$F$18*[2]production!AH7</f>
        <v>0.23870843949174245</v>
      </c>
    </row>
    <row r="15" spans="1:32">
      <c r="B15" s="81" t="s">
        <v>52</v>
      </c>
      <c r="C15" s="82">
        <f>(300+370)*(10000*'material inventory'!C13/100)^2*(5000/9999)^2</f>
        <v>1072214.4321642884</v>
      </c>
      <c r="D15" s="83">
        <v>20</v>
      </c>
      <c r="E15" s="84">
        <f>C15*D15/1000000</f>
        <v>21.444288643285766</v>
      </c>
      <c r="F15" s="85">
        <f t="shared" si="0"/>
        <v>5.9567468501225544</v>
      </c>
      <c r="G15" s="10" t="s">
        <v>166</v>
      </c>
      <c r="I15" s="11" t="str">
        <f>B20</f>
        <v>Vacuum pump</v>
      </c>
      <c r="J15" s="10">
        <f>$F20*[4]production!D$7</f>
        <v>6.5312640052250099</v>
      </c>
      <c r="K15" s="10">
        <f>$F20*[4]production!M$7</f>
        <v>114.92274515457818</v>
      </c>
      <c r="L15" s="10">
        <f>$F20*[4]production!N$7</f>
        <v>7.4774840059819853E-3</v>
      </c>
      <c r="M15" s="10">
        <f>$F20*[4]production!O$7</f>
        <v>6.163908004931125</v>
      </c>
      <c r="N15" s="10">
        <f>$F20*[4]production!P$7</f>
        <v>2.7222800021778233</v>
      </c>
      <c r="O15" s="10">
        <f>$F20*[4]production!Q$7</f>
        <v>2.3469200018775355E-2</v>
      </c>
      <c r="P15" s="10">
        <f>$F20*[4]production!R$7</f>
        <v>1.1453080009162462E-4</v>
      </c>
      <c r="Q15" s="10">
        <f>$F20*[4]production!S$7</f>
        <v>48.010200038408151</v>
      </c>
      <c r="R15" s="10">
        <f>$F20*[4]production!T$7</f>
        <v>3.8851600031081276E-2</v>
      </c>
      <c r="S15" s="10">
        <f>$F20*[4]production!U$7</f>
        <v>14.43848001155078</v>
      </c>
      <c r="T15" s="10">
        <f>$F20*[4]production!V$7</f>
        <v>5.6557000045245583E-3</v>
      </c>
      <c r="U15" s="10">
        <f>$F20*[4]production!W$7</f>
        <v>2.7590800022072634E-2</v>
      </c>
      <c r="V15" s="10">
        <f>$F20*[4]production!X$7</f>
        <v>1.0152200008121757E-3</v>
      </c>
      <c r="W15" s="10">
        <f>$F20*[4]production!Y$7</f>
        <v>5.4550480043640371E-7</v>
      </c>
      <c r="X15" s="10">
        <f>$F20*[4]production!Z$7</f>
        <v>6.8873040055098412E-3</v>
      </c>
      <c r="Y15" s="10">
        <f>$F20*[4]production!AA$7</f>
        <v>1.8525120014820092E-2</v>
      </c>
      <c r="Z15" s="10">
        <f>$F20*[4]production!AB$7</f>
        <v>2.6680000021343991E-2</v>
      </c>
      <c r="AA15" s="10">
        <f>$F20*[4]production!AC$7</f>
        <v>4.77507600382006E-4</v>
      </c>
      <c r="AB15" s="10">
        <f>$F20*[4]production!AD$7</f>
        <v>2.9450120023560094E-3</v>
      </c>
      <c r="AC15" s="10">
        <f>$F20*[4]production!AE$7</f>
        <v>7.3771120059016877E-4</v>
      </c>
      <c r="AD15" s="10">
        <f>$F20*[4]production!AF$7</f>
        <v>0.18044880014435899</v>
      </c>
      <c r="AE15" s="10">
        <f>$F20*[4]production!AG$7</f>
        <v>0.55643440044514747</v>
      </c>
      <c r="AF15" s="10">
        <f>$F20*[4]production!AH$7</f>
        <v>0.32771320026217049</v>
      </c>
    </row>
    <row r="16" spans="1:32" ht="15.75" thickBot="1">
      <c r="A16" s="63">
        <v>100</v>
      </c>
      <c r="B16" s="101" t="s">
        <v>54</v>
      </c>
      <c r="C16" s="102">
        <f>630/350*A16/100*10000*'material inventory'!C13</f>
        <v>14400</v>
      </c>
      <c r="D16" s="103">
        <f>2*60*60</f>
        <v>7200</v>
      </c>
      <c r="E16" s="104">
        <f>C16*D16/1000000</f>
        <v>103.68</v>
      </c>
      <c r="F16" s="105">
        <f t="shared" si="0"/>
        <v>28.800000023039999</v>
      </c>
      <c r="I16" s="11" t="str">
        <f>B21</f>
        <v>Evaporation</v>
      </c>
      <c r="J16" s="10">
        <f>$F21*[4]production!D$7</f>
        <v>3.7862400030289916</v>
      </c>
      <c r="K16" s="10">
        <f>$F21*[4]production!M$7</f>
        <v>66.621881249030835</v>
      </c>
      <c r="L16" s="10">
        <f>$F21*[4]production!N$7</f>
        <v>4.3347733368011513E-3</v>
      </c>
      <c r="M16" s="10">
        <f>$F21*[4]production!O$7</f>
        <v>3.5732800028586231</v>
      </c>
      <c r="N16" s="10">
        <f>$F21*[4]production!P$7</f>
        <v>1.5781333345958397</v>
      </c>
      <c r="O16" s="10">
        <f>$F21*[4]production!Q$7</f>
        <v>1.3605333344217598E-2</v>
      </c>
      <c r="P16" s="10">
        <f>$F21*[4]production!R$7</f>
        <v>6.6394666719782398E-5</v>
      </c>
      <c r="Q16" s="10">
        <f>$F21*[4]production!S$7</f>
        <v>27.832000022265593</v>
      </c>
      <c r="R16" s="10">
        <f>$F21*[4]production!T$7</f>
        <v>2.2522666684684799E-2</v>
      </c>
      <c r="S16" s="10">
        <f>$F21*[4]production!U$7</f>
        <v>8.3701333400294384</v>
      </c>
      <c r="T16" s="10">
        <f>$F21*[4]production!V$7</f>
        <v>3.2786666692895994E-3</v>
      </c>
      <c r="U16" s="10">
        <f>$F21*[4]production!W$7</f>
        <v>1.5994666679462397E-2</v>
      </c>
      <c r="V16" s="10">
        <f>$F21*[4]production!X$7</f>
        <v>5.885333338041599E-4</v>
      </c>
      <c r="W16" s="10">
        <f>$F21*[4]production!Y$7</f>
        <v>3.1623466691965438E-7</v>
      </c>
      <c r="X16" s="10">
        <f>$F21*[4]production!Z$7</f>
        <v>3.9926400031941112E-3</v>
      </c>
      <c r="Y16" s="10">
        <f>$F21*[4]production!AA$7</f>
        <v>1.0739200008591358E-2</v>
      </c>
      <c r="Z16" s="10">
        <f>$F21*[4]production!AB$7</f>
        <v>1.5466666679039997E-2</v>
      </c>
      <c r="AA16" s="10">
        <f>$F21*[4]production!AC$7</f>
        <v>2.7681600022145278E-4</v>
      </c>
      <c r="AB16" s="10">
        <f>$F21*[4]production!AD$7</f>
        <v>1.707253334699136E-3</v>
      </c>
      <c r="AC16" s="10">
        <f>$F21*[4]production!AE$7</f>
        <v>4.276586670087935E-4</v>
      </c>
      <c r="AD16" s="10">
        <f>$F21*[4]production!AF$7</f>
        <v>0.10460800008368638</v>
      </c>
      <c r="AE16" s="10">
        <f>$F21*[4]production!AG$7</f>
        <v>0.32257066692472314</v>
      </c>
      <c r="AF16" s="10">
        <f>$F21*[4]production!AH$7</f>
        <v>0.18997866681864958</v>
      </c>
    </row>
    <row r="17" spans="2:32">
      <c r="B17" s="70" t="s">
        <v>12</v>
      </c>
      <c r="C17" s="71"/>
      <c r="D17" s="78"/>
      <c r="E17" s="79"/>
      <c r="F17" s="80"/>
      <c r="I17" s="11" t="str">
        <f>B22</f>
        <v>Cooling</v>
      </c>
      <c r="J17" s="10">
        <f>$F22*[4]production!D$7</f>
        <v>11.358720009086975</v>
      </c>
      <c r="K17" s="10">
        <f>$F22*[4]production!M$7</f>
        <v>199.86564374709252</v>
      </c>
      <c r="L17" s="10">
        <f>$F22*[4]production!N$7</f>
        <v>1.3004320010403454E-2</v>
      </c>
      <c r="M17" s="10">
        <f>$F22*[4]production!O$7</f>
        <v>10.71984000857587</v>
      </c>
      <c r="N17" s="10">
        <f>$F22*[4]production!P$7</f>
        <v>4.7344000037875196</v>
      </c>
      <c r="O17" s="10">
        <f>$F22*[4]production!Q$7</f>
        <v>4.0816000032652788E-2</v>
      </c>
      <c r="P17" s="10">
        <f>$F22*[4]production!R$7</f>
        <v>1.9918400015934718E-4</v>
      </c>
      <c r="Q17" s="10">
        <f>$F22*[4]production!S$7</f>
        <v>83.496000066796782</v>
      </c>
      <c r="R17" s="10">
        <f>$F22*[4]production!T$7</f>
        <v>6.7568000054054389E-2</v>
      </c>
      <c r="S17" s="10">
        <f>$F22*[4]production!U$7</f>
        <v>25.110400020088314</v>
      </c>
      <c r="T17" s="10">
        <f>$F22*[4]production!V$7</f>
        <v>9.8360000078687969E-3</v>
      </c>
      <c r="U17" s="10">
        <f>$F22*[4]production!W$7</f>
        <v>4.7984000038387188E-2</v>
      </c>
      <c r="V17" s="10">
        <f>$F22*[4]production!X$7</f>
        <v>1.7656000014124797E-3</v>
      </c>
      <c r="W17" s="10">
        <f>$F22*[4]production!Y$7</f>
        <v>9.4870400075896304E-7</v>
      </c>
      <c r="X17" s="10">
        <f>$F22*[4]production!Z$7</f>
        <v>1.1977920009582334E-2</v>
      </c>
      <c r="Y17" s="10">
        <f>$F22*[4]production!AA$7</f>
        <v>3.2217600025774076E-2</v>
      </c>
      <c r="Z17" s="10">
        <f>$F22*[4]production!AB$7</f>
        <v>4.6400000037119991E-2</v>
      </c>
      <c r="AA17" s="10">
        <f>$F22*[4]production!AC$7</f>
        <v>8.3044800066435823E-4</v>
      </c>
      <c r="AB17" s="10">
        <f>$F22*[4]production!AD$7</f>
        <v>5.1217600040974077E-3</v>
      </c>
      <c r="AC17" s="10">
        <f>$F22*[4]production!AE$7</f>
        <v>1.2829760010263805E-3</v>
      </c>
      <c r="AD17" s="10">
        <f>$F22*[4]production!AF$7</f>
        <v>0.31382400025105917</v>
      </c>
      <c r="AE17" s="10">
        <f>$F22*[4]production!AG$7</f>
        <v>0.96771200077416941</v>
      </c>
      <c r="AF17" s="10">
        <f>$F22*[4]production!AH$7</f>
        <v>0.56993600045594872</v>
      </c>
    </row>
    <row r="18" spans="2:32" ht="15.75" thickBot="1">
      <c r="B18" s="86" t="s">
        <v>50</v>
      </c>
      <c r="C18" s="87">
        <f>C9</f>
        <v>268053.60804107209</v>
      </c>
      <c r="D18" s="88">
        <f>D9</f>
        <v>90</v>
      </c>
      <c r="E18" s="89">
        <f>C18*D18/1000000</f>
        <v>24.124824723696488</v>
      </c>
      <c r="F18" s="90">
        <f t="shared" si="0"/>
        <v>6.701340206387874</v>
      </c>
      <c r="G18" s="10" t="s">
        <v>168</v>
      </c>
    </row>
    <row r="19" spans="2:32">
      <c r="B19" s="106" t="s">
        <v>44</v>
      </c>
      <c r="C19" s="71"/>
      <c r="D19" s="71"/>
      <c r="E19" s="79"/>
      <c r="F19" s="80"/>
      <c r="I19" s="12"/>
    </row>
    <row r="20" spans="2:32">
      <c r="B20" s="107" t="s">
        <v>173</v>
      </c>
      <c r="C20" s="92">
        <f>575/156.25*10000</f>
        <v>36800</v>
      </c>
      <c r="D20" s="108">
        <f>15*60</f>
        <v>900</v>
      </c>
      <c r="E20" s="94">
        <f>C20*D20/1000000</f>
        <v>33.119999999999997</v>
      </c>
      <c r="F20" s="95">
        <f t="shared" si="0"/>
        <v>9.2000000073599981</v>
      </c>
    </row>
    <row r="21" spans="2:32">
      <c r="B21" s="107" t="s">
        <v>172</v>
      </c>
      <c r="C21" s="92">
        <f>600/156.25*10000</f>
        <v>38400</v>
      </c>
      <c r="D21" s="108">
        <f>'material inventory'!B20/0.2</f>
        <v>500</v>
      </c>
      <c r="E21" s="94">
        <f>C21*D21/1000000</f>
        <v>19.2</v>
      </c>
      <c r="F21" s="95">
        <f>E21*0.277777778</f>
        <v>5.3333333375999992</v>
      </c>
    </row>
    <row r="22" spans="2:32" ht="15.75" thickBot="1">
      <c r="B22" s="109" t="s">
        <v>171</v>
      </c>
      <c r="C22" s="110">
        <f>250/156.25*10000</f>
        <v>16000</v>
      </c>
      <c r="D22" s="75">
        <v>3600</v>
      </c>
      <c r="E22" s="76">
        <f>C22*D22/1000000</f>
        <v>57.6</v>
      </c>
      <c r="F22" s="77">
        <f t="shared" si="0"/>
        <v>16.000000012799998</v>
      </c>
      <c r="I22" s="10" t="s">
        <v>56</v>
      </c>
      <c r="J22" s="18">
        <f t="shared" ref="J22:AF22" si="1">SUM(J6:J21)</f>
        <v>94.378110541393454</v>
      </c>
      <c r="K22" s="18">
        <f t="shared" si="1"/>
        <v>1660.6573455371299</v>
      </c>
      <c r="L22" s="10">
        <f t="shared" si="1"/>
        <v>0.10805118450632234</v>
      </c>
      <c r="M22" s="10">
        <f t="shared" si="1"/>
        <v>89.069740649126942</v>
      </c>
      <c r="N22" s="10">
        <f t="shared" si="1"/>
        <v>39.33750691514301</v>
      </c>
      <c r="O22" s="10">
        <f t="shared" si="1"/>
        <v>0.33913477573683609</v>
      </c>
      <c r="P22" s="10">
        <f t="shared" si="1"/>
        <v>1.6549936586232352E-3</v>
      </c>
      <c r="Q22" s="10">
        <f t="shared" si="1"/>
        <v>693.7572823138687</v>
      </c>
      <c r="R22" s="10">
        <f t="shared" si="1"/>
        <v>0.56141362522017213</v>
      </c>
      <c r="S22" s="10">
        <f t="shared" si="1"/>
        <v>208.63901099231305</v>
      </c>
      <c r="T22" s="10">
        <f t="shared" si="1"/>
        <v>8.1726030334856911E-2</v>
      </c>
      <c r="U22" s="10">
        <f t="shared" si="1"/>
        <v>0.39869274497639023</v>
      </c>
      <c r="V22" s="10">
        <f t="shared" si="1"/>
        <v>1.4670138182108924E-2</v>
      </c>
      <c r="W22" s="10">
        <f t="shared" si="1"/>
        <v>7.8826567591297378E-6</v>
      </c>
      <c r="X22" s="10">
        <f t="shared" si="1"/>
        <v>9.9522961902042434E-2</v>
      </c>
      <c r="Y22" s="10">
        <f t="shared" si="1"/>
        <v>0.26769180102849599</v>
      </c>
      <c r="Z22" s="10">
        <f t="shared" si="1"/>
        <v>0.38553149730961372</v>
      </c>
      <c r="AA22" s="10">
        <f t="shared" si="1"/>
        <v>6.9000832085727186E-3</v>
      </c>
      <c r="AB22" s="10">
        <f t="shared" si="1"/>
        <v>4.255603020820016E-2</v>
      </c>
      <c r="AC22" s="10">
        <f t="shared" si="1"/>
        <v>1.0660078842506441E-2</v>
      </c>
      <c r="AD22" s="10">
        <f t="shared" si="1"/>
        <v>2.6075223407692287</v>
      </c>
      <c r="AE22" s="10">
        <f t="shared" si="1"/>
        <v>8.0405917311310553</v>
      </c>
      <c r="AF22" s="10">
        <f t="shared" si="1"/>
        <v>4.7355232640226719</v>
      </c>
    </row>
    <row r="23" spans="2:32">
      <c r="B23" s="5" t="s">
        <v>45</v>
      </c>
      <c r="E23" s="33">
        <f>SUM(E7:E22)*0.277777778</f>
        <v>132.94189562400476</v>
      </c>
      <c r="F23" s="33">
        <f>SUM(F7:F22)</f>
        <v>132.94189562400473</v>
      </c>
      <c r="G23" s="10" t="s">
        <v>46</v>
      </c>
    </row>
    <row r="26" spans="2:32">
      <c r="I26" s="16" t="s">
        <v>178</v>
      </c>
      <c r="J26" s="10">
        <f>J6/F7*F27</f>
        <v>1.6328160013062525E-2</v>
      </c>
      <c r="K26" s="10">
        <f>K6/F7*F27</f>
        <v>0.28730686288644547</v>
      </c>
    </row>
    <row r="27" spans="2:32">
      <c r="B27" s="16" t="s">
        <v>60</v>
      </c>
      <c r="C27" s="5">
        <f>230*0.6</f>
        <v>138</v>
      </c>
      <c r="D27" s="5">
        <f>10*60</f>
        <v>600</v>
      </c>
      <c r="E27" s="5">
        <f>C27*D27/1000000</f>
        <v>8.2799999999999999E-2</v>
      </c>
      <c r="F27" s="5">
        <f>E27*0.277777778</f>
        <v>2.3000000018399996E-2</v>
      </c>
    </row>
    <row r="29" spans="2:32">
      <c r="M29" s="18">
        <f>SUM(K6:K15)</f>
        <v>1394.1698205410066</v>
      </c>
    </row>
    <row r="30" spans="2:32">
      <c r="M30" s="18"/>
    </row>
  </sheetData>
  <mergeCells count="3">
    <mergeCell ref="B4:E4"/>
    <mergeCell ref="L4:AC4"/>
    <mergeCell ref="AD4:AF4"/>
  </mergeCells>
  <phoneticPr fontId="7"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X33"/>
  <sheetViews>
    <sheetView zoomScaleNormal="100" workbookViewId="0">
      <selection activeCell="C14" sqref="C14:C25"/>
    </sheetView>
  </sheetViews>
  <sheetFormatPr defaultRowHeight="15"/>
  <cols>
    <col min="1" max="1" width="20.42578125" customWidth="1"/>
    <col min="2" max="24" width="13.28515625" customWidth="1"/>
  </cols>
  <sheetData>
    <row r="2" spans="1:24" s="44" customFormat="1">
      <c r="B2" s="44" t="str">
        <f>'material inventory'!N2</f>
        <v>Carbon footprint</v>
      </c>
      <c r="C2" s="44" t="str">
        <f>'material inventory'!O2</f>
        <v>Primary energy consumption</v>
      </c>
      <c r="D2" s="44" t="str">
        <f>'material inventory'!P2</f>
        <v>agricultural land occupation</v>
      </c>
      <c r="E2" s="44" t="str">
        <f>'material inventory'!Q2</f>
        <v>climate change</v>
      </c>
      <c r="F2" s="44" t="str">
        <f>'material inventory'!R2</f>
        <v>fossil depletion</v>
      </c>
      <c r="G2" s="44" t="str">
        <f>'material inventory'!S2</f>
        <v>freshwater ecotoxicity</v>
      </c>
      <c r="H2" s="44" t="str">
        <f>'material inventory'!T2</f>
        <v>freshwater eutrophication</v>
      </c>
      <c r="I2" s="44" t="str">
        <f>'material inventory'!U2</f>
        <v>human toxicity</v>
      </c>
      <c r="J2" s="44" t="str">
        <f>'material inventory'!V2</f>
        <v>ionising radiation</v>
      </c>
      <c r="K2" s="44" t="str">
        <f>'material inventory'!W2</f>
        <v>marine ecotoxicity</v>
      </c>
      <c r="L2" s="44" t="str">
        <f>'material inventory'!X2</f>
        <v>marine eutrophication</v>
      </c>
      <c r="M2" s="44" t="str">
        <f>'material inventory'!Y2</f>
        <v>metal depletion</v>
      </c>
      <c r="N2" s="44" t="str">
        <f>'material inventory'!Z2</f>
        <v>natural land transformation</v>
      </c>
      <c r="O2" s="44" t="str">
        <f>'material inventory'!AA2</f>
        <v>ozone depletion</v>
      </c>
      <c r="P2" s="44" t="str">
        <f>'material inventory'!AB2</f>
        <v>particulate matter formation</v>
      </c>
      <c r="Q2" s="44" t="str">
        <f>'material inventory'!AC2</f>
        <v>photochemical oxidant formation</v>
      </c>
      <c r="R2" s="44" t="str">
        <f>'material inventory'!AD2</f>
        <v>terrestrial acidification</v>
      </c>
      <c r="S2" s="44" t="str">
        <f>'material inventory'!AE2</f>
        <v>terrestrial ecotoxicity</v>
      </c>
      <c r="T2" s="44" t="str">
        <f>'material inventory'!AF2</f>
        <v>urban land occupation</v>
      </c>
      <c r="U2" s="44" t="str">
        <f>'material inventory'!AG2</f>
        <v>water depletion</v>
      </c>
      <c r="V2" s="44" t="str">
        <f>'material inventory'!AH2</f>
        <v>ecosystem quality</v>
      </c>
      <c r="W2" s="44" t="str">
        <f>'material inventory'!AI2</f>
        <v>human health</v>
      </c>
      <c r="X2" s="44" t="str">
        <f>'material inventory'!AJ2</f>
        <v>resources</v>
      </c>
    </row>
    <row r="3" spans="1:24">
      <c r="A3" s="41" t="str">
        <f>'material inventory'!M3</f>
        <v>ITO glass</v>
      </c>
      <c r="B3">
        <f>'material inventory'!N3</f>
        <v>16.837863429999999</v>
      </c>
      <c r="C3">
        <f>'material inventory'!O3</f>
        <v>292.22870408888105</v>
      </c>
      <c r="D3">
        <f>'material inventory'!P3</f>
        <v>5.4035999599999995E-2</v>
      </c>
      <c r="E3">
        <f>'material inventory'!Q3</f>
        <v>15.863857979999999</v>
      </c>
      <c r="F3">
        <f>'material inventory'!R3</f>
        <v>6.8711502629999996</v>
      </c>
      <c r="G3">
        <f>'material inventory'!S3</f>
        <v>8.2522552700000001E-2</v>
      </c>
      <c r="H3">
        <f>'material inventory'!T3</f>
        <v>1.0550032339999998E-3</v>
      </c>
      <c r="I3">
        <f>'material inventory'!U3</f>
        <v>165.51815009999999</v>
      </c>
      <c r="J3">
        <f>'material inventory'!V3</f>
        <v>0.16734019</v>
      </c>
      <c r="K3">
        <f>'material inventory'!W3</f>
        <v>66.525372399999995</v>
      </c>
      <c r="L3">
        <f>'material inventory'!X3</f>
        <v>1.5045233709999998E-2</v>
      </c>
      <c r="M3">
        <f>'material inventory'!Y3</f>
        <v>0.64124742970000004</v>
      </c>
      <c r="N3">
        <f>'material inventory'!Z3</f>
        <v>2.6055490222000001E-3</v>
      </c>
      <c r="O3">
        <f>'material inventory'!AA3</f>
        <v>1.3754312987000001E-6</v>
      </c>
      <c r="P3">
        <f>'material inventory'!AB3</f>
        <v>1.994535221E-2</v>
      </c>
      <c r="Q3">
        <f>'material inventory'!AC3</f>
        <v>4.8864307230000001E-2</v>
      </c>
      <c r="R3">
        <f>'material inventory'!AD3</f>
        <v>7.2168691110000002E-2</v>
      </c>
      <c r="S3">
        <f>'material inventory'!AE3</f>
        <v>7.877002793E-3</v>
      </c>
      <c r="T3">
        <f>'material inventory'!AF3</f>
        <v>1.5844954200000001E-2</v>
      </c>
      <c r="U3">
        <f>'material inventory'!AG3</f>
        <v>1.0150023860000001E-2</v>
      </c>
      <c r="V3">
        <f>'material inventory'!AH3</f>
        <v>0.48907124690000003</v>
      </c>
      <c r="W3">
        <f>'material inventory'!AI3</f>
        <v>1.723918898</v>
      </c>
      <c r="X3">
        <f>'material inventory'!AJ3</f>
        <v>0.8537033906</v>
      </c>
    </row>
    <row r="4" spans="1:24">
      <c r="A4" s="41" t="str">
        <f>'material inventory'!M4</f>
        <v>Ethanol</v>
      </c>
      <c r="B4">
        <f>'material inventory'!N4</f>
        <v>3.6067691999999998E-2</v>
      </c>
      <c r="C4">
        <f>'material inventory'!O4</f>
        <v>1.0715802776700001</v>
      </c>
      <c r="D4">
        <f>'material inventory'!P4</f>
        <v>2.8743858000000001E-2</v>
      </c>
      <c r="E4">
        <f>'material inventory'!Q4</f>
        <v>3.1405899000000001E-2</v>
      </c>
      <c r="F4">
        <f>'material inventory'!R4</f>
        <v>8.8342137000000012E-3</v>
      </c>
      <c r="G4">
        <f>'material inventory'!S4</f>
        <v>8.7942701999999993E-4</v>
      </c>
      <c r="H4">
        <f>'material inventory'!T4</f>
        <v>1.4630402100000002E-5</v>
      </c>
      <c r="I4">
        <f>'material inventory'!U4</f>
        <v>0.43082286000000003</v>
      </c>
      <c r="J4">
        <f>'material inventory'!V4</f>
        <v>2.2433300400000003E-3</v>
      </c>
      <c r="K4">
        <f>'material inventory'!W4</f>
        <v>0.34614264</v>
      </c>
      <c r="L4">
        <f>'material inventory'!X4</f>
        <v>1.6083572399999999E-4</v>
      </c>
      <c r="M4">
        <f>'material inventory'!Y4</f>
        <v>1.4034857400000002E-3</v>
      </c>
      <c r="N4">
        <f>'material inventory'!Z4</f>
        <v>2.7079116E-5</v>
      </c>
      <c r="O4">
        <f>'material inventory'!AA4</f>
        <v>2.2928857500000002E-9</v>
      </c>
      <c r="P4">
        <f>'material inventory'!AB4</f>
        <v>1.0093335900000002E-4</v>
      </c>
      <c r="Q4">
        <f>'material inventory'!AC4</f>
        <v>1.05937893E-4</v>
      </c>
      <c r="R4">
        <f>'material inventory'!AD4</f>
        <v>3.3153105E-4</v>
      </c>
      <c r="S4">
        <f>'material inventory'!AE4</f>
        <v>2.1167478000000002E-4</v>
      </c>
      <c r="T4">
        <f>'material inventory'!AF4</f>
        <v>1.54050483E-3</v>
      </c>
      <c r="U4">
        <f>'material inventory'!AG4</f>
        <v>9.6299913000000015E-3</v>
      </c>
      <c r="V4">
        <f>'material inventory'!AH4</f>
        <v>8.7991665000000004E-3</v>
      </c>
      <c r="W4">
        <f>'material inventory'!AI4</f>
        <v>4.2486998999999998E-3</v>
      </c>
      <c r="X4">
        <f>'material inventory'!AJ4</f>
        <v>1.12439664E-3</v>
      </c>
    </row>
    <row r="5" spans="1:24">
      <c r="A5" s="41" t="str">
        <f>'material inventory'!M5</f>
        <v>Deionized water</v>
      </c>
      <c r="B5">
        <f>'material inventory'!N5</f>
        <v>5.6916582000000001E-5</v>
      </c>
      <c r="C5">
        <f>'material inventory'!O5</f>
        <v>7.8310930304560005E-4</v>
      </c>
      <c r="D5">
        <f>'material inventory'!P5</f>
        <v>2.6201811600000002E-6</v>
      </c>
      <c r="E5">
        <f>'material inventory'!Q5</f>
        <v>5.2353980000000006E-5</v>
      </c>
      <c r="F5">
        <f>'material inventory'!R5</f>
        <v>1.50591994E-5</v>
      </c>
      <c r="G5">
        <f>'material inventory'!S5</f>
        <v>7.8478714000000003E-7</v>
      </c>
      <c r="H5">
        <f>'material inventory'!T5</f>
        <v>2.7811623000000003E-8</v>
      </c>
      <c r="I5">
        <f>'material inventory'!U5</f>
        <v>1.04061292E-3</v>
      </c>
      <c r="J5">
        <f>'material inventory'!V5</f>
        <v>5.6795740000000004E-6</v>
      </c>
      <c r="K5">
        <f>'material inventory'!W5</f>
        <v>8.9367557999999998E-4</v>
      </c>
      <c r="L5">
        <f>'material inventory'!X5</f>
        <v>5.6067422000000004E-8</v>
      </c>
      <c r="M5">
        <f>'material inventory'!Y5</f>
        <v>3.7415296000000003E-6</v>
      </c>
      <c r="N5">
        <f>'material inventory'!Z5</f>
        <v>7.2221057999999999E-9</v>
      </c>
      <c r="O5">
        <f>'material inventory'!AA5</f>
        <v>2.3853884200000003E-11</v>
      </c>
      <c r="P5">
        <f>'material inventory'!AB5</f>
        <v>1.8625998000000001E-7</v>
      </c>
      <c r="Q5">
        <f>'material inventory'!AC5</f>
        <v>1.60177704E-7</v>
      </c>
      <c r="R5">
        <f>'material inventory'!AD5</f>
        <v>2.8821796800000001E-7</v>
      </c>
      <c r="S5">
        <f>'material inventory'!AE5</f>
        <v>4.6543766000000001E-8</v>
      </c>
      <c r="T5">
        <f>'material inventory'!AF5</f>
        <v>4.9845692000000008E-7</v>
      </c>
      <c r="U5">
        <f>'material inventory'!AG5</f>
        <v>4.2774802000000001E-5</v>
      </c>
      <c r="V5">
        <f>'material inventory'!AH5</f>
        <v>2.45299462E-6</v>
      </c>
      <c r="W5">
        <f>'material inventory'!AI5</f>
        <v>9.3691742000000004E-6</v>
      </c>
      <c r="X5">
        <f>'material inventory'!AJ5</f>
        <v>1.9793919600000001E-6</v>
      </c>
    </row>
    <row r="6" spans="1:24">
      <c r="A6" s="41" t="str">
        <f>'material inventory'!M6</f>
        <v>NiOₓ precursor solution</v>
      </c>
      <c r="B6">
        <f>'material inventory'!N6</f>
        <v>4.2979770179029153E-2</v>
      </c>
      <c r="C6">
        <f>'material inventory'!O6</f>
        <v>0.85144954245080751</v>
      </c>
      <c r="D6">
        <f>'material inventory'!P6</f>
        <v>9.8171065326138531E-3</v>
      </c>
      <c r="E6">
        <f>'material inventory'!Q6</f>
        <v>3.745762603269575E-2</v>
      </c>
      <c r="F6">
        <f>'material inventory'!R6</f>
        <v>1.6566122329927865E-2</v>
      </c>
      <c r="G6">
        <f>'material inventory'!S6</f>
        <v>1.5488511728583951E-3</v>
      </c>
      <c r="H6">
        <f>'material inventory'!T6</f>
        <v>2.9080910399432381E-5</v>
      </c>
      <c r="I6">
        <f>'material inventory'!U6</f>
        <v>1.8196603523835628</v>
      </c>
      <c r="J6">
        <f>'material inventory'!V6</f>
        <v>3.1888249964055061E-3</v>
      </c>
      <c r="K6">
        <f>'material inventory'!W6</f>
        <v>1.7930587406290797</v>
      </c>
      <c r="L6">
        <f>'material inventory'!X6</f>
        <v>7.7502811652045329E-5</v>
      </c>
      <c r="M6">
        <f>'material inventory'!Y6</f>
        <v>2.2069750326697651E-2</v>
      </c>
      <c r="N6">
        <f>'material inventory'!Z6</f>
        <v>5.1354084215145801E-6</v>
      </c>
      <c r="O6">
        <f>'material inventory'!AA6</f>
        <v>5.6588934356561583E-9</v>
      </c>
      <c r="P6">
        <f>'material inventory'!AB6</f>
        <v>3.8041102989331795E-4</v>
      </c>
      <c r="Q6">
        <f>'material inventory'!AC6</f>
        <v>2.7194206786856738E-4</v>
      </c>
      <c r="R6">
        <f>'material inventory'!AD6</f>
        <v>1.5425559533476659E-3</v>
      </c>
      <c r="S6">
        <f>'material inventory'!AE6</f>
        <v>1.2999325710311236E-4</v>
      </c>
      <c r="T6">
        <f>'material inventory'!AF6</f>
        <v>4.9503511121603042E-4</v>
      </c>
      <c r="U6">
        <f>'material inventory'!AG6</f>
        <v>2.129692501485106E-4</v>
      </c>
      <c r="V6">
        <f>'material inventory'!AH6</f>
        <v>2.3036413886438276E-3</v>
      </c>
      <c r="W6">
        <f>'material inventory'!AI6</f>
        <v>1.4647939918316893E-2</v>
      </c>
      <c r="X6">
        <f>'material inventory'!AJ6</f>
        <v>2.904068480848847E-3</v>
      </c>
    </row>
    <row r="7" spans="1:24">
      <c r="A7" s="41" t="str">
        <f>'material inventory'!M7</f>
        <v>PbI₂</v>
      </c>
      <c r="B7">
        <f>'material inventory'!N7</f>
        <v>3.838655237013149E-3</v>
      </c>
      <c r="C7">
        <f>'material inventory'!O7</f>
        <v>4.564611525436902E-2</v>
      </c>
      <c r="D7">
        <f>'material inventory'!P7</f>
        <v>8.8046073525779227E-4</v>
      </c>
      <c r="E7">
        <f>'material inventory'!Q7</f>
        <v>3.2783364699098239E-3</v>
      </c>
      <c r="F7">
        <f>'material inventory'!R7</f>
        <v>8.7015914465845103E-4</v>
      </c>
      <c r="G7">
        <f>'material inventory'!S7</f>
        <v>5.9935696643442065E-5</v>
      </c>
      <c r="H7">
        <f>'material inventory'!T7</f>
        <v>1.6639946725240682E-6</v>
      </c>
      <c r="I7">
        <f>'material inventory'!U7</f>
        <v>0.13114795215536751</v>
      </c>
      <c r="J7">
        <f>'material inventory'!V7</f>
        <v>1.61145392587419E-4</v>
      </c>
      <c r="K7">
        <f>'material inventory'!W7</f>
        <v>6.5771766145847746E-2</v>
      </c>
      <c r="L7">
        <f>'material inventory'!X7</f>
        <v>4.3385242610231789E-6</v>
      </c>
      <c r="M7">
        <f>'material inventory'!Y7</f>
        <v>5.3170985406495428E-4</v>
      </c>
      <c r="N7">
        <f>'material inventory'!Z7</f>
        <v>5.5770460631328885E-7</v>
      </c>
      <c r="O7">
        <f>'material inventory'!AA7</f>
        <v>3.7532319629124157E-10</v>
      </c>
      <c r="P7">
        <f>'material inventory'!AB7</f>
        <v>9.291200678874073E-6</v>
      </c>
      <c r="Q7">
        <f>'material inventory'!AC7</f>
        <v>1.3077772388516378E-5</v>
      </c>
      <c r="R7">
        <f>'material inventory'!AD7</f>
        <v>2.6285162850087934E-5</v>
      </c>
      <c r="S7">
        <f>'material inventory'!AE7</f>
        <v>4.5219845062849262E-6</v>
      </c>
      <c r="T7">
        <f>'material inventory'!AF7</f>
        <v>3.3813391904207474E-5</v>
      </c>
      <c r="U7">
        <f>'material inventory'!AG7</f>
        <v>9.8737070366919367E-6</v>
      </c>
      <c r="V7">
        <f>'material inventory'!AH7</f>
        <v>1.6079510428243838E-4</v>
      </c>
      <c r="W7">
        <f>'material inventory'!AI7</f>
        <v>1.0265278997801074E-3</v>
      </c>
      <c r="X7">
        <f>'material inventory'!AJ7</f>
        <v>1.2902034290685808E-4</v>
      </c>
    </row>
    <row r="8" spans="1:24">
      <c r="A8" s="41" t="str">
        <f>'material inventory'!M8</f>
        <v>Dimethylformamide</v>
      </c>
      <c r="B8">
        <f>'material inventory'!N8</f>
        <v>4.9592742707200007E-3</v>
      </c>
      <c r="C8">
        <f>'material inventory'!O8</f>
        <v>0.13488868978770066</v>
      </c>
      <c r="D8">
        <f>'material inventory'!P8</f>
        <v>2.0184100685913045E-4</v>
      </c>
      <c r="E8">
        <f>'material inventory'!Q8</f>
        <v>4.4888607948800003E-3</v>
      </c>
      <c r="F8">
        <f>'material inventory'!R8</f>
        <v>3.0185153580521745E-3</v>
      </c>
      <c r="G8">
        <f>'material inventory'!S8</f>
        <v>6.3162628861773923E-5</v>
      </c>
      <c r="H8">
        <f>'material inventory'!T8</f>
        <v>1.7039055542539133E-6</v>
      </c>
      <c r="I8">
        <f>'material inventory'!U8</f>
        <v>0.10288951488333914</v>
      </c>
      <c r="J8">
        <f>'material inventory'!V8</f>
        <v>4.4427554210504352E-4</v>
      </c>
      <c r="K8">
        <f>'material inventory'!W8</f>
        <v>6.684065905975653E-2</v>
      </c>
      <c r="L8">
        <f>'material inventory'!X8</f>
        <v>2.1660859276243481E-5</v>
      </c>
      <c r="M8">
        <f>'material inventory'!Y8</f>
        <v>2.8904256164730439E-4</v>
      </c>
      <c r="N8">
        <f>'material inventory'!Z8</f>
        <v>1.8953468527304351E-6</v>
      </c>
      <c r="O8">
        <f>'material inventory'!AA8</f>
        <v>9.0208803795478279E-10</v>
      </c>
      <c r="P8">
        <f>'material inventory'!AB8</f>
        <v>1.2510675855805219E-5</v>
      </c>
      <c r="Q8">
        <f>'material inventory'!AC8</f>
        <v>1.5175427800375655E-5</v>
      </c>
      <c r="R8">
        <f>'material inventory'!AD8</f>
        <v>3.1875106192695658E-5</v>
      </c>
      <c r="S8">
        <f>'material inventory'!AE8</f>
        <v>3.1875106192695658E-5</v>
      </c>
      <c r="T8">
        <f>'material inventory'!AF8</f>
        <v>3.8307325827339133E-5</v>
      </c>
      <c r="U8">
        <f>'material inventory'!AG8</f>
        <v>1.3407477375332175E-5</v>
      </c>
      <c r="V8">
        <f>'material inventory'!AH8</f>
        <v>1.9972639948800003E-4</v>
      </c>
      <c r="W8">
        <f>'material inventory'!AI8</f>
        <v>8.8700846080000016E-4</v>
      </c>
      <c r="X8">
        <f>'material inventory'!AJ8</f>
        <v>3.753254755283479E-4</v>
      </c>
    </row>
    <row r="9" spans="1:24">
      <c r="A9" s="41" t="str">
        <f>'material inventory'!M9</f>
        <v>MAI</v>
      </c>
      <c r="B9">
        <f>'material inventory'!N9</f>
        <v>4.6867017566034591E-2</v>
      </c>
      <c r="C9">
        <f>'material inventory'!O9</f>
        <v>0.99552313780157675</v>
      </c>
      <c r="D9">
        <f>'material inventory'!P9</f>
        <v>4.6815197447724263E-3</v>
      </c>
      <c r="E9">
        <f>'material inventory'!Q9</f>
        <v>4.288880542484913E-2</v>
      </c>
      <c r="F9">
        <f>'material inventory'!R9</f>
        <v>1.9780001405481216E-2</v>
      </c>
      <c r="G9">
        <f>'material inventory'!S9</f>
        <v>1.6167346889563747E-3</v>
      </c>
      <c r="H9">
        <f>'material inventory'!T9</f>
        <v>3.8059921509514613E-5</v>
      </c>
      <c r="I9">
        <f>'material inventory'!U9</f>
        <v>1.8967309789652951</v>
      </c>
      <c r="J9">
        <f>'material inventory'!V9</f>
        <v>4.5852209380064408E-3</v>
      </c>
      <c r="K9">
        <f>'material inventory'!W9</f>
        <v>1.4428042345239356</v>
      </c>
      <c r="L9">
        <f>'material inventory'!X9</f>
        <v>6.0923701199761482E-5</v>
      </c>
      <c r="M9">
        <f>'material inventory'!Y9</f>
        <v>3.4262178182182467E-3</v>
      </c>
      <c r="N9">
        <f>'material inventory'!Z9</f>
        <v>9.0462990731067385E-6</v>
      </c>
      <c r="O9">
        <f>'material inventory'!AA9</f>
        <v>1.5506908089962554E-8</v>
      </c>
      <c r="P9">
        <f>'material inventory'!AB9</f>
        <v>1.3997782386337507E-4</v>
      </c>
      <c r="Q9">
        <f>'material inventory'!AC9</f>
        <v>1.8848927204675016E-4</v>
      </c>
      <c r="R9">
        <f>'material inventory'!AD9</f>
        <v>3.5522171786151461E-4</v>
      </c>
      <c r="S9">
        <f>'material inventory'!AE9</f>
        <v>6.7393764443286839E-5</v>
      </c>
      <c r="T9">
        <f>'material inventory'!AF9</f>
        <v>6.4746673540808596E-4</v>
      </c>
      <c r="U9">
        <f>'material inventory'!AG9</f>
        <v>8.4097469761152549E-4</v>
      </c>
      <c r="V9">
        <f>'material inventory'!AH9</f>
        <v>2.6858143206354205E-3</v>
      </c>
      <c r="W9">
        <f>'material inventory'!AI9</f>
        <v>1.4802256520472273E-2</v>
      </c>
      <c r="X9">
        <f>'material inventory'!AJ9</f>
        <v>2.5308082732422182E-3</v>
      </c>
    </row>
    <row r="10" spans="1:24">
      <c r="A10" s="41" t="str">
        <f>'material inventory'!M10</f>
        <v>Isopropanol</v>
      </c>
      <c r="B10">
        <f>'material inventory'!N10</f>
        <v>8.3180559359999993E-3</v>
      </c>
      <c r="C10">
        <f>'material inventory'!O10</f>
        <v>0.27495055147511466</v>
      </c>
      <c r="D10">
        <f>'material inventory'!P10</f>
        <v>1.6727669247999997E-4</v>
      </c>
      <c r="E10">
        <f>'material inventory'!Q10</f>
        <v>7.2471534933333326E-3</v>
      </c>
      <c r="F10">
        <f>'material inventory'!R10</f>
        <v>6.2928614399999994E-3</v>
      </c>
      <c r="G10">
        <f>'material inventory'!S10</f>
        <v>4.2253045759999993E-5</v>
      </c>
      <c r="H10">
        <f>'material inventory'!T10</f>
        <v>1.1969418751999998E-6</v>
      </c>
      <c r="I10">
        <f>'material inventory'!U10</f>
        <v>6.9638266879999994E-2</v>
      </c>
      <c r="J10">
        <f>'material inventory'!V10</f>
        <v>1.679645115733333E-4</v>
      </c>
      <c r="K10">
        <f>'material inventory'!W10</f>
        <v>5.1850627413333322E-2</v>
      </c>
      <c r="L10">
        <f>'material inventory'!X10</f>
        <v>5.095327402666666E-6</v>
      </c>
      <c r="M10">
        <f>'material inventory'!Y10</f>
        <v>2.9422714367999996E-4</v>
      </c>
      <c r="N10">
        <f>'material inventory'!Z10</f>
        <v>6.7000867839999995E-7</v>
      </c>
      <c r="O10">
        <f>'material inventory'!AA10</f>
        <v>2.9480564053333329E-10</v>
      </c>
      <c r="P10">
        <f>'material inventory'!AB10</f>
        <v>1.0978230442666665E-5</v>
      </c>
      <c r="Q10">
        <f>'material inventory'!AC10</f>
        <v>3.5824898047999993E-5</v>
      </c>
      <c r="R10">
        <f>'material inventory'!AD10</f>
        <v>3.0804274175999997E-5</v>
      </c>
      <c r="S10">
        <f>'material inventory'!AE10</f>
        <v>2.3871877631999997E-6</v>
      </c>
      <c r="T10">
        <f>'material inventory'!AF10</f>
        <v>2.3720648533333332E-5</v>
      </c>
      <c r="U10">
        <f>'material inventory'!AG10</f>
        <v>1.9251646463999996E-5</v>
      </c>
      <c r="V10">
        <f>'material inventory'!AH10</f>
        <v>2.4992430591999995E-4</v>
      </c>
      <c r="W10">
        <f>'material inventory'!AI10</f>
        <v>7.5459676159999993E-4</v>
      </c>
      <c r="X10">
        <f>'material inventory'!AJ10</f>
        <v>7.6821649066666654E-4</v>
      </c>
    </row>
    <row r="11" spans="1:24">
      <c r="A11" s="41" t="str">
        <f>'material inventory'!M11</f>
        <v>Nitrogen</v>
      </c>
      <c r="B11">
        <f>'material inventory'!N11</f>
        <v>1.6371150925259081</v>
      </c>
      <c r="C11">
        <f>'material inventory'!O11</f>
        <v>22.304788348898221</v>
      </c>
      <c r="D11">
        <f>'material inventory'!P11</f>
        <v>6.438453147042654E-2</v>
      </c>
      <c r="E11">
        <f>'material inventory'!Q11</f>
        <v>1.5111885214792209</v>
      </c>
      <c r="F11">
        <f>'material inventory'!R11</f>
        <v>0.42776716250437585</v>
      </c>
      <c r="G11">
        <f>'material inventory'!S11</f>
        <v>1.9766465691488846E-2</v>
      </c>
      <c r="H11">
        <f>'material inventory'!T11</f>
        <v>8.0289945672340057E-4</v>
      </c>
      <c r="I11">
        <f>'material inventory'!U11</f>
        <v>26.72604235246191</v>
      </c>
      <c r="J11">
        <f>'material inventory'!V11</f>
        <v>0.16618475587619103</v>
      </c>
      <c r="K11">
        <f>'material inventory'!W11</f>
        <v>22.851753768281402</v>
      </c>
      <c r="L11">
        <f>'material inventory'!X11</f>
        <v>1.493840960654532E-3</v>
      </c>
      <c r="M11">
        <f>'material inventory'!Y11</f>
        <v>1.671740545256311E-2</v>
      </c>
      <c r="N11">
        <f>'material inventory'!Z11</f>
        <v>1.7755472345285455E-4</v>
      </c>
      <c r="O11">
        <f>'material inventory'!AA11</f>
        <v>7.4232233167493881E-8</v>
      </c>
      <c r="P11">
        <f>'material inventory'!AB11</f>
        <v>5.5167333490079807E-3</v>
      </c>
      <c r="Q11">
        <f>'material inventory'!AC11</f>
        <v>4.1324119289816042E-3</v>
      </c>
      <c r="R11">
        <f>'material inventory'!AD11</f>
        <v>8.0864714253880941E-3</v>
      </c>
      <c r="S11">
        <f>'material inventory'!AE11</f>
        <v>5.1819741933347677E-4</v>
      </c>
      <c r="T11">
        <f>'material inventory'!AF11</f>
        <v>9.8407348051698842E-3</v>
      </c>
      <c r="U11">
        <f>'material inventory'!AG11</f>
        <v>6.0044157818305594E-3</v>
      </c>
      <c r="V11">
        <f>'material inventory'!AH11</f>
        <v>6.2583589914931723E-2</v>
      </c>
      <c r="W11">
        <f>'material inventory'!AI11</f>
        <v>0.24822687486074366</v>
      </c>
      <c r="X11">
        <f>'material inventory'!AJ11</f>
        <v>5.2070550041656435E-2</v>
      </c>
    </row>
    <row r="12" spans="1:24">
      <c r="A12" s="41" t="str">
        <f>'material inventory'!M12</f>
        <v>ZnO nanoparticles</v>
      </c>
      <c r="B12">
        <f>'material inventory'!N12</f>
        <v>8.5029392225674544E-2</v>
      </c>
      <c r="C12">
        <f>'material inventory'!O12</f>
        <v>2.0283601209157971</v>
      </c>
      <c r="D12">
        <f>'material inventory'!P12</f>
        <v>5.0477812142374952E-3</v>
      </c>
      <c r="E12">
        <f>'material inventory'!Q12</f>
        <v>7.2564505430866025E-2</v>
      </c>
      <c r="F12">
        <f>'material inventory'!R12</f>
        <v>4.438439969379749E-2</v>
      </c>
      <c r="G12">
        <f>'material inventory'!S12</f>
        <v>2.5952617334179051E-3</v>
      </c>
      <c r="H12">
        <f>'material inventory'!T12</f>
        <v>3.6272953795962656E-5</v>
      </c>
      <c r="I12">
        <f>'material inventory'!U12</f>
        <v>1.4693008109703951</v>
      </c>
      <c r="J12">
        <f>'material inventory'!V12</f>
        <v>4.17967597979117E-3</v>
      </c>
      <c r="K12">
        <f>'material inventory'!W12</f>
        <v>1.1510393237763406</v>
      </c>
      <c r="L12">
        <f>'material inventory'!X12</f>
        <v>7.5784775608485482E-5</v>
      </c>
      <c r="M12">
        <f>'material inventory'!Y12</f>
        <v>4.5109577033945374E-3</v>
      </c>
      <c r="N12">
        <f>'material inventory'!Z12</f>
        <v>7.3482338145854898E-6</v>
      </c>
      <c r="O12">
        <f>'material inventory'!AA12</f>
        <v>1.7893924955361907E-8</v>
      </c>
      <c r="P12">
        <f>'material inventory'!AB12</f>
        <v>2.2331068228391668E-4</v>
      </c>
      <c r="Q12">
        <f>'material inventory'!AC12</f>
        <v>5.6458535187220915E-4</v>
      </c>
      <c r="R12">
        <f>'material inventory'!AD12</f>
        <v>4.0583761858677586E-4</v>
      </c>
      <c r="S12">
        <f>'material inventory'!AE12</f>
        <v>7.7530367548648063E-5</v>
      </c>
      <c r="T12">
        <f>'material inventory'!AF12</f>
        <v>7.4681662477673932E-4</v>
      </c>
      <c r="U12">
        <f>'material inventory'!AG12</f>
        <v>2.538395906416382E-4</v>
      </c>
      <c r="V12">
        <f>'material inventory'!AH12</f>
        <v>3.3471725714354092E-3</v>
      </c>
      <c r="W12">
        <f>'material inventory'!AI12</f>
        <v>1.3094112908093413E-2</v>
      </c>
      <c r="X12">
        <f>'material inventory'!AJ12</f>
        <v>5.5314624616756751E-3</v>
      </c>
    </row>
    <row r="13" spans="1:24">
      <c r="A13" s="41" t="str">
        <f>'material inventory'!M13</f>
        <v>Al</v>
      </c>
      <c r="B13">
        <f>'material inventory'!N13</f>
        <v>7.007356097560976E-3</v>
      </c>
      <c r="C13">
        <f>'material inventory'!O13</f>
        <v>6.5261304301170733E-2</v>
      </c>
      <c r="D13">
        <f>'material inventory'!P13</f>
        <v>9.7510829268292686E-5</v>
      </c>
      <c r="E13">
        <f>'material inventory'!Q13</f>
        <v>6.4433853658536584E-3</v>
      </c>
      <c r="F13">
        <f>'material inventory'!R13</f>
        <v>1.4504663414634147E-3</v>
      </c>
      <c r="G13">
        <f>'material inventory'!S13</f>
        <v>6.2695317073170734E-5</v>
      </c>
      <c r="H13">
        <f>'material inventory'!T13</f>
        <v>1.76364E-6</v>
      </c>
      <c r="I13">
        <f>'material inventory'!U13</f>
        <v>7.8660878048780483E-2</v>
      </c>
      <c r="J13">
        <f>'material inventory'!V13</f>
        <v>6.9267512195121954E-5</v>
      </c>
      <c r="K13">
        <f>'material inventory'!W13</f>
        <v>8.3944975609756098E-2</v>
      </c>
      <c r="L13">
        <f>'material inventory'!X13</f>
        <v>6.2105268292682925E-6</v>
      </c>
      <c r="M13">
        <f>'material inventory'!Y13</f>
        <v>7.0084097560975617E-5</v>
      </c>
      <c r="N13">
        <f>'material inventory'!Z13</f>
        <v>4.3558243902439025E-7</v>
      </c>
      <c r="O13">
        <f>'material inventory'!AA13</f>
        <v>1.8822556097560975E-10</v>
      </c>
      <c r="P13">
        <f>'material inventory'!AB13</f>
        <v>1.4607395121951219E-5</v>
      </c>
      <c r="Q13">
        <f>'material inventory'!AC13</f>
        <v>1.8946360975609756E-5</v>
      </c>
      <c r="R13">
        <f>'material inventory'!AD13</f>
        <v>3.4886634146341461E-5</v>
      </c>
      <c r="S13">
        <f>'material inventory'!AE13</f>
        <v>1.6350936585365853E-6</v>
      </c>
      <c r="T13">
        <f>'material inventory'!AF13</f>
        <v>5.1297365853658533E-5</v>
      </c>
      <c r="U13">
        <f>'material inventory'!AG13</f>
        <v>1.7398536585365853E-5</v>
      </c>
      <c r="V13">
        <f>'material inventory'!AH13</f>
        <v>2.6886731707317072E-4</v>
      </c>
      <c r="W13">
        <f>'material inventory'!AI13</f>
        <v>7.9453756097560982E-4</v>
      </c>
      <c r="X13">
        <f>'material inventory'!AJ13</f>
        <v>1.7718585365853658E-4</v>
      </c>
    </row>
    <row r="14" spans="1:24">
      <c r="A14" s="42" t="str">
        <f>'energy consumption'!I6</f>
        <v>Sonication</v>
      </c>
      <c r="B14" s="42">
        <f>'energy consumption'!J6</f>
        <v>2.8396800022717437</v>
      </c>
      <c r="C14" s="42">
        <f>'energy consumption'!K6</f>
        <v>49.96641093677313</v>
      </c>
      <c r="D14" s="42">
        <f>'energy consumption'!L6</f>
        <v>3.2510800026008635E-3</v>
      </c>
      <c r="E14" s="42">
        <f>'energy consumption'!M6</f>
        <v>2.6799600021439676</v>
      </c>
      <c r="F14" s="42">
        <f>'energy consumption'!N6</f>
        <v>1.1836000009468799</v>
      </c>
      <c r="G14" s="42">
        <f>'energy consumption'!O6</f>
        <v>1.0204000008163197E-2</v>
      </c>
      <c r="H14" s="42">
        <f>'energy consumption'!P6</f>
        <v>4.9796000039836795E-5</v>
      </c>
      <c r="I14" s="42">
        <f>'energy consumption'!Q6</f>
        <v>20.874000016699195</v>
      </c>
      <c r="J14" s="42">
        <f>'energy consumption'!R6</f>
        <v>1.6892000013513597E-2</v>
      </c>
      <c r="K14" s="42">
        <f>'energy consumption'!S6</f>
        <v>6.2776000050220784</v>
      </c>
      <c r="L14" s="42">
        <f>'energy consumption'!T6</f>
        <v>2.4590000019671992E-3</v>
      </c>
      <c r="M14" s="42">
        <f>'energy consumption'!U6</f>
        <v>1.1996000009596797E-2</v>
      </c>
      <c r="N14" s="42">
        <f>'energy consumption'!V6</f>
        <v>4.4140000035311993E-4</v>
      </c>
      <c r="O14" s="42">
        <f>'energy consumption'!W6</f>
        <v>2.3717600018974076E-7</v>
      </c>
      <c r="P14" s="42">
        <f>'energy consumption'!X6</f>
        <v>2.9944800023955836E-3</v>
      </c>
      <c r="Q14" s="42">
        <f>'energy consumption'!Y6</f>
        <v>8.0544000064435191E-3</v>
      </c>
      <c r="R14" s="42">
        <f>'energy consumption'!Z6</f>
        <v>1.1600000009279998E-2</v>
      </c>
      <c r="S14" s="42">
        <f>'energy consumption'!AA6</f>
        <v>2.0761200016608956E-4</v>
      </c>
      <c r="T14" s="42">
        <f>'energy consumption'!AB6</f>
        <v>1.2804400010243519E-3</v>
      </c>
      <c r="U14" s="42">
        <f>'energy consumption'!AC6</f>
        <v>3.2074400025659512E-4</v>
      </c>
      <c r="V14" s="42">
        <f>'energy consumption'!AD6</f>
        <v>7.8456000062764791E-2</v>
      </c>
      <c r="W14" s="42">
        <f>'energy consumption'!AE6</f>
        <v>0.24192800019354235</v>
      </c>
      <c r="X14" s="42">
        <f>'energy consumption'!AF6</f>
        <v>0.14248400011398718</v>
      </c>
    </row>
    <row r="15" spans="1:24">
      <c r="A15" s="42" t="str">
        <f>'energy consumption'!I7</f>
        <v>HTL spin coating</v>
      </c>
      <c r="B15" s="42">
        <f>'energy consumption'!J7</f>
        <v>4.7574154393188799</v>
      </c>
      <c r="C15" s="42">
        <f>'energy consumption'!K7</f>
        <v>83.710479577905772</v>
      </c>
      <c r="D15" s="42">
        <f>'energy consumption'!L7</f>
        <v>5.4466482795458718E-3</v>
      </c>
      <c r="E15" s="42">
        <f>'energy consumption'!M7</f>
        <v>4.4898309248778112</v>
      </c>
      <c r="F15" s="42">
        <f>'energy consumption'!N7</f>
        <v>1.9829265670701719</v>
      </c>
      <c r="G15" s="42">
        <f>'energy consumption'!O7</f>
        <v>1.7095118866495465E-2</v>
      </c>
      <c r="H15" s="42">
        <f>'energy consumption'!P7</f>
        <v>8.3424984229322642E-5</v>
      </c>
      <c r="I15" s="42">
        <f>'energy consumption'!Q7</f>
        <v>34.970943867035118</v>
      </c>
      <c r="J15" s="42">
        <f>'energy consumption'!R7</f>
        <v>2.8299759691575992E-2</v>
      </c>
      <c r="K15" s="42">
        <f>'energy consumption'!S7</f>
        <v>10.517083319905129</v>
      </c>
      <c r="L15" s="42">
        <f>'energy consumption'!T7</f>
        <v>4.1196488918769456E-3</v>
      </c>
      <c r="M15" s="42">
        <f>'energy consumption'!U7</f>
        <v>2.0097319278957235E-2</v>
      </c>
      <c r="N15" s="42">
        <f>'energy consumption'!V7</f>
        <v>7.3949289177490188E-4</v>
      </c>
      <c r="O15" s="42">
        <f>'energy consumption'!W7</f>
        <v>3.9734926619756263E-7</v>
      </c>
      <c r="P15" s="42">
        <f>'energy consumption'!X7</f>
        <v>5.0167573053060896E-3</v>
      </c>
      <c r="Q15" s="42">
        <f>'energy consumption'!Y7</f>
        <v>1.3493818639582622E-2</v>
      </c>
      <c r="R15" s="42">
        <f>'energy consumption'!Z7</f>
        <v>1.9433886598524835E-2</v>
      </c>
      <c r="S15" s="42">
        <f>'energy consumption'!AA7</f>
        <v>3.4781966073214985E-4</v>
      </c>
      <c r="T15" s="42">
        <f>'energy consumption'!AB7</f>
        <v>2.1451660134668227E-3</v>
      </c>
      <c r="U15" s="42">
        <f>'energy consumption'!AC7</f>
        <v>5.3735366578941803E-4</v>
      </c>
      <c r="V15" s="42">
        <f>'energy consumption'!AD7</f>
        <v>0.13144008680809174</v>
      </c>
      <c r="W15" s="42">
        <f>'energy consumption'!AE7</f>
        <v>0.40531045836275142</v>
      </c>
      <c r="X15" s="42">
        <f>'energy consumption'!AF7</f>
        <v>0.23870843949174245</v>
      </c>
    </row>
    <row r="16" spans="1:24">
      <c r="A16" s="42" t="str">
        <f>'energy consumption'!I8</f>
        <v>HTL annealing</v>
      </c>
      <c r="B16" s="42">
        <f>'energy consumption'!J8</f>
        <v>30.668544024534835</v>
      </c>
      <c r="C16" s="42">
        <f>'energy consumption'!K8</f>
        <v>539.63723811714988</v>
      </c>
      <c r="D16" s="42">
        <f>'energy consumption'!L8</f>
        <v>3.511166402808933E-2</v>
      </c>
      <c r="E16" s="42">
        <f>'energy consumption'!M8</f>
        <v>28.943568023154853</v>
      </c>
      <c r="F16" s="42">
        <f>'energy consumption'!N8</f>
        <v>12.782880010226304</v>
      </c>
      <c r="G16" s="42">
        <f>'energy consumption'!O8</f>
        <v>0.11020320008816255</v>
      </c>
      <c r="H16" s="42">
        <f>'energy consumption'!P8</f>
        <v>5.377968004302375E-4</v>
      </c>
      <c r="I16" s="42">
        <f>'energy consumption'!Q8</f>
        <v>225.43920018035135</v>
      </c>
      <c r="J16" s="42">
        <f>'energy consumption'!R8</f>
        <v>0.18243360014594689</v>
      </c>
      <c r="K16" s="42">
        <f>'energy consumption'!S8</f>
        <v>67.798080054238454</v>
      </c>
      <c r="L16" s="42">
        <f>'energy consumption'!T8</f>
        <v>2.6557200021245758E-2</v>
      </c>
      <c r="M16" s="42">
        <f>'energy consumption'!U8</f>
        <v>0.12955680010364543</v>
      </c>
      <c r="N16" s="42">
        <f>'energy consumption'!V8</f>
        <v>4.7671200038136956E-3</v>
      </c>
      <c r="O16" s="42">
        <f>'energy consumption'!W8</f>
        <v>2.5615008020492004E-6</v>
      </c>
      <c r="P16" s="42">
        <f>'energy consumption'!X8</f>
        <v>3.2340384025872304E-2</v>
      </c>
      <c r="Q16" s="42">
        <f>'energy consumption'!Y8</f>
        <v>8.6987520069590013E-2</v>
      </c>
      <c r="R16" s="42">
        <f>'energy consumption'!Z8</f>
        <v>0.125280000100224</v>
      </c>
      <c r="S16" s="42">
        <f>'energy consumption'!AA8</f>
        <v>2.2422096017937678E-3</v>
      </c>
      <c r="T16" s="42">
        <f>'energy consumption'!AB8</f>
        <v>1.3828752011063003E-2</v>
      </c>
      <c r="U16" s="42">
        <f>'energy consumption'!AC8</f>
        <v>3.4640352027712276E-3</v>
      </c>
      <c r="V16" s="42">
        <f>'energy consumption'!AD8</f>
        <v>0.84732480067785976</v>
      </c>
      <c r="W16" s="42">
        <f>'energy consumption'!AE8</f>
        <v>2.612822402090258</v>
      </c>
      <c r="X16" s="42">
        <f>'energy consumption'!AF8</f>
        <v>1.5388272012310618</v>
      </c>
    </row>
    <row r="17" spans="1:24">
      <c r="A17" s="42" t="str">
        <f>'energy consumption'!I9</f>
        <v>Inert gas purging</v>
      </c>
      <c r="B17" s="42">
        <f>'energy consumption'!J9</f>
        <v>3.7270800029816638</v>
      </c>
      <c r="C17" s="42">
        <f>'energy consumption'!K9</f>
        <v>65.580914354514732</v>
      </c>
      <c r="D17" s="42">
        <f>'energy consumption'!L9</f>
        <v>4.2670425034136332E-3</v>
      </c>
      <c r="E17" s="42">
        <f>'energy consumption'!M9</f>
        <v>3.5174475028139573</v>
      </c>
      <c r="F17" s="42">
        <f>'energy consumption'!N9</f>
        <v>1.5534750012427798</v>
      </c>
      <c r="G17" s="42">
        <f>'energy consumption'!O9</f>
        <v>1.3392750010714199E-2</v>
      </c>
      <c r="H17" s="42">
        <f>'energy consumption'!P9</f>
        <v>6.5357250052285794E-5</v>
      </c>
      <c r="I17" s="42">
        <f>'energy consumption'!Q9</f>
        <v>27.397125021917695</v>
      </c>
      <c r="J17" s="42">
        <f>'energy consumption'!R9</f>
        <v>2.21707500177366E-2</v>
      </c>
      <c r="K17" s="42">
        <f>'energy consumption'!S9</f>
        <v>8.2393500065914793</v>
      </c>
      <c r="L17" s="42">
        <f>'energy consumption'!T9</f>
        <v>3.2274375025819492E-3</v>
      </c>
      <c r="M17" s="42">
        <f>'energy consumption'!U9</f>
        <v>1.5744750012595798E-2</v>
      </c>
      <c r="N17" s="42">
        <f>'energy consumption'!V9</f>
        <v>5.793375004634699E-4</v>
      </c>
      <c r="O17" s="42">
        <f>'energy consumption'!W9</f>
        <v>3.112935002490348E-7</v>
      </c>
      <c r="P17" s="42">
        <f>'energy consumption'!X9</f>
        <v>3.9302550031442033E-3</v>
      </c>
      <c r="Q17" s="42">
        <f>'energy consumption'!Y9</f>
        <v>1.0571400008457119E-2</v>
      </c>
      <c r="R17" s="42">
        <f>'energy consumption'!Z9</f>
        <v>1.5225000012179997E-2</v>
      </c>
      <c r="S17" s="42">
        <f>'energy consumption'!AA9</f>
        <v>2.7249075021799256E-4</v>
      </c>
      <c r="T17" s="42">
        <f>'energy consumption'!AB9</f>
        <v>1.680577501344462E-3</v>
      </c>
      <c r="U17" s="42">
        <f>'energy consumption'!AC9</f>
        <v>4.2097650033678111E-4</v>
      </c>
      <c r="V17" s="42">
        <f>'energy consumption'!AD9</f>
        <v>0.10297350008237878</v>
      </c>
      <c r="W17" s="42">
        <f>'energy consumption'!AE9</f>
        <v>0.31753050025402435</v>
      </c>
      <c r="X17" s="42">
        <f>'energy consumption'!AF9</f>
        <v>0.18701025014960818</v>
      </c>
    </row>
    <row r="18" spans="1:24">
      <c r="A18" s="42" t="str">
        <f>'energy consumption'!I10</f>
        <v>PL 1st-step spin coating</v>
      </c>
      <c r="B18" s="42">
        <f>'energy consumption'!J10</f>
        <v>8.4576274476780081E-2</v>
      </c>
      <c r="C18" s="42">
        <f>'energy consumption'!K10</f>
        <v>1.4881863036072136</v>
      </c>
      <c r="D18" s="42">
        <f>'energy consumption'!L10</f>
        <v>9.6829302747482171E-5</v>
      </c>
      <c r="E18" s="42">
        <f>'energy consumption'!M10</f>
        <v>7.9819216442272203E-2</v>
      </c>
      <c r="F18" s="42">
        <f>'energy consumption'!N10</f>
        <v>3.525202785902528E-2</v>
      </c>
      <c r="G18" s="42">
        <f>'energy consumption'!O10</f>
        <v>3.039132242932527E-4</v>
      </c>
      <c r="H18" s="42">
        <f>'energy consumption'!P10</f>
        <v>1.4831108307435136E-6</v>
      </c>
      <c r="I18" s="42">
        <f>'energy consumption'!Q10</f>
        <v>0.62170566874729094</v>
      </c>
      <c r="J18" s="42">
        <f>'energy consumption'!R10</f>
        <v>5.0310683896135093E-4</v>
      </c>
      <c r="K18" s="42">
        <f>'energy consumption'!S10</f>
        <v>0.18697037013164672</v>
      </c>
      <c r="L18" s="42">
        <f>'energy consumption'!T10</f>
        <v>7.3238202522256797E-5</v>
      </c>
      <c r="M18" s="42">
        <f>'energy consumption'!U10</f>
        <v>3.5728567607035079E-4</v>
      </c>
      <c r="N18" s="42">
        <f>'energy consumption'!V10</f>
        <v>1.3146540298220478E-5</v>
      </c>
      <c r="O18" s="42">
        <f>'energy consumption'!W10</f>
        <v>7.0639869546233354E-9</v>
      </c>
      <c r="P18" s="42">
        <f>'energy consumption'!X10</f>
        <v>8.9186796538774931E-5</v>
      </c>
      <c r="Q18" s="42">
        <f>'energy consumption'!Y10</f>
        <v>2.398901091481355E-4</v>
      </c>
      <c r="R18" s="42">
        <f>'energy consumption'!Z10</f>
        <v>3.4549131730710812E-4</v>
      </c>
      <c r="S18" s="42">
        <f>'energy consumption'!AA10</f>
        <v>6.1834606352382193E-6</v>
      </c>
      <c r="T18" s="42">
        <f>'energy consumption'!AB10</f>
        <v>3.8136284683854624E-5</v>
      </c>
      <c r="U18" s="42">
        <f>'energy consumption'!AC10</f>
        <v>9.5529540584785421E-6</v>
      </c>
      <c r="V18" s="42">
        <f>'energy consumption'!AD10</f>
        <v>2.3367126543660756E-3</v>
      </c>
      <c r="W18" s="42">
        <f>'energy consumption'!AE10</f>
        <v>7.2055192597822474E-3</v>
      </c>
      <c r="X18" s="42">
        <f>'energy consumption'!AF10</f>
        <v>4.24370559096431E-3</v>
      </c>
    </row>
    <row r="19" spans="1:24">
      <c r="A19" s="42" t="str">
        <f>'energy consumption'!I11</f>
        <v>PL drying</v>
      </c>
      <c r="B19" s="42">
        <f>'energy consumption'!J11</f>
        <v>1.1926656009541325</v>
      </c>
      <c r="C19" s="42">
        <f>'energy consumption'!K11</f>
        <v>20.985892593444717</v>
      </c>
      <c r="D19" s="42">
        <f>'energy consumption'!L11</f>
        <v>1.3654536010923629E-3</v>
      </c>
      <c r="E19" s="42">
        <f>'energy consumption'!M11</f>
        <v>1.1255832009004665</v>
      </c>
      <c r="F19" s="42">
        <f>'energy consumption'!N11</f>
        <v>0.4971120003976896</v>
      </c>
      <c r="G19" s="42">
        <f>'energy consumption'!O11</f>
        <v>4.285680003428544E-3</v>
      </c>
      <c r="H19" s="42">
        <f>'energy consumption'!P11</f>
        <v>2.0914320016731457E-5</v>
      </c>
      <c r="I19" s="42">
        <f>'energy consumption'!Q11</f>
        <v>8.7670800070136625</v>
      </c>
      <c r="J19" s="42">
        <f>'energy consumption'!R11</f>
        <v>7.0946400056757118E-3</v>
      </c>
      <c r="K19" s="42">
        <f>'energy consumption'!S11</f>
        <v>2.6365920021092735</v>
      </c>
      <c r="L19" s="42">
        <f>'energy consumption'!T11</f>
        <v>1.0327800008262239E-3</v>
      </c>
      <c r="M19" s="42">
        <f>'energy consumption'!U11</f>
        <v>5.0383200040306558E-3</v>
      </c>
      <c r="N19" s="42">
        <f>'energy consumption'!V11</f>
        <v>1.8538800014831038E-4</v>
      </c>
      <c r="O19" s="42">
        <f>'energy consumption'!W11</f>
        <v>9.9613920079691132E-8</v>
      </c>
      <c r="P19" s="42">
        <f>'energy consumption'!X11</f>
        <v>1.2576816010061451E-3</v>
      </c>
      <c r="Q19" s="42">
        <f>'energy consumption'!Y11</f>
        <v>3.3828480027062783E-3</v>
      </c>
      <c r="R19" s="42">
        <f>'energy consumption'!Z11</f>
        <v>4.8720000038975997E-3</v>
      </c>
      <c r="S19" s="42">
        <f>'energy consumption'!AA11</f>
        <v>8.7197040069757637E-5</v>
      </c>
      <c r="T19" s="42">
        <f>'energy consumption'!AB11</f>
        <v>5.3778480043022788E-4</v>
      </c>
      <c r="U19" s="42">
        <f>'energy consumption'!AC11</f>
        <v>1.3471248010776997E-4</v>
      </c>
      <c r="V19" s="42">
        <f>'energy consumption'!AD11</f>
        <v>3.2951520026361217E-2</v>
      </c>
      <c r="W19" s="42">
        <f>'energy consumption'!AE11</f>
        <v>0.1016097600812878</v>
      </c>
      <c r="X19" s="42">
        <f>'energy consumption'!AF11</f>
        <v>5.984328004787462E-2</v>
      </c>
    </row>
    <row r="20" spans="1:24">
      <c r="A20" s="42" t="str">
        <f>'energy consumption'!I12</f>
        <v>PL 2nd-step spin coating</v>
      </c>
      <c r="B20" s="42">
        <f>'energy consumption'!J12</f>
        <v>4.2288137238390036</v>
      </c>
      <c r="C20" s="42">
        <f>'energy consumption'!K12</f>
        <v>74.409315180360679</v>
      </c>
      <c r="D20" s="42">
        <f>'energy consumption'!L12</f>
        <v>4.8414651373741083E-3</v>
      </c>
      <c r="E20" s="42">
        <f>'energy consumption'!M12</f>
        <v>3.9909608221136099</v>
      </c>
      <c r="F20" s="42">
        <f>'energy consumption'!N12</f>
        <v>1.7626013929512638</v>
      </c>
      <c r="G20" s="42">
        <f>'energy consumption'!O12</f>
        <v>1.5195661214662636E-2</v>
      </c>
      <c r="H20" s="42">
        <f>'energy consumption'!P12</f>
        <v>7.4155541537175682E-5</v>
      </c>
      <c r="I20" s="42">
        <f>'energy consumption'!Q12</f>
        <v>31.085283437364549</v>
      </c>
      <c r="J20" s="42">
        <f>'energy consumption'!R12</f>
        <v>2.5155341948067549E-2</v>
      </c>
      <c r="K20" s="42">
        <f>'energy consumption'!S12</f>
        <v>9.3485185065823355</v>
      </c>
      <c r="L20" s="42">
        <f>'energy consumption'!T12</f>
        <v>3.6619101261128402E-3</v>
      </c>
      <c r="M20" s="42">
        <f>'energy consumption'!U12</f>
        <v>1.7864283803517539E-2</v>
      </c>
      <c r="N20" s="42">
        <f>'energy consumption'!V12</f>
        <v>6.5732701491102389E-4</v>
      </c>
      <c r="O20" s="42">
        <f>'energy consumption'!W12</f>
        <v>3.5319934773116675E-7</v>
      </c>
      <c r="P20" s="42">
        <f>'energy consumption'!X12</f>
        <v>4.4593398269387463E-3</v>
      </c>
      <c r="Q20" s="42">
        <f>'energy consumption'!Y12</f>
        <v>1.1994505457406775E-2</v>
      </c>
      <c r="R20" s="42">
        <f>'energy consumption'!Z12</f>
        <v>1.7274565865355408E-2</v>
      </c>
      <c r="S20" s="42">
        <f>'energy consumption'!AA12</f>
        <v>3.0917303176191096E-4</v>
      </c>
      <c r="T20" s="42">
        <f>'energy consumption'!AB12</f>
        <v>1.9068142341927311E-3</v>
      </c>
      <c r="U20" s="42">
        <f>'energy consumption'!AC12</f>
        <v>4.7764770292392712E-4</v>
      </c>
      <c r="V20" s="42">
        <f>'energy consumption'!AD12</f>
        <v>0.11683563271830379</v>
      </c>
      <c r="W20" s="42">
        <f>'energy consumption'!AE12</f>
        <v>0.36027596298911235</v>
      </c>
      <c r="X20" s="42">
        <f>'energy consumption'!AF12</f>
        <v>0.21218527954821551</v>
      </c>
    </row>
    <row r="21" spans="1:24">
      <c r="A21" s="42" t="str">
        <f>'energy consumption'!I13</f>
        <v>PL annealing</v>
      </c>
      <c r="B21" s="42">
        <f>'energy consumption'!J13</f>
        <v>20.445696016356557</v>
      </c>
      <c r="C21" s="42">
        <f>'energy consumption'!K13</f>
        <v>359.75815874476655</v>
      </c>
      <c r="D21" s="42">
        <f>'energy consumption'!L13</f>
        <v>2.340777601872622E-2</v>
      </c>
      <c r="E21" s="42">
        <f>'energy consumption'!M13</f>
        <v>19.295712015436568</v>
      </c>
      <c r="F21" s="42">
        <f>'energy consumption'!N13</f>
        <v>8.5219200068175365</v>
      </c>
      <c r="G21" s="42">
        <f>'energy consumption'!O13</f>
        <v>7.3468800058775041E-2</v>
      </c>
      <c r="H21" s="42">
        <f>'energy consumption'!P13</f>
        <v>3.5853120028682498E-4</v>
      </c>
      <c r="I21" s="42">
        <f>'energy consumption'!Q13</f>
        <v>150.29280012023423</v>
      </c>
      <c r="J21" s="42">
        <f>'energy consumption'!R13</f>
        <v>0.12162240009729793</v>
      </c>
      <c r="K21" s="42">
        <f>'energy consumption'!S13</f>
        <v>45.198720036158974</v>
      </c>
      <c r="L21" s="42">
        <f>'energy consumption'!T13</f>
        <v>1.7704800014163836E-2</v>
      </c>
      <c r="M21" s="42">
        <f>'energy consumption'!U13</f>
        <v>8.6371200069096959E-2</v>
      </c>
      <c r="N21" s="42">
        <f>'energy consumption'!V13</f>
        <v>3.1780800025424639E-3</v>
      </c>
      <c r="O21" s="42">
        <f>'energy consumption'!W13</f>
        <v>1.7076672013661337E-6</v>
      </c>
      <c r="P21" s="42">
        <f>'energy consumption'!X13</f>
        <v>2.1560256017248203E-2</v>
      </c>
      <c r="Q21" s="42">
        <f>'energy consumption'!Y13</f>
        <v>5.7991680046393337E-2</v>
      </c>
      <c r="R21" s="42">
        <f>'energy consumption'!Z13</f>
        <v>8.3520000066815994E-2</v>
      </c>
      <c r="S21" s="42">
        <f>'energy consumption'!AA13</f>
        <v>1.494806401195845E-3</v>
      </c>
      <c r="T21" s="42">
        <f>'energy consumption'!AB13</f>
        <v>9.2191680073753345E-3</v>
      </c>
      <c r="U21" s="42">
        <f>'energy consumption'!AC13</f>
        <v>2.3093568018474854E-3</v>
      </c>
      <c r="V21" s="42">
        <f>'energy consumption'!AD13</f>
        <v>0.56488320045190654</v>
      </c>
      <c r="W21" s="42">
        <f>'energy consumption'!AE13</f>
        <v>1.7418816013935052</v>
      </c>
      <c r="X21" s="42">
        <f>'energy consumption'!AF13</f>
        <v>1.0258848008207078</v>
      </c>
    </row>
    <row r="22" spans="1:24">
      <c r="A22" s="42" t="str">
        <f>'energy consumption'!I14</f>
        <v>ETL spin coating</v>
      </c>
      <c r="B22" s="42">
        <f>'energy consumption'!J14</f>
        <v>4.7574154393188799</v>
      </c>
      <c r="C22" s="42">
        <f>'energy consumption'!K14</f>
        <v>83.710479577905772</v>
      </c>
      <c r="D22" s="42">
        <f>'energy consumption'!L14</f>
        <v>5.4466482795458718E-3</v>
      </c>
      <c r="E22" s="42">
        <f>'energy consumption'!M14</f>
        <v>4.4898309248778112</v>
      </c>
      <c r="F22" s="42">
        <f>'energy consumption'!N14</f>
        <v>1.9829265670701719</v>
      </c>
      <c r="G22" s="42">
        <f>'energy consumption'!O14</f>
        <v>1.7095118866495465E-2</v>
      </c>
      <c r="H22" s="42">
        <f>'energy consumption'!P14</f>
        <v>8.3424984229322642E-5</v>
      </c>
      <c r="I22" s="42">
        <f>'energy consumption'!Q14</f>
        <v>34.970943867035118</v>
      </c>
      <c r="J22" s="42">
        <f>'energy consumption'!R14</f>
        <v>2.8299759691575992E-2</v>
      </c>
      <c r="K22" s="42">
        <f>'energy consumption'!S14</f>
        <v>10.517083319905129</v>
      </c>
      <c r="L22" s="42">
        <f>'energy consumption'!T14</f>
        <v>4.1196488918769456E-3</v>
      </c>
      <c r="M22" s="42">
        <f>'energy consumption'!U14</f>
        <v>2.0097319278957235E-2</v>
      </c>
      <c r="N22" s="42">
        <f>'energy consumption'!V14</f>
        <v>7.3949289177490188E-4</v>
      </c>
      <c r="O22" s="42">
        <f>'energy consumption'!W14</f>
        <v>3.9734926619756263E-7</v>
      </c>
      <c r="P22" s="42">
        <f>'energy consumption'!X14</f>
        <v>5.0167573053060896E-3</v>
      </c>
      <c r="Q22" s="42">
        <f>'energy consumption'!Y14</f>
        <v>1.3493818639582622E-2</v>
      </c>
      <c r="R22" s="42">
        <f>'energy consumption'!Z14</f>
        <v>1.9433886598524835E-2</v>
      </c>
      <c r="S22" s="42">
        <f>'energy consumption'!AA14</f>
        <v>3.4781966073214985E-4</v>
      </c>
      <c r="T22" s="42">
        <f>'energy consumption'!AB14</f>
        <v>2.1451660134668227E-3</v>
      </c>
      <c r="U22" s="42">
        <f>'energy consumption'!AC14</f>
        <v>5.3735366578941803E-4</v>
      </c>
      <c r="V22" s="42">
        <f>'energy consumption'!AD14</f>
        <v>0.13144008680809174</v>
      </c>
      <c r="W22" s="42">
        <f>'energy consumption'!AE14</f>
        <v>0.40531045836275142</v>
      </c>
      <c r="X22" s="42">
        <f>'energy consumption'!AF14</f>
        <v>0.23870843949174245</v>
      </c>
    </row>
    <row r="23" spans="1:24">
      <c r="A23" s="42" t="str">
        <f>'energy consumption'!I15</f>
        <v>Vacuum pump</v>
      </c>
      <c r="B23" s="42">
        <f>'energy consumption'!J15</f>
        <v>6.5312640052250099</v>
      </c>
      <c r="C23" s="42">
        <f>'energy consumption'!K15</f>
        <v>114.92274515457818</v>
      </c>
      <c r="D23" s="42">
        <f>'energy consumption'!L15</f>
        <v>7.4774840059819853E-3</v>
      </c>
      <c r="E23" s="42">
        <f>'energy consumption'!M15</f>
        <v>6.163908004931125</v>
      </c>
      <c r="F23" s="42">
        <f>'energy consumption'!N15</f>
        <v>2.7222800021778233</v>
      </c>
      <c r="G23" s="42">
        <f>'energy consumption'!O15</f>
        <v>2.3469200018775355E-2</v>
      </c>
      <c r="H23" s="42">
        <f>'energy consumption'!P15</f>
        <v>1.1453080009162462E-4</v>
      </c>
      <c r="I23" s="42">
        <f>'energy consumption'!Q15</f>
        <v>48.010200038408151</v>
      </c>
      <c r="J23" s="42">
        <f>'energy consumption'!R15</f>
        <v>3.8851600031081276E-2</v>
      </c>
      <c r="K23" s="42">
        <f>'energy consumption'!S15</f>
        <v>14.43848001155078</v>
      </c>
      <c r="L23" s="42">
        <f>'energy consumption'!T15</f>
        <v>5.6557000045245583E-3</v>
      </c>
      <c r="M23" s="42">
        <f>'energy consumption'!U15</f>
        <v>2.7590800022072634E-2</v>
      </c>
      <c r="N23" s="42">
        <f>'energy consumption'!V15</f>
        <v>1.0152200008121757E-3</v>
      </c>
      <c r="O23" s="42">
        <f>'energy consumption'!W15</f>
        <v>5.4550480043640371E-7</v>
      </c>
      <c r="P23" s="42">
        <f>'energy consumption'!X15</f>
        <v>6.8873040055098412E-3</v>
      </c>
      <c r="Q23" s="42">
        <f>'energy consumption'!Y15</f>
        <v>1.8525120014820092E-2</v>
      </c>
      <c r="R23" s="42">
        <f>'energy consumption'!Z15</f>
        <v>2.6680000021343991E-2</v>
      </c>
      <c r="S23" s="42">
        <f>'energy consumption'!AA15</f>
        <v>4.77507600382006E-4</v>
      </c>
      <c r="T23" s="42">
        <f>'energy consumption'!AB15</f>
        <v>2.9450120023560094E-3</v>
      </c>
      <c r="U23" s="42">
        <f>'energy consumption'!AC15</f>
        <v>7.3771120059016877E-4</v>
      </c>
      <c r="V23" s="42">
        <f>'energy consumption'!AD15</f>
        <v>0.18044880014435899</v>
      </c>
      <c r="W23" s="42">
        <f>'energy consumption'!AE15</f>
        <v>0.55643440044514747</v>
      </c>
      <c r="X23" s="42">
        <f>'energy consumption'!AF15</f>
        <v>0.32771320026217049</v>
      </c>
    </row>
    <row r="24" spans="1:24">
      <c r="A24" s="42" t="str">
        <f>'energy consumption'!I16</f>
        <v>Evaporation</v>
      </c>
      <c r="B24" s="42">
        <f>'energy consumption'!J16</f>
        <v>3.7862400030289916</v>
      </c>
      <c r="C24" s="42">
        <f>'energy consumption'!K16</f>
        <v>66.621881249030835</v>
      </c>
      <c r="D24" s="42">
        <f>'energy consumption'!L16</f>
        <v>4.3347733368011513E-3</v>
      </c>
      <c r="E24" s="42">
        <f>'energy consumption'!M16</f>
        <v>3.5732800028586231</v>
      </c>
      <c r="F24" s="42">
        <f>'energy consumption'!N16</f>
        <v>1.5781333345958397</v>
      </c>
      <c r="G24" s="42">
        <f>'energy consumption'!O16</f>
        <v>1.3605333344217598E-2</v>
      </c>
      <c r="H24" s="42">
        <f>'energy consumption'!P16</f>
        <v>6.6394666719782398E-5</v>
      </c>
      <c r="I24" s="42">
        <f>'energy consumption'!Q16</f>
        <v>27.832000022265593</v>
      </c>
      <c r="J24" s="42">
        <f>'energy consumption'!R16</f>
        <v>2.2522666684684799E-2</v>
      </c>
      <c r="K24" s="42">
        <f>'energy consumption'!S16</f>
        <v>8.3701333400294384</v>
      </c>
      <c r="L24" s="42">
        <f>'energy consumption'!T16</f>
        <v>3.2786666692895994E-3</v>
      </c>
      <c r="M24" s="42">
        <f>'energy consumption'!U16</f>
        <v>1.5994666679462397E-2</v>
      </c>
      <c r="N24" s="42">
        <f>'energy consumption'!V16</f>
        <v>5.885333338041599E-4</v>
      </c>
      <c r="O24" s="42">
        <f>'energy consumption'!W16</f>
        <v>3.1623466691965438E-7</v>
      </c>
      <c r="P24" s="42">
        <f>'energy consumption'!X16</f>
        <v>3.9926400031941112E-3</v>
      </c>
      <c r="Q24" s="42">
        <f>'energy consumption'!Y16</f>
        <v>1.0739200008591358E-2</v>
      </c>
      <c r="R24" s="42">
        <f>'energy consumption'!Z16</f>
        <v>1.5466666679039997E-2</v>
      </c>
      <c r="S24" s="42">
        <f>'energy consumption'!AA16</f>
        <v>2.7681600022145278E-4</v>
      </c>
      <c r="T24" s="42">
        <f>'energy consumption'!AB16</f>
        <v>1.707253334699136E-3</v>
      </c>
      <c r="U24" s="42">
        <f>'energy consumption'!AC16</f>
        <v>4.276586670087935E-4</v>
      </c>
      <c r="V24" s="42">
        <f>'energy consumption'!AD16</f>
        <v>0.10460800008368638</v>
      </c>
      <c r="W24" s="42">
        <f>'energy consumption'!AE16</f>
        <v>0.32257066692472314</v>
      </c>
      <c r="X24" s="42">
        <f>'energy consumption'!AF16</f>
        <v>0.18997866681864958</v>
      </c>
    </row>
    <row r="25" spans="1:24">
      <c r="A25" s="42" t="str">
        <f>'energy consumption'!I17</f>
        <v>Cooling</v>
      </c>
      <c r="B25" s="42">
        <f>'energy consumption'!J17</f>
        <v>11.358720009086975</v>
      </c>
      <c r="C25" s="42">
        <f>'energy consumption'!K17</f>
        <v>199.86564374709252</v>
      </c>
      <c r="D25" s="42">
        <f>'energy consumption'!L17</f>
        <v>1.3004320010403454E-2</v>
      </c>
      <c r="E25" s="42">
        <f>'energy consumption'!M17</f>
        <v>10.71984000857587</v>
      </c>
      <c r="F25" s="42">
        <f>'energy consumption'!N17</f>
        <v>4.7344000037875196</v>
      </c>
      <c r="G25" s="42">
        <f>'energy consumption'!O17</f>
        <v>4.0816000032652788E-2</v>
      </c>
      <c r="H25" s="42">
        <f>'energy consumption'!P17</f>
        <v>1.9918400015934718E-4</v>
      </c>
      <c r="I25" s="42">
        <f>'energy consumption'!Q17</f>
        <v>83.496000066796782</v>
      </c>
      <c r="J25" s="42">
        <f>'energy consumption'!R17</f>
        <v>6.7568000054054389E-2</v>
      </c>
      <c r="K25" s="42">
        <f>'energy consumption'!S17</f>
        <v>25.110400020088314</v>
      </c>
      <c r="L25" s="42">
        <f>'energy consumption'!T17</f>
        <v>9.8360000078687969E-3</v>
      </c>
      <c r="M25" s="42">
        <f>'energy consumption'!U17</f>
        <v>4.7984000038387188E-2</v>
      </c>
      <c r="N25" s="42">
        <f>'energy consumption'!V17</f>
        <v>1.7656000014124797E-3</v>
      </c>
      <c r="O25" s="42">
        <f>'energy consumption'!W17</f>
        <v>9.4870400075896304E-7</v>
      </c>
      <c r="P25" s="42">
        <f>'energy consumption'!X17</f>
        <v>1.1977920009582334E-2</v>
      </c>
      <c r="Q25" s="42">
        <f>'energy consumption'!Y17</f>
        <v>3.2217600025774076E-2</v>
      </c>
      <c r="R25" s="42">
        <f>'energy consumption'!Z17</f>
        <v>4.6400000037119991E-2</v>
      </c>
      <c r="S25" s="42">
        <f>'energy consumption'!AA17</f>
        <v>8.3044800066435823E-4</v>
      </c>
      <c r="T25" s="42">
        <f>'energy consumption'!AB17</f>
        <v>5.1217600040974077E-3</v>
      </c>
      <c r="U25" s="42">
        <f>'energy consumption'!AC17</f>
        <v>1.2829760010263805E-3</v>
      </c>
      <c r="V25" s="42">
        <f>'energy consumption'!AD17</f>
        <v>0.31382400025105917</v>
      </c>
      <c r="W25" s="42">
        <f>'energy consumption'!AE17</f>
        <v>0.96771200077416941</v>
      </c>
      <c r="X25" s="42">
        <f>'energy consumption'!AF17</f>
        <v>0.56993600045594872</v>
      </c>
    </row>
    <row r="26" spans="1:24">
      <c r="A26" s="113" t="str">
        <f>'material inventory'!M14</f>
        <v>Direct emissions</v>
      </c>
      <c r="B26">
        <f>'material inventory'!N14</f>
        <v>0</v>
      </c>
      <c r="C26">
        <f>'material inventory'!O14</f>
        <v>0</v>
      </c>
      <c r="D26">
        <f>'material inventory'!P14</f>
        <v>0</v>
      </c>
      <c r="E26">
        <f>'material inventory'!Q14</f>
        <v>0</v>
      </c>
      <c r="F26">
        <f>'material inventory'!R14</f>
        <v>0</v>
      </c>
      <c r="G26">
        <f>'material inventory'!S14</f>
        <v>2.7206921490436287E-5</v>
      </c>
      <c r="H26">
        <f>'material inventory'!T14</f>
        <v>0</v>
      </c>
      <c r="I26">
        <f>'material inventory'!U14</f>
        <v>5.0124785560202348E-2</v>
      </c>
      <c r="J26">
        <f>'material inventory'!V14</f>
        <v>0</v>
      </c>
      <c r="K26">
        <f>'material inventory'!W14</f>
        <v>1.0105691890333567E-3</v>
      </c>
      <c r="L26">
        <f>'material inventory'!X14</f>
        <v>0</v>
      </c>
      <c r="M26">
        <f>'material inventory'!Y14</f>
        <v>0</v>
      </c>
      <c r="N26">
        <f>'material inventory'!Z14</f>
        <v>0</v>
      </c>
      <c r="O26">
        <f>'material inventory'!AA14</f>
        <v>0</v>
      </c>
      <c r="P26">
        <f>'material inventory'!AB14</f>
        <v>0</v>
      </c>
      <c r="Q26">
        <f>'material inventory'!AC14</f>
        <v>6.6639732227933464E-3</v>
      </c>
      <c r="R26">
        <f>'material inventory'!AD14</f>
        <v>0</v>
      </c>
      <c r="S26">
        <f>'material inventory'!AE14</f>
        <v>8.833030089755125E-5</v>
      </c>
      <c r="T26">
        <f>'material inventory'!AF14</f>
        <v>0</v>
      </c>
      <c r="U26">
        <f>'material inventory'!AG14</f>
        <v>0</v>
      </c>
      <c r="V26">
        <f>'material inventory'!AH14</f>
        <v>0</v>
      </c>
      <c r="W26">
        <f>'material inventory'!AI14</f>
        <v>5.5039459986704373E-7</v>
      </c>
      <c r="X26">
        <f>'material inventory'!AJ14</f>
        <v>0</v>
      </c>
    </row>
    <row r="27" spans="1:24">
      <c r="A27" s="113" t="s">
        <v>96</v>
      </c>
      <c r="B27">
        <f>'material inventory'!N26</f>
        <v>1.44631779E-4</v>
      </c>
      <c r="C27">
        <f>'material inventory'!O26</f>
        <v>1.2086428794910004E-3</v>
      </c>
      <c r="D27">
        <f>'material inventory'!P26</f>
        <v>5.1931415399999998E-6</v>
      </c>
      <c r="E27">
        <f>'material inventory'!Q26</f>
        <v>1.32338107E-4</v>
      </c>
      <c r="F27">
        <f>'material inventory'!R26</f>
        <v>2.28677491E-5</v>
      </c>
      <c r="G27">
        <f>'material inventory'!S26</f>
        <v>2.0220870100000002E-6</v>
      </c>
      <c r="H27">
        <f>'material inventory'!T26</f>
        <v>8.2175952000000003E-7</v>
      </c>
      <c r="I27">
        <f>'material inventory'!U26</f>
        <v>1.86689693E-3</v>
      </c>
      <c r="J27">
        <f>'material inventory'!V26</f>
        <v>9.2705037999999998E-6</v>
      </c>
      <c r="K27">
        <f>'material inventory'!W26</f>
        <v>1.81571225E-3</v>
      </c>
      <c r="L27">
        <f>'material inventory'!X26</f>
        <v>7.6163505000000001E-6</v>
      </c>
      <c r="M27">
        <f>'material inventory'!Y26</f>
        <v>1.02053838E-5</v>
      </c>
      <c r="N27">
        <f>'material inventory'!Z26</f>
        <v>1.0613225200000001E-8</v>
      </c>
      <c r="O27">
        <f>'material inventory'!AA26</f>
        <v>1.0723657900000001E-11</v>
      </c>
      <c r="P27">
        <f>'material inventory'!AB26</f>
        <v>2.9549219600000003E-7</v>
      </c>
      <c r="Q27">
        <f>'material inventory'!AC26</f>
        <v>3.4743062300000002E-7</v>
      </c>
      <c r="R27">
        <f>'material inventory'!AD26</f>
        <v>6.0591910000000003E-7</v>
      </c>
      <c r="S27">
        <f>'material inventory'!AE26</f>
        <v>8.0721045000000003E-8</v>
      </c>
      <c r="T27">
        <f>'material inventory'!AF26</f>
        <v>1.36498323E-6</v>
      </c>
      <c r="U27">
        <f>'material inventory'!AG26</f>
        <v>6.2222107000000004E-7</v>
      </c>
      <c r="V27">
        <f>'material inventory'!AH26</f>
        <v>5.9277235000000001E-6</v>
      </c>
      <c r="W27">
        <f>'material inventory'!AI26</f>
        <v>1.7941515800000001E-5</v>
      </c>
      <c r="X27">
        <f>'material inventory'!AJ26</f>
        <v>3.2155781900000001E-6</v>
      </c>
    </row>
    <row r="28" spans="1:24">
      <c r="A28" s="113" t="s">
        <v>137</v>
      </c>
      <c r="B28">
        <f>'material inventory'!$F$34*[2]production!$D$103</f>
        <v>8.3643595629191974E-3</v>
      </c>
      <c r="C28">
        <f>'material inventory'!$F$34*[2]production!M103</f>
        <v>0.26770154332155288</v>
      </c>
      <c r="D28">
        <f>'material inventory'!$F$34*[2]production!N103</f>
        <v>4.3243888471775977E-4</v>
      </c>
      <c r="E28">
        <f>'material inventory'!$F$34*[2]production!O103</f>
        <v>7.8715222912655973E-3</v>
      </c>
      <c r="F28">
        <f>'material inventory'!$F$34*[2]production!P103</f>
        <v>6.239779244517598E-3</v>
      </c>
      <c r="G28">
        <f>'material inventory'!$F$34*[2]production!Q103</f>
        <v>3.851591877467998E-5</v>
      </c>
      <c r="H28">
        <f>'material inventory'!$F$34*[2]production!R103</f>
        <v>9.277118238383996E-7</v>
      </c>
      <c r="I28">
        <f>'material inventory'!$F$34*[2]production!S103</f>
        <v>5.9334709371119981E-2</v>
      </c>
      <c r="J28">
        <f>'material inventory'!$F$34*[2]production!T103</f>
        <v>1.1446866314243995E-3</v>
      </c>
      <c r="K28">
        <f>'material inventory'!$F$34*[2]production!U103</f>
        <v>4.2086175644087981E-2</v>
      </c>
      <c r="L28">
        <f>'material inventory'!$F$34*[2]production!V103</f>
        <v>2.6648976900455989E-5</v>
      </c>
      <c r="M28">
        <f>'material inventory'!$F$34*[2]production!W103</f>
        <v>3.2471455396031987E-4</v>
      </c>
      <c r="N28">
        <f>'material inventory'!$F$34*[2]production!X103</f>
        <v>-6.1363404552527967E-5</v>
      </c>
      <c r="O28">
        <f>'material inventory'!$F$34*[2]production!Y103</f>
        <v>2.941299700703999E-9</v>
      </c>
      <c r="P28">
        <f>'material inventory'!$F$34*[2]production!Z103</f>
        <v>2.8153541107943991E-5</v>
      </c>
      <c r="Q28">
        <f>'material inventory'!$F$34*[2]production!AA103</f>
        <v>8.5134285781487967E-5</v>
      </c>
      <c r="R28">
        <f>'material inventory'!$F$34*[2]production!AB103</f>
        <v>7.1223233108975976E-5</v>
      </c>
      <c r="S28">
        <f>'material inventory'!$F$34*[2]production!AC103</f>
        <v>8.5864986021599974E-6</v>
      </c>
      <c r="T28">
        <f>'material inventory'!$F$34*[2]production!AD103</f>
        <v>1.5759385136423995E-3</v>
      </c>
      <c r="U28">
        <f>'material inventory'!$F$34*[2]production!AE103</f>
        <v>1.1381041630166396E-5</v>
      </c>
      <c r="V28">
        <f>'material inventory'!$F$34*[2]production!AF103</f>
        <v>6.4093510301975974E-4</v>
      </c>
      <c r="W28">
        <f>'material inventory'!$F$34*[2]production!AG103</f>
        <v>7.4036583189575963E-4</v>
      </c>
      <c r="X28">
        <f>'material inventory'!$F$34*[2]production!AH103</f>
        <v>7.6331968543007971E-4</v>
      </c>
    </row>
    <row r="29" spans="1:24" s="43" customFormat="1">
      <c r="B29" s="43">
        <f>SUM(B3:B27)</f>
        <v>113.08835782579239</v>
      </c>
      <c r="C29" s="43">
        <f t="shared" ref="C29:X29" si="0">SUM(C3:C27)</f>
        <v>1980.6604894667482</v>
      </c>
      <c r="D29" s="43">
        <f t="shared" si="0"/>
        <v>0.27611688365493786</v>
      </c>
      <c r="E29" s="43">
        <f t="shared" si="0"/>
        <v>106.65074641470554</v>
      </c>
      <c r="F29" s="43">
        <f t="shared" si="0"/>
        <v>46.73765900700927</v>
      </c>
      <c r="G29" s="43">
        <f t="shared" si="0"/>
        <v>0.44832212922753645</v>
      </c>
      <c r="H29" s="43">
        <f t="shared" si="0"/>
        <v>3.638118590396523E-3</v>
      </c>
      <c r="I29" s="43">
        <f t="shared" si="0"/>
        <v>892.05335867602753</v>
      </c>
      <c r="J29" s="43">
        <f t="shared" si="0"/>
        <v>0.9099932260868272</v>
      </c>
      <c r="K29" s="43">
        <f t="shared" si="0"/>
        <v>303.02131008477141</v>
      </c>
      <c r="L29" s="43">
        <f t="shared" si="0"/>
        <v>9.8685129673662941E-2</v>
      </c>
      <c r="M29" s="43">
        <f t="shared" si="0"/>
        <v>1.0892670022876167</v>
      </c>
      <c r="N29" s="43">
        <f t="shared" si="0"/>
        <v>1.7505427462978455E-2</v>
      </c>
      <c r="O29" s="43">
        <f t="shared" si="0"/>
        <v>9.3754679232060679E-6</v>
      </c>
      <c r="P29" s="43">
        <f t="shared" si="0"/>
        <v>0.12587754961036632</v>
      </c>
      <c r="Q29" s="43">
        <f t="shared" si="0"/>
        <v>0.32856698006259788</v>
      </c>
      <c r="R29" s="43">
        <f t="shared" si="0"/>
        <v>0.46854655149923091</v>
      </c>
      <c r="S29" s="43">
        <f t="shared" si="0"/>
        <v>1.5910752527830512E-2</v>
      </c>
      <c r="T29" s="43">
        <f t="shared" si="0"/>
        <v>7.1820544687039439E-2</v>
      </c>
      <c r="U29" s="43">
        <f t="shared" si="0"/>
        <v>3.7855621713270067E-2</v>
      </c>
      <c r="V29" s="43">
        <f t="shared" si="0"/>
        <v>3.1772006662097589</v>
      </c>
      <c r="W29" s="43">
        <f t="shared" si="0"/>
        <v>10.063021045006433</v>
      </c>
      <c r="X29" s="43">
        <f t="shared" si="0"/>
        <v>5.6548428836530062</v>
      </c>
    </row>
    <row r="30" spans="1:24" s="41" customFormat="1">
      <c r="A30" s="41" t="s">
        <v>138</v>
      </c>
      <c r="B30" s="41">
        <f>SUM(B28:B29)</f>
        <v>113.0967221853553</v>
      </c>
      <c r="C30" s="41">
        <f t="shared" ref="C30:X30" si="1">SUM(C28:C29)</f>
        <v>1980.9281910100699</v>
      </c>
      <c r="D30" s="41">
        <f t="shared" si="1"/>
        <v>0.27654932253965564</v>
      </c>
      <c r="E30" s="41">
        <f t="shared" si="1"/>
        <v>106.65861793699681</v>
      </c>
      <c r="F30" s="41">
        <f t="shared" si="1"/>
        <v>46.743898786253787</v>
      </c>
      <c r="G30" s="41">
        <f t="shared" si="1"/>
        <v>0.44836064514631113</v>
      </c>
      <c r="H30" s="41">
        <f t="shared" si="1"/>
        <v>3.6390463022203615E-3</v>
      </c>
      <c r="I30" s="41">
        <f t="shared" si="1"/>
        <v>892.11269338539864</v>
      </c>
      <c r="J30" s="41">
        <f t="shared" si="1"/>
        <v>0.91113791271825162</v>
      </c>
      <c r="K30" s="41">
        <f t="shared" si="1"/>
        <v>303.06339626041552</v>
      </c>
      <c r="L30" s="41">
        <f t="shared" si="1"/>
        <v>9.8711778650563395E-2</v>
      </c>
      <c r="M30" s="41">
        <f t="shared" si="1"/>
        <v>1.089591716841577</v>
      </c>
      <c r="N30" s="41">
        <f t="shared" si="1"/>
        <v>1.7444064058425926E-2</v>
      </c>
      <c r="O30" s="41">
        <f t="shared" si="1"/>
        <v>9.3784092229067721E-6</v>
      </c>
      <c r="P30" s="41">
        <f t="shared" si="1"/>
        <v>0.12590570315147426</v>
      </c>
      <c r="Q30" s="41">
        <f t="shared" si="1"/>
        <v>0.32865211434837938</v>
      </c>
      <c r="R30" s="41">
        <f t="shared" si="1"/>
        <v>0.4686177747323399</v>
      </c>
      <c r="S30" s="41">
        <f t="shared" si="1"/>
        <v>1.5919339026432673E-2</v>
      </c>
      <c r="T30" s="41">
        <f t="shared" si="1"/>
        <v>7.3396483200681845E-2</v>
      </c>
      <c r="U30" s="41">
        <f t="shared" si="1"/>
        <v>3.7867002754900236E-2</v>
      </c>
      <c r="V30" s="41">
        <f t="shared" si="1"/>
        <v>3.1778416013127786</v>
      </c>
      <c r="W30" s="41">
        <f t="shared" si="1"/>
        <v>10.063761410838328</v>
      </c>
      <c r="X30" s="41">
        <f t="shared" si="1"/>
        <v>5.6556062033384364</v>
      </c>
    </row>
    <row r="31" spans="1:24">
      <c r="D31" s="45">
        <f>D4/D30</f>
        <v>0.10393754624323222</v>
      </c>
      <c r="U31" s="26">
        <f>U4/U30</f>
        <v>0.25431089337414797</v>
      </c>
    </row>
    <row r="33" spans="2:24">
      <c r="B33" s="26">
        <f>B3/B30</f>
        <v>0.14888020717704145</v>
      </c>
      <c r="C33" s="26">
        <f t="shared" ref="C33:X33" si="2">C3/C30</f>
        <v>0.14752109915699388</v>
      </c>
      <c r="D33" s="46">
        <f t="shared" si="2"/>
        <v>0.19539371531908756</v>
      </c>
      <c r="E33" s="26">
        <f t="shared" si="2"/>
        <v>0.14873489162751735</v>
      </c>
      <c r="F33" s="26">
        <f t="shared" si="2"/>
        <v>0.14699566021267857</v>
      </c>
      <c r="G33" s="26">
        <f t="shared" si="2"/>
        <v>0.18405396100960392</v>
      </c>
      <c r="H33" s="26">
        <f t="shared" si="2"/>
        <v>0.28991201165983799</v>
      </c>
      <c r="I33" s="26">
        <f t="shared" si="2"/>
        <v>0.18553502413679371</v>
      </c>
      <c r="J33" s="26">
        <f t="shared" si="2"/>
        <v>0.18366065956004851</v>
      </c>
      <c r="K33" s="26">
        <f t="shared" si="2"/>
        <v>0.21950975677325363</v>
      </c>
      <c r="L33" s="26">
        <f t="shared" si="2"/>
        <v>0.15241578984469173</v>
      </c>
      <c r="M33" s="26">
        <f t="shared" si="2"/>
        <v>0.58852083747368955</v>
      </c>
      <c r="N33" s="26">
        <f t="shared" si="2"/>
        <v>0.14936593981042243</v>
      </c>
      <c r="O33" s="26">
        <f t="shared" si="2"/>
        <v>0.14665933912763243</v>
      </c>
      <c r="P33" s="26">
        <f t="shared" si="2"/>
        <v>0.15841500194795946</v>
      </c>
      <c r="Q33" s="26">
        <f t="shared" si="2"/>
        <v>0.14868094588980074</v>
      </c>
      <c r="R33" s="26">
        <f t="shared" si="2"/>
        <v>0.15400331571123299</v>
      </c>
      <c r="S33" s="26">
        <f t="shared" si="2"/>
        <v>0.49480715122160063</v>
      </c>
      <c r="T33" s="26">
        <f t="shared" si="2"/>
        <v>0.2158816541206269</v>
      </c>
      <c r="U33" s="36">
        <f t="shared" si="2"/>
        <v>0.26804402571012892</v>
      </c>
      <c r="V33" s="26">
        <f t="shared" si="2"/>
        <v>0.15390044824699972</v>
      </c>
      <c r="W33" s="26">
        <f t="shared" si="2"/>
        <v>0.17129965900656172</v>
      </c>
      <c r="X33" s="26">
        <f t="shared" si="2"/>
        <v>0.15094816716483356</v>
      </c>
    </row>
  </sheetData>
  <phoneticPr fontId="7"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0CE9-21EF-44CD-A7E9-CAE3D2BBA596}">
  <dimension ref="A1:P31"/>
  <sheetViews>
    <sheetView workbookViewId="0"/>
  </sheetViews>
  <sheetFormatPr defaultRowHeight="15"/>
  <cols>
    <col min="1" max="2" width="36.7109375" customWidth="1"/>
  </cols>
  <sheetData>
    <row r="1" spans="1:16">
      <c r="A1" s="24" t="s">
        <v>113</v>
      </c>
    </row>
    <row r="2" spans="1:16">
      <c r="P2">
        <f ca="1">_xll.CB.RecalcCounterFN()</f>
        <v>0</v>
      </c>
    </row>
    <row r="3" spans="1:16">
      <c r="A3" t="s">
        <v>114</v>
      </c>
      <c r="B3" t="s">
        <v>115</v>
      </c>
      <c r="C3">
        <v>0</v>
      </c>
    </row>
    <row r="4" spans="1:16">
      <c r="A4" t="s">
        <v>116</v>
      </c>
    </row>
    <row r="5" spans="1:16">
      <c r="A5" t="s">
        <v>117</v>
      </c>
    </row>
    <row r="7" spans="1:16">
      <c r="A7" s="24" t="s">
        <v>118</v>
      </c>
      <c r="B7" t="s">
        <v>119</v>
      </c>
    </row>
    <row r="8" spans="1:16">
      <c r="B8">
        <v>2</v>
      </c>
    </row>
    <row r="10" spans="1:16">
      <c r="A10" t="s">
        <v>120</v>
      </c>
    </row>
    <row r="11" spans="1:16">
      <c r="A11" t="e">
        <f>CB_DATA_!#REF!</f>
        <v>#REF!</v>
      </c>
      <c r="B11" t="e">
        <f>Uncertainty!#REF!</f>
        <v>#REF!</v>
      </c>
    </row>
    <row r="13" spans="1:16">
      <c r="A13" t="s">
        <v>121</v>
      </c>
    </row>
    <row r="14" spans="1:16">
      <c r="A14" t="s">
        <v>125</v>
      </c>
      <c r="B14" t="s">
        <v>129</v>
      </c>
    </row>
    <row r="16" spans="1:16">
      <c r="A16" t="s">
        <v>122</v>
      </c>
    </row>
    <row r="19" spans="1:2">
      <c r="A19" t="s">
        <v>123</v>
      </c>
    </row>
    <row r="20" spans="1:2">
      <c r="A20">
        <v>31</v>
      </c>
      <c r="B20">
        <v>31</v>
      </c>
    </row>
    <row r="25" spans="1:2">
      <c r="A25" s="24" t="s">
        <v>124</v>
      </c>
    </row>
    <row r="26" spans="1:2">
      <c r="A26" s="25" t="s">
        <v>126</v>
      </c>
      <c r="B26" s="25" t="s">
        <v>130</v>
      </c>
    </row>
    <row r="27" spans="1:2">
      <c r="A27" t="s">
        <v>127</v>
      </c>
      <c r="B27" t="s">
        <v>181</v>
      </c>
    </row>
    <row r="28" spans="1:2">
      <c r="A28" s="25" t="s">
        <v>128</v>
      </c>
      <c r="B28" s="25" t="s">
        <v>128</v>
      </c>
    </row>
    <row r="29" spans="1:2">
      <c r="A29" s="25" t="s">
        <v>130</v>
      </c>
      <c r="B29" s="25" t="s">
        <v>126</v>
      </c>
    </row>
    <row r="30" spans="1:2">
      <c r="A30" t="s">
        <v>182</v>
      </c>
      <c r="B30" t="s">
        <v>131</v>
      </c>
    </row>
    <row r="31" spans="1:2">
      <c r="A31" s="25" t="s">
        <v>128</v>
      </c>
      <c r="B31" s="25" t="s">
        <v>128</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BBAB7-0EDD-4559-AB08-FB1C8DE2C5C7}">
  <dimension ref="A1:L42"/>
  <sheetViews>
    <sheetView zoomScaleNormal="100" workbookViewId="0">
      <selection activeCell="N22" sqref="N22"/>
    </sheetView>
  </sheetViews>
  <sheetFormatPr defaultRowHeight="15"/>
  <cols>
    <col min="1" max="1" width="25.42578125" customWidth="1"/>
    <col min="2" max="2" width="19.42578125" customWidth="1"/>
    <col min="9" max="9" width="29.28515625" customWidth="1"/>
    <col min="10" max="10" width="16.42578125" customWidth="1"/>
    <col min="11" max="11" width="21.140625" customWidth="1"/>
    <col min="12" max="12" width="21.7109375" customWidth="1"/>
  </cols>
  <sheetData>
    <row r="1" spans="1:12">
      <c r="A1" t="s">
        <v>97</v>
      </c>
      <c r="B1" t="s">
        <v>98</v>
      </c>
      <c r="C1" t="s">
        <v>99</v>
      </c>
      <c r="F1" s="23">
        <f>14.6%*0.8</f>
        <v>0.1168</v>
      </c>
      <c r="K1" s="121"/>
      <c r="L1" s="121"/>
    </row>
    <row r="2" spans="1:12">
      <c r="A2" t="s">
        <v>100</v>
      </c>
      <c r="B2" t="s">
        <v>101</v>
      </c>
      <c r="C2" s="21">
        <v>1700</v>
      </c>
      <c r="E2">
        <v>58.9</v>
      </c>
    </row>
    <row r="3" spans="1:12">
      <c r="A3" t="s">
        <v>103</v>
      </c>
      <c r="B3" t="s">
        <v>7</v>
      </c>
      <c r="C3" s="19">
        <v>0.75</v>
      </c>
      <c r="E3">
        <v>1.23</v>
      </c>
    </row>
    <row r="4" spans="1:12">
      <c r="A4" t="s">
        <v>105</v>
      </c>
      <c r="B4" t="s">
        <v>7</v>
      </c>
      <c r="C4" s="20">
        <v>0.1168</v>
      </c>
      <c r="E4">
        <v>1.05</v>
      </c>
    </row>
    <row r="5" spans="1:12">
      <c r="A5" t="s">
        <v>106</v>
      </c>
      <c r="B5" t="s">
        <v>107</v>
      </c>
      <c r="C5">
        <v>12.49</v>
      </c>
    </row>
    <row r="6" spans="1:12">
      <c r="A6" t="s">
        <v>108</v>
      </c>
      <c r="B6" t="s">
        <v>109</v>
      </c>
      <c r="C6" s="21">
        <v>5</v>
      </c>
      <c r="E6">
        <v>1.1499999999999999</v>
      </c>
    </row>
    <row r="7" spans="1:12">
      <c r="A7" t="s">
        <v>110</v>
      </c>
      <c r="B7" t="s">
        <v>111</v>
      </c>
      <c r="C7" s="21">
        <v>1980.9281910100699</v>
      </c>
      <c r="E7">
        <v>1.1100000000000001</v>
      </c>
    </row>
    <row r="8" spans="1:12">
      <c r="A8" t="s">
        <v>112</v>
      </c>
      <c r="C8" s="21">
        <v>113.0967221853553</v>
      </c>
      <c r="E8">
        <v>1.1100000000000001</v>
      </c>
    </row>
    <row r="9" spans="1:12">
      <c r="B9" t="s">
        <v>102</v>
      </c>
      <c r="C9" s="22">
        <f>C7/C5/C2/C4/C3</f>
        <v>1.0650089725339604</v>
      </c>
      <c r="J9" t="s">
        <v>102</v>
      </c>
      <c r="L9" t="s">
        <v>148</v>
      </c>
    </row>
    <row r="10" spans="1:12">
      <c r="B10" t="s">
        <v>104</v>
      </c>
      <c r="C10" s="22">
        <f>C8*1000/C2/C3/C4/C6</f>
        <v>151.88923205124269</v>
      </c>
      <c r="I10" t="s">
        <v>100</v>
      </c>
      <c r="J10" s="29">
        <v>-1.8370000000000001E-2</v>
      </c>
      <c r="K10" t="s">
        <v>100</v>
      </c>
      <c r="L10" s="29">
        <v>-1.4239999999999999E-2</v>
      </c>
    </row>
    <row r="11" spans="1:12">
      <c r="I11" t="s">
        <v>133</v>
      </c>
      <c r="J11" s="29">
        <v>-3.755E-2</v>
      </c>
      <c r="K11" t="s">
        <v>133</v>
      </c>
      <c r="L11" s="29">
        <v>-2.8289999999999999E-2</v>
      </c>
    </row>
    <row r="12" spans="1:12">
      <c r="I12" t="s">
        <v>58</v>
      </c>
      <c r="J12" s="23">
        <v>0.18329999999999999</v>
      </c>
      <c r="K12" t="s">
        <v>59</v>
      </c>
      <c r="L12" s="23">
        <v>0.13819999999999999</v>
      </c>
    </row>
    <row r="13" spans="1:12">
      <c r="B13">
        <f>results!B30</f>
        <v>113.0967221853553</v>
      </c>
      <c r="C13">
        <f>results!C30</f>
        <v>1980.9281910100699</v>
      </c>
      <c r="I13" t="s">
        <v>132</v>
      </c>
      <c r="J13" s="23">
        <v>-0.76070000000000004</v>
      </c>
      <c r="K13" t="s">
        <v>134</v>
      </c>
      <c r="L13" s="23">
        <v>-0.25259999999999999</v>
      </c>
    </row>
    <row r="14" spans="1:12">
      <c r="B14" s="32"/>
      <c r="C14" s="32"/>
      <c r="K14" t="s">
        <v>132</v>
      </c>
      <c r="L14" s="23">
        <v>-0.56669999999999998</v>
      </c>
    </row>
    <row r="42" spans="1:1">
      <c r="A42" s="47"/>
    </row>
  </sheetData>
  <mergeCells count="1">
    <mergeCell ref="K1:L1"/>
  </mergeCells>
  <phoneticPr fontId="7"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4"/>
  <sheetViews>
    <sheetView topLeftCell="A16" zoomScaleNormal="100" workbookViewId="0">
      <selection activeCell="N41" sqref="N41"/>
    </sheetView>
  </sheetViews>
  <sheetFormatPr defaultRowHeight="15"/>
  <cols>
    <col min="1" max="1" width="22.7109375" customWidth="1"/>
    <col min="2" max="2" width="26.7109375" customWidth="1"/>
    <col min="3" max="3" width="18" customWidth="1"/>
    <col min="4" max="5" width="20.85546875" customWidth="1"/>
    <col min="6" max="6" width="16" customWidth="1"/>
    <col min="8" max="8" width="15.42578125" customWidth="1"/>
  </cols>
  <sheetData>
    <row r="1" spans="1:8" s="13" customFormat="1">
      <c r="B1" s="14" t="str">
        <f>'material inventory'!O2</f>
        <v>Primary energy consumption</v>
      </c>
      <c r="C1" s="14" t="str">
        <f>'material inventory'!N2</f>
        <v>Carbon footprint</v>
      </c>
      <c r="D1" s="14"/>
      <c r="E1" s="14"/>
      <c r="F1" s="14"/>
      <c r="G1" s="14"/>
      <c r="H1" s="14"/>
    </row>
    <row r="2" spans="1:8" s="13" customFormat="1">
      <c r="A2" s="15" t="str">
        <f>'material inventory'!M3</f>
        <v>ITO glass</v>
      </c>
      <c r="B2" s="16">
        <v>0</v>
      </c>
      <c r="C2" s="16">
        <v>0</v>
      </c>
      <c r="D2" s="17"/>
      <c r="E2" s="17"/>
      <c r="F2" s="16"/>
      <c r="G2" s="16"/>
      <c r="H2" s="16"/>
    </row>
    <row r="3" spans="1:8" s="13" customFormat="1">
      <c r="A3" s="114" t="str">
        <f>'material inventory'!M4</f>
        <v>Ethanol</v>
      </c>
      <c r="B3" s="16">
        <f>'material inventory'!O4</f>
        <v>1.0715802776700001</v>
      </c>
      <c r="C3" s="16">
        <f>'material inventory'!N4</f>
        <v>3.6067691999999998E-2</v>
      </c>
    </row>
    <row r="4" spans="1:8" s="13" customFormat="1">
      <c r="A4" s="114" t="str">
        <f>'material inventory'!M5</f>
        <v>Deionized water</v>
      </c>
      <c r="B4" s="16">
        <f>'material inventory'!O5</f>
        <v>7.8310930304560005E-4</v>
      </c>
      <c r="C4" s="16">
        <f>'material inventory'!N5</f>
        <v>5.6916582000000001E-5</v>
      </c>
    </row>
    <row r="5" spans="1:8" s="13" customFormat="1">
      <c r="A5" s="114" t="str">
        <f>'material inventory'!M6</f>
        <v>NiOₓ precursor solution</v>
      </c>
      <c r="B5" s="16">
        <f>'material inventory'!O6</f>
        <v>0.85144954245080751</v>
      </c>
      <c r="C5" s="16">
        <f>'material inventory'!N6</f>
        <v>4.2979770179029153E-2</v>
      </c>
    </row>
    <row r="6" spans="1:8" s="13" customFormat="1">
      <c r="A6" s="114" t="str">
        <f>'material inventory'!M7</f>
        <v>PbI₂</v>
      </c>
      <c r="B6" s="16">
        <f>'material inventory'!O7</f>
        <v>4.564611525436902E-2</v>
      </c>
      <c r="C6" s="16">
        <f>'material inventory'!N7</f>
        <v>3.838655237013149E-3</v>
      </c>
    </row>
    <row r="7" spans="1:8" s="13" customFormat="1">
      <c r="A7" s="114" t="str">
        <f>'material inventory'!M8</f>
        <v>Dimethylformamide</v>
      </c>
      <c r="B7" s="16">
        <f>'material inventory'!O8</f>
        <v>0.13488868978770066</v>
      </c>
      <c r="C7" s="16">
        <f>'material inventory'!N8</f>
        <v>4.9592742707200007E-3</v>
      </c>
    </row>
    <row r="8" spans="1:8" s="13" customFormat="1">
      <c r="A8" s="114" t="str">
        <f>'material inventory'!M9</f>
        <v>MAI</v>
      </c>
      <c r="B8" s="16">
        <f>'material inventory'!O9</f>
        <v>0.99552313780157675</v>
      </c>
      <c r="C8" s="16">
        <f>'material inventory'!N9</f>
        <v>4.6867017566034591E-2</v>
      </c>
    </row>
    <row r="9" spans="1:8" s="13" customFormat="1">
      <c r="A9" s="114" t="str">
        <f>'material inventory'!M10</f>
        <v>Isopropanol</v>
      </c>
      <c r="B9" s="16">
        <f>'material inventory'!O10</f>
        <v>0.27495055147511466</v>
      </c>
      <c r="C9" s="16">
        <f>'material inventory'!N10</f>
        <v>8.3180559359999993E-3</v>
      </c>
    </row>
    <row r="10" spans="1:8" s="13" customFormat="1">
      <c r="A10" s="114" t="str">
        <f>'material inventory'!M11</f>
        <v>Nitrogen</v>
      </c>
      <c r="B10" s="16">
        <f>'material inventory'!O11</f>
        <v>22.304788348898221</v>
      </c>
      <c r="C10" s="16">
        <f>'material inventory'!N11</f>
        <v>1.6371150925259081</v>
      </c>
    </row>
    <row r="11" spans="1:8" s="13" customFormat="1">
      <c r="A11" s="114" t="str">
        <f>'material inventory'!M12</f>
        <v>ZnO nanoparticles</v>
      </c>
      <c r="B11" s="16">
        <f>'material inventory'!O12</f>
        <v>2.0283601209157971</v>
      </c>
      <c r="C11" s="16">
        <f>'material inventory'!N12</f>
        <v>8.5029392225674544E-2</v>
      </c>
    </row>
    <row r="12" spans="1:8" s="13" customFormat="1">
      <c r="A12" s="114" t="str">
        <f>'material inventory'!M13</f>
        <v>Al</v>
      </c>
      <c r="B12" s="16">
        <f>'material inventory'!O13</f>
        <v>6.5261304301170733E-2</v>
      </c>
      <c r="C12" s="16">
        <f>'material inventory'!N13</f>
        <v>7.007356097560976E-3</v>
      </c>
    </row>
    <row r="13" spans="1:8">
      <c r="B13" s="115">
        <f>SUM(B2:B12)</f>
        <v>27.7732311978578</v>
      </c>
      <c r="C13" s="115">
        <f>SUM(C2:C12)</f>
        <v>1.8722392226199407</v>
      </c>
    </row>
    <row r="30" spans="1:3">
      <c r="A30" s="13"/>
      <c r="B30" s="14" t="str">
        <f>'energy consumption'!K5</f>
        <v>Primary energy consumption</v>
      </c>
      <c r="C30" s="14" t="str">
        <f>'energy consumption'!J5</f>
        <v>Carbon footprint</v>
      </c>
    </row>
    <row r="31" spans="1:3">
      <c r="A31" s="13" t="str">
        <f>'energy consumption'!I6</f>
        <v>Sonication</v>
      </c>
      <c r="B31" s="5">
        <f>'energy consumption'!K6</f>
        <v>49.96641093677313</v>
      </c>
      <c r="C31" s="5">
        <f>'energy consumption'!J6</f>
        <v>2.8396800022717437</v>
      </c>
    </row>
    <row r="32" spans="1:3">
      <c r="A32" s="13" t="str">
        <f>'energy consumption'!I7</f>
        <v>HTL spin coating</v>
      </c>
      <c r="B32" s="5">
        <f>'energy consumption'!K7</f>
        <v>83.710479577905772</v>
      </c>
      <c r="C32" s="5">
        <f>'energy consumption'!J7</f>
        <v>4.7574154393188799</v>
      </c>
    </row>
    <row r="33" spans="1:3">
      <c r="A33" s="13" t="str">
        <f>'energy consumption'!I8</f>
        <v>HTL annealing</v>
      </c>
      <c r="B33" s="5">
        <f>'energy consumption'!K8</f>
        <v>539.63723811714988</v>
      </c>
      <c r="C33" s="5">
        <f>'energy consumption'!J8</f>
        <v>30.668544024534835</v>
      </c>
    </row>
    <row r="34" spans="1:3">
      <c r="A34" s="13" t="str">
        <f>'energy consumption'!I9</f>
        <v>Inert gas purging</v>
      </c>
      <c r="B34" s="5">
        <f>'energy consumption'!K9</f>
        <v>65.580914354514732</v>
      </c>
      <c r="C34" s="5">
        <f>'energy consumption'!J9</f>
        <v>3.7270800029816638</v>
      </c>
    </row>
    <row r="35" spans="1:3">
      <c r="A35" s="13" t="str">
        <f>'energy consumption'!I10</f>
        <v>PL 1st-step spin coating</v>
      </c>
      <c r="B35" s="5">
        <f>'energy consumption'!K10</f>
        <v>1.4881863036072136</v>
      </c>
      <c r="C35" s="5">
        <f>'energy consumption'!J10</f>
        <v>8.4576274476780081E-2</v>
      </c>
    </row>
    <row r="36" spans="1:3">
      <c r="A36" s="13" t="str">
        <f>'energy consumption'!I11</f>
        <v>PL drying</v>
      </c>
      <c r="B36" s="5">
        <f>'energy consumption'!K11</f>
        <v>20.985892593444717</v>
      </c>
      <c r="C36" s="5">
        <f>'energy consumption'!J11</f>
        <v>1.1926656009541325</v>
      </c>
    </row>
    <row r="37" spans="1:3">
      <c r="A37" s="13" t="str">
        <f>'energy consumption'!I12</f>
        <v>PL 2nd-step spin coating</v>
      </c>
      <c r="B37" s="5">
        <f>'energy consumption'!K12</f>
        <v>74.409315180360679</v>
      </c>
      <c r="C37" s="5">
        <f>'energy consumption'!J12</f>
        <v>4.2288137238390036</v>
      </c>
    </row>
    <row r="38" spans="1:3">
      <c r="A38" s="13" t="str">
        <f>'energy consumption'!I13</f>
        <v>PL annealing</v>
      </c>
      <c r="B38" s="5">
        <f>'energy consumption'!K13</f>
        <v>359.75815874476655</v>
      </c>
      <c r="C38" s="5">
        <f>'energy consumption'!J13</f>
        <v>20.445696016356557</v>
      </c>
    </row>
    <row r="39" spans="1:3">
      <c r="A39" s="13" t="str">
        <f>'energy consumption'!I14</f>
        <v>ETL spin coating</v>
      </c>
      <c r="B39" s="5">
        <f>'energy consumption'!K14</f>
        <v>83.710479577905772</v>
      </c>
      <c r="C39" s="5">
        <f>'energy consumption'!J14</f>
        <v>4.7574154393188799</v>
      </c>
    </row>
    <row r="40" spans="1:3">
      <c r="A40" s="13" t="str">
        <f>'energy consumption'!I15</f>
        <v>Vacuum pump</v>
      </c>
      <c r="B40" s="5">
        <f>'energy consumption'!K15</f>
        <v>114.92274515457818</v>
      </c>
      <c r="C40" s="5">
        <f>'energy consumption'!J15</f>
        <v>6.5312640052250099</v>
      </c>
    </row>
    <row r="41" spans="1:3">
      <c r="A41" s="13" t="str">
        <f>'energy consumption'!I16</f>
        <v>Evaporation</v>
      </c>
      <c r="B41" s="5">
        <f>'energy consumption'!K16</f>
        <v>66.621881249030835</v>
      </c>
      <c r="C41" s="5">
        <f>'energy consumption'!J16</f>
        <v>3.7862400030289916</v>
      </c>
    </row>
    <row r="42" spans="1:3">
      <c r="A42" s="13" t="str">
        <f>'energy consumption'!I17</f>
        <v>Cooling</v>
      </c>
      <c r="B42" s="5">
        <f>'energy consumption'!K17</f>
        <v>199.86564374709252</v>
      </c>
      <c r="C42" s="5">
        <f>'energy consumption'!J17</f>
        <v>11.358720009086975</v>
      </c>
    </row>
    <row r="43" spans="1:3">
      <c r="A43" s="13" t="str">
        <f>'energy consumption'!I26</f>
        <v>UV/O₃ cleaning</v>
      </c>
      <c r="B43" s="5">
        <f>'energy consumption'!K26</f>
        <v>0.28730686288644547</v>
      </c>
      <c r="C43" s="5">
        <f>'energy consumption'!J26</f>
        <v>1.6328160013062525E-2</v>
      </c>
    </row>
    <row r="44" spans="1:3">
      <c r="B44" s="115">
        <f>SUM(B31:B43)</f>
        <v>1660.9446524000164</v>
      </c>
      <c r="C44" s="115">
        <f>SUM(C31:C43)</f>
        <v>94.394438701406514</v>
      </c>
    </row>
  </sheetData>
  <phoneticPr fontId="7"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8075-4C8D-4281-AE27-AA54FE79A495}">
  <dimension ref="A1:K32"/>
  <sheetViews>
    <sheetView topLeftCell="A10" workbookViewId="0">
      <selection activeCell="H15" sqref="H15:H26"/>
    </sheetView>
  </sheetViews>
  <sheetFormatPr defaultRowHeight="15"/>
  <cols>
    <col min="1" max="2" width="27" customWidth="1"/>
    <col min="7" max="7" width="27.28515625" customWidth="1"/>
  </cols>
  <sheetData>
    <row r="1" spans="1:11">
      <c r="A1" s="13"/>
      <c r="B1" s="13"/>
      <c r="C1" s="13" t="s">
        <v>135</v>
      </c>
      <c r="D1" s="13"/>
      <c r="E1" s="13"/>
      <c r="F1" s="13"/>
      <c r="G1" s="13"/>
      <c r="H1" s="13" t="s">
        <v>135</v>
      </c>
      <c r="I1" s="13"/>
      <c r="J1" s="13"/>
      <c r="K1" s="13"/>
    </row>
    <row r="2" spans="1:11">
      <c r="A2" s="13"/>
      <c r="B2" s="13"/>
      <c r="C2" s="27">
        <v>1</v>
      </c>
      <c r="D2" s="27">
        <v>0.9</v>
      </c>
      <c r="E2" s="27">
        <v>0.8</v>
      </c>
      <c r="F2" s="27">
        <v>0.7</v>
      </c>
      <c r="G2" s="13"/>
      <c r="H2" s="27">
        <v>1</v>
      </c>
      <c r="I2" s="27">
        <v>0.9</v>
      </c>
      <c r="J2" s="27">
        <v>0.8</v>
      </c>
      <c r="K2" s="27">
        <v>0.7</v>
      </c>
    </row>
    <row r="3" spans="1:11">
      <c r="A3" s="13"/>
      <c r="B3" s="13" t="str">
        <f>results!B2</f>
        <v>Carbon footprint</v>
      </c>
      <c r="C3" s="13"/>
      <c r="D3" s="13"/>
      <c r="E3" s="13"/>
      <c r="F3" s="13"/>
      <c r="G3" s="13" t="str">
        <f>results!C2</f>
        <v>Primary energy consumption</v>
      </c>
      <c r="H3" s="13"/>
      <c r="I3" s="13"/>
      <c r="J3" s="13"/>
      <c r="K3" s="13"/>
    </row>
    <row r="4" spans="1:11" s="31" customFormat="1">
      <c r="A4" s="64" t="str">
        <f>results!A3</f>
        <v>ITO glass</v>
      </c>
      <c r="B4" s="15">
        <f>results!B3</f>
        <v>16.837863429999999</v>
      </c>
      <c r="C4" s="15">
        <f>$B$4*(1-C2)</f>
        <v>0</v>
      </c>
      <c r="D4" s="15">
        <f>$B$4*(1-D2)</f>
        <v>1.6837863429999995</v>
      </c>
      <c r="E4" s="15">
        <f>$B$4*(1-E2)</f>
        <v>3.367572685999999</v>
      </c>
      <c r="F4" s="15">
        <f>$B$4*(1-F2)</f>
        <v>5.0513590290000003</v>
      </c>
      <c r="G4" s="15">
        <f>results!C3</f>
        <v>292.22870408888105</v>
      </c>
      <c r="H4" s="15">
        <f>$G$4*(1-H2)</f>
        <v>0</v>
      </c>
      <c r="I4" s="15">
        <f>$G$4*(1-I2)</f>
        <v>29.222870408888099</v>
      </c>
      <c r="J4" s="15">
        <f>$G$4*(1-J2)</f>
        <v>58.445740817776198</v>
      </c>
      <c r="K4" s="15">
        <f>$G$4*(1-K2)</f>
        <v>87.668611226664325</v>
      </c>
    </row>
    <row r="5" spans="1:11">
      <c r="A5" s="64" t="str">
        <f>results!A4</f>
        <v>Ethanol</v>
      </c>
      <c r="B5" s="13">
        <f>results!B4</f>
        <v>3.6067691999999998E-2</v>
      </c>
      <c r="C5" s="13">
        <f t="shared" ref="C5:F23" si="0">B5</f>
        <v>3.6067691999999998E-2</v>
      </c>
      <c r="D5" s="13">
        <f t="shared" si="0"/>
        <v>3.6067691999999998E-2</v>
      </c>
      <c r="E5" s="13">
        <f t="shared" si="0"/>
        <v>3.6067691999999998E-2</v>
      </c>
      <c r="F5" s="13">
        <f t="shared" si="0"/>
        <v>3.6067691999999998E-2</v>
      </c>
      <c r="G5" s="13">
        <f>results!C4</f>
        <v>1.0715802776700001</v>
      </c>
      <c r="H5" s="13">
        <f t="shared" ref="H5:K21" si="1">G5</f>
        <v>1.0715802776700001</v>
      </c>
      <c r="I5" s="13">
        <f t="shared" si="1"/>
        <v>1.0715802776700001</v>
      </c>
      <c r="J5" s="13">
        <f t="shared" si="1"/>
        <v>1.0715802776700001</v>
      </c>
      <c r="K5" s="13">
        <f t="shared" si="1"/>
        <v>1.0715802776700001</v>
      </c>
    </row>
    <row r="6" spans="1:11">
      <c r="A6" s="64" t="str">
        <f>results!A5</f>
        <v>Deionized water</v>
      </c>
      <c r="B6" s="13">
        <f>results!B5</f>
        <v>5.6916582000000001E-5</v>
      </c>
      <c r="C6" s="13">
        <f t="shared" si="0"/>
        <v>5.6916582000000001E-5</v>
      </c>
      <c r="D6" s="13">
        <f t="shared" si="0"/>
        <v>5.6916582000000001E-5</v>
      </c>
      <c r="E6" s="13">
        <f t="shared" si="0"/>
        <v>5.6916582000000001E-5</v>
      </c>
      <c r="F6" s="13">
        <f t="shared" si="0"/>
        <v>5.6916582000000001E-5</v>
      </c>
      <c r="G6" s="13">
        <f>results!C5</f>
        <v>7.8310930304560005E-4</v>
      </c>
      <c r="H6" s="13">
        <f t="shared" si="1"/>
        <v>7.8310930304560005E-4</v>
      </c>
      <c r="I6" s="13">
        <f t="shared" si="1"/>
        <v>7.8310930304560005E-4</v>
      </c>
      <c r="J6" s="13">
        <f t="shared" si="1"/>
        <v>7.8310930304560005E-4</v>
      </c>
      <c r="K6" s="13">
        <f t="shared" si="1"/>
        <v>7.8310930304560005E-4</v>
      </c>
    </row>
    <row r="7" spans="1:11">
      <c r="A7" s="64" t="str">
        <f>results!A6</f>
        <v>NiOₓ precursor solution</v>
      </c>
      <c r="B7" s="13">
        <f>results!B6</f>
        <v>4.2979770179029153E-2</v>
      </c>
      <c r="C7" s="13">
        <f t="shared" si="0"/>
        <v>4.2979770179029153E-2</v>
      </c>
      <c r="D7" s="13">
        <f t="shared" si="0"/>
        <v>4.2979770179029153E-2</v>
      </c>
      <c r="E7" s="13">
        <f t="shared" si="0"/>
        <v>4.2979770179029153E-2</v>
      </c>
      <c r="F7" s="13">
        <f t="shared" si="0"/>
        <v>4.2979770179029153E-2</v>
      </c>
      <c r="G7" s="13">
        <f>results!C6</f>
        <v>0.85144954245080751</v>
      </c>
      <c r="H7" s="13">
        <f t="shared" si="1"/>
        <v>0.85144954245080751</v>
      </c>
      <c r="I7" s="13">
        <f t="shared" si="1"/>
        <v>0.85144954245080751</v>
      </c>
      <c r="J7" s="13">
        <f t="shared" si="1"/>
        <v>0.85144954245080751</v>
      </c>
      <c r="K7" s="13">
        <f t="shared" si="1"/>
        <v>0.85144954245080751</v>
      </c>
    </row>
    <row r="8" spans="1:11">
      <c r="A8" s="64" t="str">
        <f>results!A7</f>
        <v>PbI₂</v>
      </c>
      <c r="B8" s="13">
        <f>results!B7</f>
        <v>3.838655237013149E-3</v>
      </c>
      <c r="C8" s="13">
        <f t="shared" si="0"/>
        <v>3.838655237013149E-3</v>
      </c>
      <c r="D8" s="13">
        <f t="shared" si="0"/>
        <v>3.838655237013149E-3</v>
      </c>
      <c r="E8" s="13">
        <f t="shared" si="0"/>
        <v>3.838655237013149E-3</v>
      </c>
      <c r="F8" s="13">
        <f t="shared" si="0"/>
        <v>3.838655237013149E-3</v>
      </c>
      <c r="G8" s="13">
        <f>results!C7</f>
        <v>4.564611525436902E-2</v>
      </c>
      <c r="H8" s="13">
        <f t="shared" si="1"/>
        <v>4.564611525436902E-2</v>
      </c>
      <c r="I8" s="13">
        <f t="shared" si="1"/>
        <v>4.564611525436902E-2</v>
      </c>
      <c r="J8" s="13">
        <f t="shared" si="1"/>
        <v>4.564611525436902E-2</v>
      </c>
      <c r="K8" s="13">
        <f t="shared" si="1"/>
        <v>4.564611525436902E-2</v>
      </c>
    </row>
    <row r="9" spans="1:11">
      <c r="A9" s="64" t="str">
        <f>results!A8</f>
        <v>Dimethylformamide</v>
      </c>
      <c r="B9" s="13">
        <f>results!B8</f>
        <v>4.9592742707200007E-3</v>
      </c>
      <c r="C9" s="13">
        <f t="shared" si="0"/>
        <v>4.9592742707200007E-3</v>
      </c>
      <c r="D9" s="13">
        <f t="shared" si="0"/>
        <v>4.9592742707200007E-3</v>
      </c>
      <c r="E9" s="13">
        <f t="shared" si="0"/>
        <v>4.9592742707200007E-3</v>
      </c>
      <c r="F9" s="13">
        <f t="shared" si="0"/>
        <v>4.9592742707200007E-3</v>
      </c>
      <c r="G9" s="13">
        <f>results!C8</f>
        <v>0.13488868978770066</v>
      </c>
      <c r="H9" s="13">
        <f t="shared" si="1"/>
        <v>0.13488868978770066</v>
      </c>
      <c r="I9" s="13">
        <f t="shared" si="1"/>
        <v>0.13488868978770066</v>
      </c>
      <c r="J9" s="13">
        <f t="shared" si="1"/>
        <v>0.13488868978770066</v>
      </c>
      <c r="K9" s="13">
        <f t="shared" si="1"/>
        <v>0.13488868978770066</v>
      </c>
    </row>
    <row r="10" spans="1:11">
      <c r="A10" s="64" t="str">
        <f>results!A9</f>
        <v>MAI</v>
      </c>
      <c r="B10" s="13">
        <f>results!B9</f>
        <v>4.6867017566034591E-2</v>
      </c>
      <c r="C10" s="13">
        <f t="shared" si="0"/>
        <v>4.6867017566034591E-2</v>
      </c>
      <c r="D10" s="13">
        <f t="shared" si="0"/>
        <v>4.6867017566034591E-2</v>
      </c>
      <c r="E10" s="13">
        <f t="shared" si="0"/>
        <v>4.6867017566034591E-2</v>
      </c>
      <c r="F10" s="13">
        <f t="shared" si="0"/>
        <v>4.6867017566034591E-2</v>
      </c>
      <c r="G10" s="13">
        <f>results!C9</f>
        <v>0.99552313780157675</v>
      </c>
      <c r="H10" s="13">
        <f t="shared" si="1"/>
        <v>0.99552313780157675</v>
      </c>
      <c r="I10" s="13">
        <f t="shared" si="1"/>
        <v>0.99552313780157675</v>
      </c>
      <c r="J10" s="13">
        <f t="shared" si="1"/>
        <v>0.99552313780157675</v>
      </c>
      <c r="K10" s="13">
        <f t="shared" si="1"/>
        <v>0.99552313780157675</v>
      </c>
    </row>
    <row r="11" spans="1:11">
      <c r="A11" s="64" t="str">
        <f>results!A10</f>
        <v>Isopropanol</v>
      </c>
      <c r="B11" s="13">
        <f>results!B10</f>
        <v>8.3180559359999993E-3</v>
      </c>
      <c r="C11" s="13">
        <f t="shared" si="0"/>
        <v>8.3180559359999993E-3</v>
      </c>
      <c r="D11" s="13">
        <f t="shared" si="0"/>
        <v>8.3180559359999993E-3</v>
      </c>
      <c r="E11" s="13">
        <f t="shared" si="0"/>
        <v>8.3180559359999993E-3</v>
      </c>
      <c r="F11" s="13">
        <f t="shared" si="0"/>
        <v>8.3180559359999993E-3</v>
      </c>
      <c r="G11" s="13">
        <f>results!C10</f>
        <v>0.27495055147511466</v>
      </c>
      <c r="H11" s="13">
        <f t="shared" si="1"/>
        <v>0.27495055147511466</v>
      </c>
      <c r="I11" s="13">
        <f t="shared" si="1"/>
        <v>0.27495055147511466</v>
      </c>
      <c r="J11" s="13">
        <f t="shared" si="1"/>
        <v>0.27495055147511466</v>
      </c>
      <c r="K11" s="13">
        <f t="shared" si="1"/>
        <v>0.27495055147511466</v>
      </c>
    </row>
    <row r="12" spans="1:11">
      <c r="A12" s="64" t="str">
        <f>results!A11</f>
        <v>Nitrogen</v>
      </c>
      <c r="B12" s="13">
        <f>results!B11</f>
        <v>1.6371150925259081</v>
      </c>
      <c r="C12" s="13">
        <f t="shared" ref="C12" si="2">B12</f>
        <v>1.6371150925259081</v>
      </c>
      <c r="D12" s="13">
        <f t="shared" ref="D12" si="3">C12</f>
        <v>1.6371150925259081</v>
      </c>
      <c r="E12" s="13">
        <f t="shared" ref="E12" si="4">D12</f>
        <v>1.6371150925259081</v>
      </c>
      <c r="F12" s="13">
        <f t="shared" ref="F12" si="5">E12</f>
        <v>1.6371150925259081</v>
      </c>
      <c r="G12" s="13">
        <f>results!C11</f>
        <v>22.304788348898221</v>
      </c>
      <c r="H12" s="13">
        <f t="shared" ref="H12" si="6">G12</f>
        <v>22.304788348898221</v>
      </c>
      <c r="I12" s="13">
        <f t="shared" ref="I12" si="7">H12</f>
        <v>22.304788348898221</v>
      </c>
      <c r="J12" s="13">
        <f t="shared" ref="J12" si="8">I12</f>
        <v>22.304788348898221</v>
      </c>
      <c r="K12" s="13">
        <f t="shared" ref="K12" si="9">J12</f>
        <v>22.304788348898221</v>
      </c>
    </row>
    <row r="13" spans="1:11">
      <c r="A13" s="64" t="str">
        <f>results!A12</f>
        <v>ZnO nanoparticles</v>
      </c>
      <c r="B13" s="13">
        <f>results!B12</f>
        <v>8.5029392225674544E-2</v>
      </c>
      <c r="C13" s="13">
        <f t="shared" si="0"/>
        <v>8.5029392225674544E-2</v>
      </c>
      <c r="D13" s="13">
        <f t="shared" si="0"/>
        <v>8.5029392225674544E-2</v>
      </c>
      <c r="E13" s="13">
        <f t="shared" si="0"/>
        <v>8.5029392225674544E-2</v>
      </c>
      <c r="F13" s="13">
        <f t="shared" si="0"/>
        <v>8.5029392225674544E-2</v>
      </c>
      <c r="G13" s="13">
        <f>results!C12</f>
        <v>2.0283601209157971</v>
      </c>
      <c r="H13" s="13">
        <f t="shared" si="1"/>
        <v>2.0283601209157971</v>
      </c>
      <c r="I13" s="13">
        <f t="shared" si="1"/>
        <v>2.0283601209157971</v>
      </c>
      <c r="J13" s="13">
        <f t="shared" si="1"/>
        <v>2.0283601209157971</v>
      </c>
      <c r="K13" s="13">
        <f t="shared" si="1"/>
        <v>2.0283601209157971</v>
      </c>
    </row>
    <row r="14" spans="1:11">
      <c r="A14" s="64" t="str">
        <f>results!A13</f>
        <v>Al</v>
      </c>
      <c r="B14" s="13">
        <f>results!B13</f>
        <v>7.007356097560976E-3</v>
      </c>
      <c r="C14" s="13">
        <f t="shared" si="0"/>
        <v>7.007356097560976E-3</v>
      </c>
      <c r="D14" s="13">
        <f t="shared" si="0"/>
        <v>7.007356097560976E-3</v>
      </c>
      <c r="E14" s="13">
        <f t="shared" si="0"/>
        <v>7.007356097560976E-3</v>
      </c>
      <c r="F14" s="13">
        <f t="shared" si="0"/>
        <v>7.007356097560976E-3</v>
      </c>
      <c r="G14" s="13">
        <f>results!C13</f>
        <v>6.5261304301170733E-2</v>
      </c>
      <c r="H14" s="13">
        <f t="shared" si="1"/>
        <v>6.5261304301170733E-2</v>
      </c>
      <c r="I14" s="13">
        <f t="shared" si="1"/>
        <v>6.5261304301170733E-2</v>
      </c>
      <c r="J14" s="13">
        <f t="shared" si="1"/>
        <v>6.5261304301170733E-2</v>
      </c>
      <c r="K14" s="13">
        <f t="shared" si="1"/>
        <v>6.5261304301170733E-2</v>
      </c>
    </row>
    <row r="15" spans="1:11">
      <c r="A15" s="65" t="str">
        <f>results!A14</f>
        <v>Sonication</v>
      </c>
      <c r="B15" s="13">
        <f>results!B14</f>
        <v>2.8396800022717437</v>
      </c>
      <c r="C15" s="13">
        <f t="shared" si="0"/>
        <v>2.8396800022717437</v>
      </c>
      <c r="D15" s="13">
        <f t="shared" si="0"/>
        <v>2.8396800022717437</v>
      </c>
      <c r="E15" s="13">
        <f t="shared" si="0"/>
        <v>2.8396800022717437</v>
      </c>
      <c r="F15" s="13">
        <f t="shared" si="0"/>
        <v>2.8396800022717437</v>
      </c>
      <c r="G15" s="13">
        <f>results!C14</f>
        <v>49.96641093677313</v>
      </c>
      <c r="H15" s="13">
        <f t="shared" si="1"/>
        <v>49.96641093677313</v>
      </c>
      <c r="I15" s="13">
        <f t="shared" si="1"/>
        <v>49.96641093677313</v>
      </c>
      <c r="J15" s="13">
        <f t="shared" si="1"/>
        <v>49.96641093677313</v>
      </c>
      <c r="K15" s="13">
        <f t="shared" si="1"/>
        <v>49.96641093677313</v>
      </c>
    </row>
    <row r="16" spans="1:11">
      <c r="A16" s="65" t="str">
        <f>results!A15</f>
        <v>HTL spin coating</v>
      </c>
      <c r="B16" s="13">
        <f>results!B15</f>
        <v>4.7574154393188799</v>
      </c>
      <c r="C16" s="13">
        <f t="shared" si="0"/>
        <v>4.7574154393188799</v>
      </c>
      <c r="D16" s="13">
        <f t="shared" si="0"/>
        <v>4.7574154393188799</v>
      </c>
      <c r="E16" s="13">
        <f t="shared" si="0"/>
        <v>4.7574154393188799</v>
      </c>
      <c r="F16" s="13">
        <f t="shared" si="0"/>
        <v>4.7574154393188799</v>
      </c>
      <c r="G16" s="13">
        <f>results!C15</f>
        <v>83.710479577905772</v>
      </c>
      <c r="H16" s="13">
        <f t="shared" si="1"/>
        <v>83.710479577905772</v>
      </c>
      <c r="I16" s="13">
        <f t="shared" si="1"/>
        <v>83.710479577905772</v>
      </c>
      <c r="J16" s="13">
        <f t="shared" si="1"/>
        <v>83.710479577905772</v>
      </c>
      <c r="K16" s="13">
        <f t="shared" si="1"/>
        <v>83.710479577905772</v>
      </c>
    </row>
    <row r="17" spans="1:11">
      <c r="A17" s="65" t="str">
        <f>results!A16</f>
        <v>HTL annealing</v>
      </c>
      <c r="B17" s="13">
        <f>results!B16</f>
        <v>30.668544024534835</v>
      </c>
      <c r="C17" s="13">
        <f t="shared" si="0"/>
        <v>30.668544024534835</v>
      </c>
      <c r="D17" s="13">
        <f t="shared" si="0"/>
        <v>30.668544024534835</v>
      </c>
      <c r="E17" s="13">
        <f t="shared" si="0"/>
        <v>30.668544024534835</v>
      </c>
      <c r="F17" s="13">
        <f t="shared" si="0"/>
        <v>30.668544024534835</v>
      </c>
      <c r="G17" s="13">
        <f>results!C16</f>
        <v>539.63723811714988</v>
      </c>
      <c r="H17" s="13">
        <f t="shared" si="1"/>
        <v>539.63723811714988</v>
      </c>
      <c r="I17" s="13">
        <f t="shared" si="1"/>
        <v>539.63723811714988</v>
      </c>
      <c r="J17" s="13">
        <f t="shared" si="1"/>
        <v>539.63723811714988</v>
      </c>
      <c r="K17" s="13">
        <f t="shared" si="1"/>
        <v>539.63723811714988</v>
      </c>
    </row>
    <row r="18" spans="1:11">
      <c r="A18" s="65" t="str">
        <f>results!A17</f>
        <v>Inert gas purging</v>
      </c>
      <c r="B18" s="13">
        <f>results!B17</f>
        <v>3.7270800029816638</v>
      </c>
      <c r="C18" s="13">
        <f t="shared" si="0"/>
        <v>3.7270800029816638</v>
      </c>
      <c r="D18" s="13">
        <f t="shared" si="0"/>
        <v>3.7270800029816638</v>
      </c>
      <c r="E18" s="13">
        <f t="shared" si="0"/>
        <v>3.7270800029816638</v>
      </c>
      <c r="F18" s="13">
        <f t="shared" si="0"/>
        <v>3.7270800029816638</v>
      </c>
      <c r="G18" s="13">
        <f>results!C17</f>
        <v>65.580914354514732</v>
      </c>
      <c r="H18" s="13">
        <f t="shared" si="1"/>
        <v>65.580914354514732</v>
      </c>
      <c r="I18" s="13">
        <f t="shared" si="1"/>
        <v>65.580914354514732</v>
      </c>
      <c r="J18" s="13">
        <f t="shared" si="1"/>
        <v>65.580914354514732</v>
      </c>
      <c r="K18" s="13">
        <f t="shared" si="1"/>
        <v>65.580914354514732</v>
      </c>
    </row>
    <row r="19" spans="1:11">
      <c r="A19" s="65" t="str">
        <f>results!A18</f>
        <v>PL 1st-step spin coating</v>
      </c>
      <c r="B19" s="13">
        <f>results!B18</f>
        <v>8.4576274476780081E-2</v>
      </c>
      <c r="C19" s="13">
        <f t="shared" si="0"/>
        <v>8.4576274476780081E-2</v>
      </c>
      <c r="D19" s="13">
        <f t="shared" si="0"/>
        <v>8.4576274476780081E-2</v>
      </c>
      <c r="E19" s="13">
        <f t="shared" si="0"/>
        <v>8.4576274476780081E-2</v>
      </c>
      <c r="F19" s="13">
        <f t="shared" si="0"/>
        <v>8.4576274476780081E-2</v>
      </c>
      <c r="G19" s="13">
        <f>results!C18</f>
        <v>1.4881863036072136</v>
      </c>
      <c r="H19" s="13">
        <f t="shared" si="1"/>
        <v>1.4881863036072136</v>
      </c>
      <c r="I19" s="13">
        <f t="shared" si="1"/>
        <v>1.4881863036072136</v>
      </c>
      <c r="J19" s="13">
        <f t="shared" si="1"/>
        <v>1.4881863036072136</v>
      </c>
      <c r="K19" s="13">
        <f t="shared" si="1"/>
        <v>1.4881863036072136</v>
      </c>
    </row>
    <row r="20" spans="1:11">
      <c r="A20" s="65" t="str">
        <f>results!A19</f>
        <v>PL drying</v>
      </c>
      <c r="B20" s="13">
        <f>results!B19</f>
        <v>1.1926656009541325</v>
      </c>
      <c r="C20" s="13">
        <f t="shared" si="0"/>
        <v>1.1926656009541325</v>
      </c>
      <c r="D20" s="13">
        <f t="shared" si="0"/>
        <v>1.1926656009541325</v>
      </c>
      <c r="E20" s="13">
        <f t="shared" si="0"/>
        <v>1.1926656009541325</v>
      </c>
      <c r="F20" s="13">
        <f t="shared" si="0"/>
        <v>1.1926656009541325</v>
      </c>
      <c r="G20" s="13">
        <f>results!C19</f>
        <v>20.985892593444717</v>
      </c>
      <c r="H20" s="13">
        <f t="shared" si="1"/>
        <v>20.985892593444717</v>
      </c>
      <c r="I20" s="13">
        <f t="shared" si="1"/>
        <v>20.985892593444717</v>
      </c>
      <c r="J20" s="13">
        <f t="shared" si="1"/>
        <v>20.985892593444717</v>
      </c>
      <c r="K20" s="13">
        <f t="shared" si="1"/>
        <v>20.985892593444717</v>
      </c>
    </row>
    <row r="21" spans="1:11">
      <c r="A21" s="65" t="str">
        <f>results!A20</f>
        <v>PL 2nd-step spin coating</v>
      </c>
      <c r="B21" s="13">
        <f>results!B20</f>
        <v>4.2288137238390036</v>
      </c>
      <c r="C21" s="13">
        <f t="shared" si="0"/>
        <v>4.2288137238390036</v>
      </c>
      <c r="D21" s="13">
        <f t="shared" si="0"/>
        <v>4.2288137238390036</v>
      </c>
      <c r="E21" s="13">
        <f t="shared" si="0"/>
        <v>4.2288137238390036</v>
      </c>
      <c r="F21" s="13">
        <f t="shared" si="0"/>
        <v>4.2288137238390036</v>
      </c>
      <c r="G21" s="13">
        <f>results!C20</f>
        <v>74.409315180360679</v>
      </c>
      <c r="H21" s="13">
        <f t="shared" si="1"/>
        <v>74.409315180360679</v>
      </c>
      <c r="I21" s="13">
        <f t="shared" si="1"/>
        <v>74.409315180360679</v>
      </c>
      <c r="J21" s="13">
        <f t="shared" si="1"/>
        <v>74.409315180360679</v>
      </c>
      <c r="K21" s="13">
        <f t="shared" si="1"/>
        <v>74.409315180360679</v>
      </c>
    </row>
    <row r="22" spans="1:11">
      <c r="A22" s="65" t="str">
        <f>results!A21</f>
        <v>PL annealing</v>
      </c>
      <c r="B22" s="13">
        <f>results!B21</f>
        <v>20.445696016356557</v>
      </c>
      <c r="C22" s="13">
        <f t="shared" si="0"/>
        <v>20.445696016356557</v>
      </c>
      <c r="D22" s="13">
        <f t="shared" si="0"/>
        <v>20.445696016356557</v>
      </c>
      <c r="E22" s="13">
        <f t="shared" si="0"/>
        <v>20.445696016356557</v>
      </c>
      <c r="F22" s="13">
        <f t="shared" si="0"/>
        <v>20.445696016356557</v>
      </c>
      <c r="G22" s="13">
        <f>results!C21</f>
        <v>359.75815874476655</v>
      </c>
      <c r="H22" s="13">
        <f t="shared" ref="H22:K23" si="10">G22</f>
        <v>359.75815874476655</v>
      </c>
      <c r="I22" s="13">
        <f t="shared" si="10"/>
        <v>359.75815874476655</v>
      </c>
      <c r="J22" s="13">
        <f t="shared" si="10"/>
        <v>359.75815874476655</v>
      </c>
      <c r="K22" s="13">
        <f t="shared" si="10"/>
        <v>359.75815874476655</v>
      </c>
    </row>
    <row r="23" spans="1:11">
      <c r="A23" s="65" t="str">
        <f>results!A22</f>
        <v>ETL spin coating</v>
      </c>
      <c r="B23" s="13">
        <f>results!B22</f>
        <v>4.7574154393188799</v>
      </c>
      <c r="C23" s="13">
        <f t="shared" si="0"/>
        <v>4.7574154393188799</v>
      </c>
      <c r="D23" s="13">
        <f t="shared" si="0"/>
        <v>4.7574154393188799</v>
      </c>
      <c r="E23" s="13">
        <f t="shared" si="0"/>
        <v>4.7574154393188799</v>
      </c>
      <c r="F23" s="13">
        <f t="shared" si="0"/>
        <v>4.7574154393188799</v>
      </c>
      <c r="G23" s="13">
        <f>results!C22</f>
        <v>83.710479577905772</v>
      </c>
      <c r="H23" s="13">
        <f>G23</f>
        <v>83.710479577905772</v>
      </c>
      <c r="I23" s="13">
        <f t="shared" si="10"/>
        <v>83.710479577905772</v>
      </c>
      <c r="J23" s="13">
        <f t="shared" si="10"/>
        <v>83.710479577905772</v>
      </c>
      <c r="K23" s="13">
        <f t="shared" si="10"/>
        <v>83.710479577905772</v>
      </c>
    </row>
    <row r="24" spans="1:11">
      <c r="A24" s="65" t="str">
        <f>results!A23</f>
        <v>Vacuum pump</v>
      </c>
      <c r="B24" s="13">
        <f>results!B23</f>
        <v>6.5312640052250099</v>
      </c>
      <c r="C24" s="13">
        <f t="shared" ref="C24:C26" si="11">B24</f>
        <v>6.5312640052250099</v>
      </c>
      <c r="D24" s="13">
        <f t="shared" ref="D24:D26" si="12">C24</f>
        <v>6.5312640052250099</v>
      </c>
      <c r="E24" s="13">
        <f t="shared" ref="E24:E26" si="13">D24</f>
        <v>6.5312640052250099</v>
      </c>
      <c r="F24" s="13">
        <f t="shared" ref="F24:F26" si="14">E24</f>
        <v>6.5312640052250099</v>
      </c>
      <c r="G24" s="13">
        <f>results!C23</f>
        <v>114.92274515457818</v>
      </c>
      <c r="H24" s="13">
        <f t="shared" ref="H24:H26" si="15">G24</f>
        <v>114.92274515457818</v>
      </c>
      <c r="I24" s="13">
        <f t="shared" ref="I24:I26" si="16">H24</f>
        <v>114.92274515457818</v>
      </c>
      <c r="J24" s="13">
        <f t="shared" ref="J24:J26" si="17">I24</f>
        <v>114.92274515457818</v>
      </c>
      <c r="K24" s="13">
        <f t="shared" ref="K24:K26" si="18">J24</f>
        <v>114.92274515457818</v>
      </c>
    </row>
    <row r="25" spans="1:11">
      <c r="A25" s="65" t="str">
        <f>results!A24</f>
        <v>Evaporation</v>
      </c>
      <c r="B25" s="13">
        <f>results!B24</f>
        <v>3.7862400030289916</v>
      </c>
      <c r="C25" s="13">
        <f t="shared" si="11"/>
        <v>3.7862400030289916</v>
      </c>
      <c r="D25" s="13">
        <f t="shared" si="12"/>
        <v>3.7862400030289916</v>
      </c>
      <c r="E25" s="13">
        <f t="shared" si="13"/>
        <v>3.7862400030289916</v>
      </c>
      <c r="F25" s="13">
        <f t="shared" si="14"/>
        <v>3.7862400030289916</v>
      </c>
      <c r="G25" s="13">
        <f>results!C24</f>
        <v>66.621881249030835</v>
      </c>
      <c r="H25" s="13">
        <f t="shared" si="15"/>
        <v>66.621881249030835</v>
      </c>
      <c r="I25" s="13">
        <f t="shared" si="16"/>
        <v>66.621881249030835</v>
      </c>
      <c r="J25" s="13">
        <f t="shared" si="17"/>
        <v>66.621881249030835</v>
      </c>
      <c r="K25" s="13">
        <f t="shared" si="18"/>
        <v>66.621881249030835</v>
      </c>
    </row>
    <row r="26" spans="1:11">
      <c r="A26" s="65" t="str">
        <f>results!A25</f>
        <v>Cooling</v>
      </c>
      <c r="B26" s="13">
        <f>results!B25</f>
        <v>11.358720009086975</v>
      </c>
      <c r="C26" s="13">
        <f t="shared" si="11"/>
        <v>11.358720009086975</v>
      </c>
      <c r="D26" s="13">
        <f t="shared" si="12"/>
        <v>11.358720009086975</v>
      </c>
      <c r="E26" s="13">
        <f t="shared" si="13"/>
        <v>11.358720009086975</v>
      </c>
      <c r="F26" s="13">
        <f t="shared" si="14"/>
        <v>11.358720009086975</v>
      </c>
      <c r="G26" s="13">
        <f>results!C25</f>
        <v>199.86564374709252</v>
      </c>
      <c r="H26" s="13">
        <f t="shared" si="15"/>
        <v>199.86564374709252</v>
      </c>
      <c r="I26" s="13">
        <f t="shared" si="16"/>
        <v>199.86564374709252</v>
      </c>
      <c r="J26" s="13">
        <f t="shared" si="17"/>
        <v>199.86564374709252</v>
      </c>
      <c r="K26" s="13">
        <f t="shared" si="18"/>
        <v>199.86564374709252</v>
      </c>
    </row>
    <row r="27" spans="1:11" s="31" customFormat="1">
      <c r="A27" s="15" t="s">
        <v>60</v>
      </c>
      <c r="B27" s="15">
        <v>0</v>
      </c>
      <c r="C27" s="15">
        <f>'energy consumption'!$J$26*'recycling level'!C2</f>
        <v>1.6328160013062525E-2</v>
      </c>
      <c r="D27" s="15">
        <f>'energy consumption'!$J$26*'recycling level'!D2</f>
        <v>1.4695344011756272E-2</v>
      </c>
      <c r="E27" s="15">
        <f>'energy consumption'!$J$26*'recycling level'!E2</f>
        <v>1.306252801045002E-2</v>
      </c>
      <c r="F27" s="15">
        <f>'energy consumption'!$J$26*'recycling level'!F2</f>
        <v>1.1429712009143767E-2</v>
      </c>
      <c r="G27" s="15">
        <v>0</v>
      </c>
      <c r="H27" s="15">
        <f>'energy consumption'!$K$26*'recycling level'!H2</f>
        <v>0.28730686288644547</v>
      </c>
      <c r="I27" s="15">
        <f>'energy consumption'!$K$26*'recycling level'!I2</f>
        <v>0.25857617659780091</v>
      </c>
      <c r="J27" s="15">
        <f>'energy consumption'!$K$26*'recycling level'!J2</f>
        <v>0.22984549030915638</v>
      </c>
      <c r="K27" s="15">
        <f>'energy consumption'!$K$26*'recycling level'!K2</f>
        <v>0.20111480402051182</v>
      </c>
    </row>
    <row r="28" spans="1:11">
      <c r="A28" s="13" t="s">
        <v>136</v>
      </c>
      <c r="B28" s="13">
        <v>0</v>
      </c>
      <c r="C28" s="13">
        <f>[6]ITO!$E$19</f>
        <v>0.15812767160784313</v>
      </c>
      <c r="D28" s="13">
        <f>[6]ITO!$E$19</f>
        <v>0.15812767160784313</v>
      </c>
      <c r="E28" s="13">
        <f>[6]ITO!$E$19</f>
        <v>0.15812767160784313</v>
      </c>
      <c r="F28" s="13">
        <f>[6]ITO!$E$19</f>
        <v>0.15812767160784313</v>
      </c>
      <c r="G28" s="13">
        <v>0</v>
      </c>
      <c r="H28" s="13">
        <f>[6]ITO!$F$19</f>
        <v>2.7772652980392154</v>
      </c>
      <c r="I28" s="13">
        <f>[6]ITO!$F$19</f>
        <v>2.7772652980392154</v>
      </c>
      <c r="J28" s="13">
        <f>[6]ITO!$F$19</f>
        <v>2.7772652980392154</v>
      </c>
      <c r="K28" s="13">
        <f>[6]ITO!$F$19</f>
        <v>2.7772652980392154</v>
      </c>
    </row>
    <row r="29" spans="1:11">
      <c r="A29" s="13" t="s">
        <v>96</v>
      </c>
      <c r="B29" s="13">
        <f>results!B27</f>
        <v>1.44631779E-4</v>
      </c>
      <c r="C29" s="13">
        <f>[6]ITO!$E$20+$B$29</f>
        <v>1.2216459930486276E-3</v>
      </c>
      <c r="D29" s="13">
        <f>[6]ITO!$E$20+$B$29</f>
        <v>1.2216459930486276E-3</v>
      </c>
      <c r="E29" s="13">
        <f>[6]ITO!$E$20+$B$29</f>
        <v>1.2216459930486276E-3</v>
      </c>
      <c r="F29" s="13">
        <f>[6]ITO!$E$20+$B$29</f>
        <v>1.2216459930486276E-3</v>
      </c>
      <c r="G29" s="13">
        <f>results!C27</f>
        <v>1.2086428794910004E-3</v>
      </c>
      <c r="H29" s="13">
        <f>[6]ITO!$F$20+$G$29</f>
        <v>1.0198237327396883E-2</v>
      </c>
      <c r="I29" s="13">
        <f>[6]ITO!$F$20+$G$29</f>
        <v>1.0198237327396883E-2</v>
      </c>
      <c r="J29" s="13">
        <f>[6]ITO!$F$20+$G$29</f>
        <v>1.0198237327396883E-2</v>
      </c>
      <c r="K29" s="13">
        <f>[6]ITO!$F$20+$G$29</f>
        <v>1.0198237327396883E-2</v>
      </c>
    </row>
    <row r="30" spans="1:11">
      <c r="A30" s="13"/>
      <c r="B30" s="13"/>
      <c r="C30" s="13"/>
      <c r="D30" s="13"/>
      <c r="E30" s="13"/>
      <c r="F30" s="13"/>
      <c r="G30" s="13"/>
      <c r="H30" s="13"/>
      <c r="I30" s="13"/>
      <c r="J30" s="13"/>
      <c r="K30" s="13"/>
    </row>
    <row r="31" spans="1:11">
      <c r="A31" s="13"/>
      <c r="B31" s="13">
        <f>SUM(B4:B30)</f>
        <v>113.08835782579239</v>
      </c>
      <c r="C31" s="13"/>
      <c r="D31" s="13"/>
      <c r="E31" s="13"/>
      <c r="F31" s="13"/>
      <c r="G31" s="13">
        <f>SUM(G4:G30)</f>
        <v>1980.6604894667482</v>
      </c>
      <c r="H31" s="13"/>
      <c r="I31" s="13"/>
      <c r="J31" s="13"/>
      <c r="K31" s="13"/>
    </row>
    <row r="32" spans="1:11">
      <c r="A32" s="13"/>
      <c r="B32" s="13"/>
      <c r="C32" s="34">
        <f>SUM(C4:C31)</f>
        <v>96.426027241627366</v>
      </c>
      <c r="D32" s="28">
        <f>SUM(D4:D31)</f>
        <v>98.108180768626056</v>
      </c>
      <c r="E32" s="28">
        <f>SUM(E4:E31)</f>
        <v>99.790334295624746</v>
      </c>
      <c r="F32" s="28">
        <f>SUM(F4:F31)</f>
        <v>101.47248782262345</v>
      </c>
      <c r="G32" s="13"/>
      <c r="H32" s="35">
        <f>SUM(H4:H31)</f>
        <v>1691.505347133241</v>
      </c>
      <c r="I32" s="35">
        <f>SUM(I4:I31)</f>
        <v>1720.6994868558404</v>
      </c>
      <c r="J32" s="35">
        <f>SUM(J4:J31)</f>
        <v>1749.8936265784398</v>
      </c>
      <c r="K32" s="35">
        <f>SUM(K4:K31)</f>
        <v>1779.0877663010394</v>
      </c>
    </row>
  </sheetData>
  <conditionalFormatting sqref="C32:F32">
    <cfRule type="colorScale" priority="2">
      <colorScale>
        <cfvo type="min"/>
        <cfvo type="max"/>
        <color rgb="FFFCFCFF"/>
        <color rgb="FF63BE7B"/>
      </colorScale>
    </cfRule>
  </conditionalFormatting>
  <conditionalFormatting sqref="H32:K32">
    <cfRule type="colorScale" priority="1">
      <colorScale>
        <cfvo type="min"/>
        <cfvo type="max"/>
        <color rgb="FFFCFCFF"/>
        <color rgb="FFF8696B"/>
      </colorScale>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BB093-48E8-4562-9FBD-2002FA9923F8}">
  <dimension ref="A1:Q29"/>
  <sheetViews>
    <sheetView workbookViewId="0">
      <pane xSplit="1" topLeftCell="B1" activePane="topRight" state="frozen"/>
      <selection pane="topRight" activeCell="Q31" sqref="Q31"/>
    </sheetView>
  </sheetViews>
  <sheetFormatPr defaultRowHeight="15"/>
  <cols>
    <col min="1" max="3" width="23.7109375" customWidth="1"/>
    <col min="5" max="6" width="14.85546875" customWidth="1"/>
    <col min="8" max="9" width="16" customWidth="1"/>
    <col min="11" max="11" width="53.42578125" customWidth="1"/>
  </cols>
  <sheetData>
    <row r="1" spans="1:17">
      <c r="E1" t="s">
        <v>135</v>
      </c>
      <c r="F1" t="s">
        <v>135</v>
      </c>
      <c r="H1" t="s">
        <v>135</v>
      </c>
      <c r="I1" t="s">
        <v>135</v>
      </c>
    </row>
    <row r="2" spans="1:17" ht="15.75" thickBot="1">
      <c r="E2" t="s">
        <v>139</v>
      </c>
      <c r="H2" t="s">
        <v>139</v>
      </c>
    </row>
    <row r="3" spans="1:17" ht="16.5" thickTop="1" thickBot="1">
      <c r="B3" t="s">
        <v>59</v>
      </c>
      <c r="C3" t="s">
        <v>58</v>
      </c>
      <c r="E3">
        <v>1</v>
      </c>
      <c r="H3" s="30">
        <f>N12</f>
        <v>1</v>
      </c>
      <c r="K3" s="51" t="s">
        <v>140</v>
      </c>
    </row>
    <row r="4" spans="1:17" ht="15.75" thickTop="1">
      <c r="A4" s="44" t="str">
        <f>'recycling level'!A4</f>
        <v>ITO glass</v>
      </c>
      <c r="B4" s="41">
        <f>'recycling level'!B4</f>
        <v>16.837863429999999</v>
      </c>
      <c r="C4">
        <f>'recycling level'!G4</f>
        <v>292.22870408888105</v>
      </c>
      <c r="E4">
        <v>0</v>
      </c>
      <c r="F4">
        <v>0</v>
      </c>
      <c r="H4" s="50">
        <f>B4*(1-$H$3)</f>
        <v>0</v>
      </c>
      <c r="I4" s="50">
        <f>C4*(1-$H$3)</f>
        <v>0</v>
      </c>
      <c r="K4" t="s">
        <v>149</v>
      </c>
      <c r="L4" s="52">
        <f>N4*0.8</f>
        <v>1.3440000010752</v>
      </c>
      <c r="M4">
        <v>5.9410805449246</v>
      </c>
      <c r="N4" s="56">
        <f>'energy consumption'!F14</f>
        <v>1.680000001344</v>
      </c>
      <c r="O4">
        <v>5.9486443805470897</v>
      </c>
      <c r="P4" s="59">
        <f>N4*1.2</f>
        <v>2.0160000016127997</v>
      </c>
      <c r="Q4">
        <v>5.9562082161695793</v>
      </c>
    </row>
    <row r="5" spans="1:17">
      <c r="A5" t="str">
        <f>'recycling level'!A5</f>
        <v>Ethanol</v>
      </c>
      <c r="B5">
        <f>'recycling level'!B5</f>
        <v>3.6067691999999998E-2</v>
      </c>
      <c r="C5">
        <f>'recycling level'!G5</f>
        <v>1.0715802776700001</v>
      </c>
      <c r="E5">
        <f>B5</f>
        <v>3.6067691999999998E-2</v>
      </c>
      <c r="F5">
        <f>C5</f>
        <v>1.0715802776700001</v>
      </c>
      <c r="H5">
        <f t="shared" ref="H5:I7" si="0">E5</f>
        <v>3.6067691999999998E-2</v>
      </c>
      <c r="I5">
        <f t="shared" si="0"/>
        <v>1.0715802776700001</v>
      </c>
      <c r="K5" t="s">
        <v>145</v>
      </c>
      <c r="L5" s="53">
        <f t="shared" ref="L5:L11" si="1">N5*0.8</f>
        <v>0.13440000000000002</v>
      </c>
      <c r="M5">
        <v>5.924743740527969</v>
      </c>
      <c r="N5" s="56">
        <v>0.16800000000000001</v>
      </c>
      <c r="O5">
        <v>5.9486443805470897</v>
      </c>
      <c r="P5" s="60">
        <f t="shared" ref="P5:P11" si="2">N5*1.2</f>
        <v>0.2016</v>
      </c>
      <c r="Q5">
        <v>5.9725450205662094</v>
      </c>
    </row>
    <row r="6" spans="1:17">
      <c r="A6" t="str">
        <f>'recycling level'!A6</f>
        <v>Deionized water</v>
      </c>
      <c r="B6">
        <f>'recycling level'!B6</f>
        <v>5.6916582000000001E-5</v>
      </c>
      <c r="C6">
        <f>'recycling level'!G6</f>
        <v>7.8310930304560005E-4</v>
      </c>
      <c r="E6">
        <f t="shared" ref="E6:E22" si="3">B6</f>
        <v>5.6916582000000001E-5</v>
      </c>
      <c r="F6">
        <f t="shared" ref="F6:F22" si="4">C6</f>
        <v>7.8310930304560005E-4</v>
      </c>
      <c r="H6">
        <f t="shared" si="0"/>
        <v>5.6916582000000001E-5</v>
      </c>
      <c r="I6">
        <f t="shared" si="0"/>
        <v>7.8310930304560005E-4</v>
      </c>
      <c r="K6" t="s">
        <v>141</v>
      </c>
      <c r="L6" s="53">
        <f t="shared" si="1"/>
        <v>0.1648</v>
      </c>
      <c r="M6">
        <v>5.9194324871903872</v>
      </c>
      <c r="N6" s="56">
        <v>0.20599999999999999</v>
      </c>
      <c r="O6">
        <v>5.9486443805470897</v>
      </c>
      <c r="P6" s="60">
        <f t="shared" si="2"/>
        <v>0.24719999999999998</v>
      </c>
      <c r="Q6">
        <v>5.977856273903793</v>
      </c>
    </row>
    <row r="7" spans="1:17">
      <c r="A7" t="str">
        <f>'recycling level'!A7</f>
        <v>NiOₓ precursor solution</v>
      </c>
      <c r="B7">
        <f>'recycling level'!B7</f>
        <v>4.2979770179029153E-2</v>
      </c>
      <c r="C7">
        <f>'recycling level'!G7</f>
        <v>0.85144954245080751</v>
      </c>
      <c r="E7">
        <f t="shared" si="3"/>
        <v>4.2979770179029153E-2</v>
      </c>
      <c r="F7">
        <f t="shared" si="4"/>
        <v>0.85144954245080751</v>
      </c>
      <c r="H7">
        <f t="shared" si="0"/>
        <v>4.2979770179029153E-2</v>
      </c>
      <c r="I7">
        <f t="shared" si="0"/>
        <v>0.85144954245080751</v>
      </c>
      <c r="K7" t="s">
        <v>146</v>
      </c>
      <c r="L7" s="53">
        <f t="shared" si="1"/>
        <v>0.33679999999999999</v>
      </c>
      <c r="M7">
        <v>5.8888927804992885</v>
      </c>
      <c r="N7" s="56">
        <v>0.42099999999999999</v>
      </c>
      <c r="O7">
        <v>5.9486443805470897</v>
      </c>
      <c r="P7" s="60">
        <f t="shared" si="2"/>
        <v>0.50519999999999998</v>
      </c>
      <c r="Q7">
        <v>6.0083959805948917</v>
      </c>
    </row>
    <row r="8" spans="1:17">
      <c r="A8" t="str">
        <f>'recycling level'!A8</f>
        <v>PbI₂</v>
      </c>
      <c r="B8">
        <f>'recycling level'!B8</f>
        <v>3.838655237013149E-3</v>
      </c>
      <c r="C8">
        <f>'recycling level'!G8</f>
        <v>4.564611525436902E-2</v>
      </c>
      <c r="E8">
        <f t="shared" si="3"/>
        <v>3.838655237013149E-3</v>
      </c>
      <c r="F8">
        <f t="shared" si="4"/>
        <v>4.564611525436902E-2</v>
      </c>
      <c r="H8">
        <f t="shared" ref="H8:I10" si="5">E8</f>
        <v>3.838655237013149E-3</v>
      </c>
      <c r="I8">
        <f t="shared" si="5"/>
        <v>4.564611525436902E-2</v>
      </c>
      <c r="K8" t="s">
        <v>142</v>
      </c>
      <c r="L8" s="53">
        <f t="shared" si="1"/>
        <v>0.38640000000000002</v>
      </c>
      <c r="M8">
        <v>5.8800530761443905</v>
      </c>
      <c r="N8" s="56">
        <v>0.48299999999999998</v>
      </c>
      <c r="O8">
        <v>5.9486443805470897</v>
      </c>
      <c r="P8" s="60">
        <f t="shared" si="2"/>
        <v>0.5796</v>
      </c>
      <c r="Q8">
        <v>6.0172356849497888</v>
      </c>
    </row>
    <row r="9" spans="1:17">
      <c r="A9" t="str">
        <f>'recycling level'!A9</f>
        <v>Dimethylformamide</v>
      </c>
      <c r="B9">
        <f>'recycling level'!B9</f>
        <v>4.9592742707200007E-3</v>
      </c>
      <c r="C9">
        <f>'recycling level'!G9</f>
        <v>0.13488868978770066</v>
      </c>
      <c r="E9">
        <f t="shared" si="3"/>
        <v>4.9592742707200007E-3</v>
      </c>
      <c r="F9">
        <f t="shared" si="4"/>
        <v>0.13488868978770066</v>
      </c>
      <c r="H9">
        <f t="shared" si="5"/>
        <v>4.9592742707200007E-3</v>
      </c>
      <c r="I9">
        <f t="shared" si="5"/>
        <v>0.13488868978770066</v>
      </c>
      <c r="K9" t="s">
        <v>150</v>
      </c>
      <c r="L9" s="53">
        <f t="shared" si="1"/>
        <v>23.040000018432</v>
      </c>
      <c r="M9">
        <v>5.7973676680973014</v>
      </c>
      <c r="N9" s="56">
        <f>'energy consumption'!F16</f>
        <v>28.800000023039999</v>
      </c>
      <c r="O9">
        <v>5.9486443805470897</v>
      </c>
      <c r="P9" s="61">
        <f t="shared" si="2"/>
        <v>34.560000027647995</v>
      </c>
      <c r="Q9">
        <v>6.0999210929968788</v>
      </c>
    </row>
    <row r="10" spans="1:17">
      <c r="A10" t="str">
        <f>'recycling level'!A10</f>
        <v>MAI</v>
      </c>
      <c r="B10">
        <f>'recycling level'!B10</f>
        <v>4.6867017566034591E-2</v>
      </c>
      <c r="C10">
        <f>'recycling level'!G10</f>
        <v>0.99552313780157675</v>
      </c>
      <c r="E10">
        <f t="shared" si="3"/>
        <v>4.6867017566034591E-2</v>
      </c>
      <c r="F10">
        <f t="shared" si="4"/>
        <v>0.99552313780157675</v>
      </c>
      <c r="H10">
        <f t="shared" si="5"/>
        <v>4.6867017566034591E-2</v>
      </c>
      <c r="I10">
        <f t="shared" si="5"/>
        <v>0.99552313780157675</v>
      </c>
      <c r="K10" t="s">
        <v>151</v>
      </c>
      <c r="L10" s="54">
        <f t="shared" si="1"/>
        <v>34.560000027648002</v>
      </c>
      <c r="M10">
        <v>5.6713037410558114</v>
      </c>
      <c r="N10" s="56">
        <f>'energy consumption'!F10</f>
        <v>43.200000034559999</v>
      </c>
      <c r="O10">
        <v>5.9486443805470897</v>
      </c>
      <c r="P10" s="61">
        <f t="shared" si="2"/>
        <v>51.840000041471995</v>
      </c>
      <c r="Q10">
        <v>6.2259850200383688</v>
      </c>
    </row>
    <row r="11" spans="1:17">
      <c r="A11" t="str">
        <f>'recycling level'!A11</f>
        <v>Isopropanol</v>
      </c>
      <c r="B11">
        <f>'recycling level'!B11</f>
        <v>8.3180559359999993E-3</v>
      </c>
      <c r="C11">
        <f>'recycling level'!G11</f>
        <v>0.27495055147511466</v>
      </c>
      <c r="E11">
        <f t="shared" si="3"/>
        <v>8.3180559359999993E-3</v>
      </c>
      <c r="F11">
        <f t="shared" si="4"/>
        <v>0.27495055147511466</v>
      </c>
      <c r="H11">
        <f t="shared" ref="H11:I13" si="6">E11</f>
        <v>8.3180559359999993E-3</v>
      </c>
      <c r="I11">
        <f t="shared" si="6"/>
        <v>0.27495055147511466</v>
      </c>
      <c r="K11" t="s">
        <v>159</v>
      </c>
      <c r="L11" s="54">
        <f t="shared" si="1"/>
        <v>4.2666666700799993</v>
      </c>
      <c r="M11">
        <v>5.497110704194732</v>
      </c>
      <c r="N11" s="56">
        <f>'energy consumption'!F21</f>
        <v>5.3333333375999992</v>
      </c>
      <c r="O11">
        <v>5.9486443805470897</v>
      </c>
      <c r="P11" s="61">
        <f t="shared" si="2"/>
        <v>6.400000005119999</v>
      </c>
      <c r="Q11">
        <v>6.4001780568994464</v>
      </c>
    </row>
    <row r="12" spans="1:17">
      <c r="A12" t="str">
        <f>'recycling level'!A13</f>
        <v>ZnO nanoparticles</v>
      </c>
      <c r="B12">
        <f>'recycling level'!B13</f>
        <v>8.5029392225674544E-2</v>
      </c>
      <c r="C12">
        <f>'recycling level'!G13</f>
        <v>2.0283601209157971</v>
      </c>
      <c r="E12">
        <f t="shared" si="3"/>
        <v>8.5029392225674544E-2</v>
      </c>
      <c r="F12">
        <f t="shared" si="4"/>
        <v>2.0283601209157971</v>
      </c>
      <c r="H12">
        <f t="shared" si="6"/>
        <v>8.5029392225674544E-2</v>
      </c>
      <c r="I12">
        <f t="shared" si="6"/>
        <v>2.0283601209157971</v>
      </c>
      <c r="K12" t="s">
        <v>143</v>
      </c>
      <c r="L12" s="55">
        <v>0.9</v>
      </c>
      <c r="M12">
        <v>7.6307979075457828</v>
      </c>
      <c r="N12" s="57">
        <v>1</v>
      </c>
      <c r="O12">
        <v>5.9486443805470897</v>
      </c>
      <c r="P12" s="62" t="s">
        <v>7</v>
      </c>
      <c r="Q12">
        <f>O12</f>
        <v>5.9486443805470897</v>
      </c>
    </row>
    <row r="13" spans="1:17">
      <c r="A13" t="str">
        <f>'recycling level'!A14</f>
        <v>Al</v>
      </c>
      <c r="B13">
        <f>'recycling level'!B14</f>
        <v>7.007356097560976E-3</v>
      </c>
      <c r="C13">
        <f>'recycling level'!G14</f>
        <v>6.5261304301170733E-2</v>
      </c>
      <c r="E13">
        <f t="shared" si="3"/>
        <v>7.007356097560976E-3</v>
      </c>
      <c r="F13">
        <f t="shared" si="4"/>
        <v>6.5261304301170733E-2</v>
      </c>
      <c r="H13">
        <f t="shared" si="6"/>
        <v>7.007356097560976E-3</v>
      </c>
      <c r="I13">
        <f t="shared" si="6"/>
        <v>6.5261304301170733E-2</v>
      </c>
    </row>
    <row r="14" spans="1:17" ht="15.75" thickBot="1">
      <c r="A14" t="str">
        <f>'recycling level'!A15</f>
        <v>Sonication</v>
      </c>
      <c r="B14">
        <f>'recycling level'!B15</f>
        <v>2.8396800022717437</v>
      </c>
      <c r="C14">
        <f>'recycling level'!G15</f>
        <v>49.96641093677313</v>
      </c>
      <c r="E14">
        <f t="shared" si="3"/>
        <v>2.8396800022717437</v>
      </c>
      <c r="F14">
        <f t="shared" si="4"/>
        <v>49.96641093677313</v>
      </c>
      <c r="H14">
        <f t="shared" ref="H14:I16" si="7">E14</f>
        <v>2.8396800022717437</v>
      </c>
      <c r="I14">
        <f t="shared" si="7"/>
        <v>49.96641093677313</v>
      </c>
    </row>
    <row r="15" spans="1:17" ht="16.5" thickTop="1" thickBot="1">
      <c r="A15" t="str">
        <f>'recycling level'!A16</f>
        <v>HTL spin coating</v>
      </c>
      <c r="B15">
        <f>'recycling level'!B16</f>
        <v>4.7574154393188799</v>
      </c>
      <c r="C15">
        <f>'recycling level'!G16</f>
        <v>83.710479577905772</v>
      </c>
      <c r="E15">
        <f t="shared" si="3"/>
        <v>4.7574154393188799</v>
      </c>
      <c r="F15">
        <f t="shared" si="4"/>
        <v>83.710479577905772</v>
      </c>
      <c r="H15">
        <f t="shared" si="7"/>
        <v>4.7574154393188799</v>
      </c>
      <c r="I15">
        <f t="shared" si="7"/>
        <v>83.710479577905772</v>
      </c>
      <c r="K15" s="51" t="s">
        <v>144</v>
      </c>
    </row>
    <row r="16" spans="1:17" ht="15.75" thickTop="1">
      <c r="A16" t="str">
        <f>'recycling level'!A17</f>
        <v>HTL annealing</v>
      </c>
      <c r="B16">
        <f>'recycling level'!B17</f>
        <v>30.668544024534835</v>
      </c>
      <c r="C16">
        <f>'recycling level'!G17</f>
        <v>539.63723811714988</v>
      </c>
      <c r="E16">
        <f t="shared" si="3"/>
        <v>30.668544024534835</v>
      </c>
      <c r="F16">
        <f t="shared" si="4"/>
        <v>539.63723811714988</v>
      </c>
      <c r="H16">
        <f t="shared" si="7"/>
        <v>30.668544024534835</v>
      </c>
      <c r="I16">
        <f t="shared" si="7"/>
        <v>539.63723811714988</v>
      </c>
      <c r="K16" t="s">
        <v>149</v>
      </c>
      <c r="L16" s="52">
        <f>L4</f>
        <v>1.3440000010752</v>
      </c>
      <c r="M16">
        <v>106.80540888279243</v>
      </c>
      <c r="N16" s="56">
        <f>N4</f>
        <v>1.680000001344</v>
      </c>
      <c r="O16">
        <v>106.93850054053878</v>
      </c>
      <c r="P16" s="59">
        <f>P4</f>
        <v>2.0160000016127997</v>
      </c>
      <c r="Q16">
        <v>107.07159219828513</v>
      </c>
    </row>
    <row r="17" spans="1:17">
      <c r="A17" t="str">
        <f>'recycling level'!A18</f>
        <v>Inert gas purging</v>
      </c>
      <c r="B17">
        <f>'recycling level'!B18</f>
        <v>3.7270800029816638</v>
      </c>
      <c r="C17">
        <f>'recycling level'!G18</f>
        <v>65.580914354514732</v>
      </c>
      <c r="E17">
        <f t="shared" si="3"/>
        <v>3.7270800029816638</v>
      </c>
      <c r="F17">
        <f t="shared" si="4"/>
        <v>65.580914354514732</v>
      </c>
      <c r="H17">
        <f>(E17+E19)</f>
        <v>4.9197456039357963</v>
      </c>
      <c r="I17">
        <f>(F17+F19)</f>
        <v>86.566806947959449</v>
      </c>
      <c r="K17" t="s">
        <v>145</v>
      </c>
      <c r="L17" s="52">
        <f t="shared" ref="L17:L23" si="8">L5</f>
        <v>0.13440000000000002</v>
      </c>
      <c r="M17">
        <v>106.51794991515426</v>
      </c>
      <c r="N17" s="58">
        <v>0.16800000000000001</v>
      </c>
      <c r="O17">
        <v>106.93850054053878</v>
      </c>
      <c r="P17" s="59">
        <f t="shared" ref="P17:P23" si="9">P5</f>
        <v>0.2016</v>
      </c>
      <c r="Q17">
        <v>107.35905116592328</v>
      </c>
    </row>
    <row r="18" spans="1:17">
      <c r="A18" t="str">
        <f>'recycling level'!A19</f>
        <v>PL 1st-step spin coating</v>
      </c>
      <c r="B18">
        <f>'recycling level'!B19</f>
        <v>8.4576274476780081E-2</v>
      </c>
      <c r="C18">
        <f>'recycling level'!G19</f>
        <v>1.4881863036072136</v>
      </c>
      <c r="E18">
        <f t="shared" si="3"/>
        <v>8.4576274476780081E-2</v>
      </c>
      <c r="F18">
        <f t="shared" si="4"/>
        <v>1.4881863036072136</v>
      </c>
      <c r="H18">
        <f>E18</f>
        <v>8.4576274476780081E-2</v>
      </c>
      <c r="I18">
        <f>F18</f>
        <v>1.4881863036072136</v>
      </c>
      <c r="K18" t="s">
        <v>141</v>
      </c>
      <c r="L18" s="52">
        <f t="shared" si="8"/>
        <v>0.1648</v>
      </c>
      <c r="M18">
        <v>106.42449422062437</v>
      </c>
      <c r="N18" s="58">
        <v>0.20599999999999999</v>
      </c>
      <c r="O18">
        <v>106.93850054053878</v>
      </c>
      <c r="P18" s="59">
        <f t="shared" si="9"/>
        <v>0.24719999999999998</v>
      </c>
      <c r="Q18">
        <v>107.45250686045317</v>
      </c>
    </row>
    <row r="19" spans="1:17">
      <c r="A19" t="str">
        <f>'recycling level'!A20</f>
        <v>PL drying</v>
      </c>
      <c r="B19">
        <f>'recycling level'!B20</f>
        <v>1.1926656009541325</v>
      </c>
      <c r="C19">
        <f>'recycling level'!G20</f>
        <v>20.985892593444717</v>
      </c>
      <c r="E19">
        <f t="shared" si="3"/>
        <v>1.1926656009541325</v>
      </c>
      <c r="F19">
        <f t="shared" si="4"/>
        <v>20.985892593444717</v>
      </c>
      <c r="K19" t="s">
        <v>146</v>
      </c>
      <c r="L19" s="52">
        <f t="shared" si="8"/>
        <v>0.33679999999999999</v>
      </c>
      <c r="M19">
        <v>105.88712397707751</v>
      </c>
      <c r="N19" s="58">
        <v>0.42099999999999999</v>
      </c>
      <c r="O19">
        <v>106.93850054053878</v>
      </c>
      <c r="P19" s="59">
        <f t="shared" si="9"/>
        <v>0.50519999999999998</v>
      </c>
      <c r="Q19">
        <v>107.98987710400003</v>
      </c>
    </row>
    <row r="20" spans="1:17">
      <c r="A20" t="str">
        <f>'recycling level'!A21</f>
        <v>PL 2nd-step spin coating</v>
      </c>
      <c r="B20">
        <f>'recycling level'!B21</f>
        <v>4.2288137238390036</v>
      </c>
      <c r="C20">
        <f>'recycling level'!G21</f>
        <v>74.409315180360679</v>
      </c>
      <c r="E20">
        <f t="shared" si="3"/>
        <v>4.2288137238390036</v>
      </c>
      <c r="F20">
        <f t="shared" si="4"/>
        <v>74.409315180360679</v>
      </c>
      <c r="H20">
        <f t="shared" ref="H20:I22" si="10">E20</f>
        <v>4.2288137238390036</v>
      </c>
      <c r="I20">
        <f t="shared" si="10"/>
        <v>74.409315180360679</v>
      </c>
      <c r="K20" t="s">
        <v>142</v>
      </c>
      <c r="L20" s="52">
        <f t="shared" si="8"/>
        <v>0.38640000000000002</v>
      </c>
      <c r="M20">
        <v>105.73158240196938</v>
      </c>
      <c r="N20" s="58">
        <v>0.48299999999999998</v>
      </c>
      <c r="O20">
        <v>106.93850054053878</v>
      </c>
      <c r="P20" s="59">
        <f t="shared" si="9"/>
        <v>0.5796</v>
      </c>
      <c r="Q20">
        <v>108.14541867910818</v>
      </c>
    </row>
    <row r="21" spans="1:17">
      <c r="A21" t="str">
        <f>'recycling level'!A22</f>
        <v>PL annealing</v>
      </c>
      <c r="B21">
        <f>'recycling level'!B22</f>
        <v>20.445696016356557</v>
      </c>
      <c r="C21">
        <f>'recycling level'!G22</f>
        <v>359.75815874476655</v>
      </c>
      <c r="E21">
        <f t="shared" si="3"/>
        <v>20.445696016356557</v>
      </c>
      <c r="F21">
        <f t="shared" si="4"/>
        <v>359.75815874476655</v>
      </c>
      <c r="H21">
        <f t="shared" si="10"/>
        <v>20.445696016356557</v>
      </c>
      <c r="I21">
        <f t="shared" si="10"/>
        <v>359.75815874476655</v>
      </c>
      <c r="K21" t="s">
        <v>150</v>
      </c>
      <c r="L21" s="52">
        <f t="shared" si="8"/>
        <v>23.040000018432</v>
      </c>
      <c r="M21">
        <v>104.27666738561174</v>
      </c>
      <c r="N21" s="58">
        <v>1.1359999999999999</v>
      </c>
      <c r="O21">
        <v>106.93850054053878</v>
      </c>
      <c r="P21" s="59">
        <f t="shared" si="9"/>
        <v>34.560000027647995</v>
      </c>
      <c r="Q21">
        <v>109.60033369546581</v>
      </c>
    </row>
    <row r="22" spans="1:17">
      <c r="A22" t="str">
        <f>'recycling level'!A23</f>
        <v>ETL spin coating</v>
      </c>
      <c r="B22">
        <f>'recycling level'!B23</f>
        <v>4.7574154393188799</v>
      </c>
      <c r="C22">
        <f>'recycling level'!G23</f>
        <v>83.710479577905772</v>
      </c>
      <c r="E22">
        <f t="shared" si="3"/>
        <v>4.7574154393188799</v>
      </c>
      <c r="F22">
        <f t="shared" si="4"/>
        <v>83.710479577905772</v>
      </c>
      <c r="H22">
        <f t="shared" si="10"/>
        <v>4.7574154393188799</v>
      </c>
      <c r="I22">
        <f t="shared" si="10"/>
        <v>83.710479577905772</v>
      </c>
      <c r="K22" t="s">
        <v>151</v>
      </c>
      <c r="L22" s="52">
        <f t="shared" si="8"/>
        <v>34.560000027648002</v>
      </c>
      <c r="M22">
        <v>102.05847308983921</v>
      </c>
      <c r="N22" s="58">
        <v>1.9890000000000001</v>
      </c>
      <c r="O22">
        <v>106.93850054053878</v>
      </c>
      <c r="P22" s="59">
        <f t="shared" si="9"/>
        <v>51.840000041471995</v>
      </c>
      <c r="Q22">
        <v>111.81852799123833</v>
      </c>
    </row>
    <row r="23" spans="1:17">
      <c r="A23" s="44" t="str">
        <f>'recycling level'!A27</f>
        <v>UV/O3 cleaning</v>
      </c>
      <c r="B23" s="41">
        <f>'recycling level'!B27</f>
        <v>0</v>
      </c>
      <c r="C23">
        <f>'recycling level'!G27</f>
        <v>0</v>
      </c>
      <c r="E23">
        <v>1.6328160013062525E-2</v>
      </c>
      <c r="F23">
        <v>0.28730686288644547</v>
      </c>
      <c r="H23" s="50">
        <f>E23*$H$3</f>
        <v>1.6328160013062525E-2</v>
      </c>
      <c r="I23" s="50">
        <f>F23*$H$3</f>
        <v>0.28730686288644547</v>
      </c>
      <c r="K23" t="s">
        <v>159</v>
      </c>
      <c r="L23" s="52">
        <f t="shared" si="8"/>
        <v>4.2666666700799993</v>
      </c>
      <c r="M23">
        <v>98.993409119546058</v>
      </c>
      <c r="N23" s="58">
        <v>2.7829999999999999</v>
      </c>
      <c r="O23">
        <v>106.93850054053878</v>
      </c>
      <c r="P23" s="59">
        <f t="shared" si="9"/>
        <v>6.400000005119999</v>
      </c>
      <c r="Q23">
        <v>114.88359196153149</v>
      </c>
    </row>
    <row r="24" spans="1:17">
      <c r="A24" t="str">
        <f>'recycling level'!A28</f>
        <v>Recycling</v>
      </c>
      <c r="B24">
        <f>'recycling level'!B28</f>
        <v>0</v>
      </c>
      <c r="C24">
        <f>'recycling level'!G28</f>
        <v>0</v>
      </c>
      <c r="E24">
        <v>0.15812767160784313</v>
      </c>
      <c r="F24">
        <v>2.7772652980392154</v>
      </c>
      <c r="H24">
        <f>E24</f>
        <v>0.15812767160784313</v>
      </c>
      <c r="I24">
        <f>F24</f>
        <v>2.7772652980392154</v>
      </c>
      <c r="K24" t="s">
        <v>143</v>
      </c>
      <c r="L24" s="55">
        <v>0.9</v>
      </c>
      <c r="M24">
        <v>136.13264026313826</v>
      </c>
      <c r="N24" s="57">
        <v>1</v>
      </c>
      <c r="O24">
        <v>106.93850054053878</v>
      </c>
      <c r="P24" s="62" t="s">
        <v>7</v>
      </c>
      <c r="Q24">
        <f>O24</f>
        <v>106.93850054053878</v>
      </c>
    </row>
    <row r="25" spans="1:17">
      <c r="A25" t="str">
        <f>'recycling level'!A29</f>
        <v>Treatment</v>
      </c>
      <c r="B25">
        <f>'recycling level'!B29</f>
        <v>1.44631779E-4</v>
      </c>
      <c r="C25">
        <f>'recycling level'!G29</f>
        <v>1.2086428794910004E-3</v>
      </c>
      <c r="E25">
        <v>1.2207447064886275E-3</v>
      </c>
      <c r="F25">
        <v>1.0190714491996884E-2</v>
      </c>
      <c r="H25">
        <f>E25</f>
        <v>1.2207447064886275E-3</v>
      </c>
      <c r="I25">
        <f>F25</f>
        <v>1.0190714491996884E-2</v>
      </c>
    </row>
    <row r="27" spans="1:17">
      <c r="E27">
        <f>SUM(E4:E26)</f>
        <v>73.112687230473895</v>
      </c>
      <c r="F27">
        <f>SUM(F4:F26)</f>
        <v>1287.7902811108058</v>
      </c>
      <c r="H27">
        <f>SUM(H4:H26)</f>
        <v>73.112687230473895</v>
      </c>
      <c r="I27">
        <f>SUM(I4:I26)</f>
        <v>1287.7902811108056</v>
      </c>
    </row>
    <row r="29" spans="1:17">
      <c r="H29">
        <f>E27-H27</f>
        <v>0</v>
      </c>
      <c r="I29">
        <f>F27-I27</f>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8FFB5-E488-4B17-9FAA-3B26B7C72F7B}">
  <sheetPr codeName="Sheet3"/>
  <dimension ref="A2:Y34"/>
  <sheetViews>
    <sheetView tabSelected="1" zoomScaleNormal="100" workbookViewId="0">
      <selection activeCell="H32" sqref="H32"/>
    </sheetView>
  </sheetViews>
  <sheetFormatPr defaultRowHeight="15"/>
  <cols>
    <col min="1" max="1" width="20.42578125" customWidth="1"/>
    <col min="2" max="6" width="13.28515625" customWidth="1"/>
    <col min="7" max="8" width="20.28515625" customWidth="1"/>
    <col min="9" max="24" width="13.28515625" customWidth="1"/>
  </cols>
  <sheetData>
    <row r="2" spans="1:25" s="44" customFormat="1">
      <c r="B2" s="44" t="str">
        <f>'[7]material inventory'!N12</f>
        <v>Carbon footprint</v>
      </c>
      <c r="C2" s="44" t="str">
        <f>'[7]material inventory'!O12</f>
        <v>Primary energy consumption</v>
      </c>
      <c r="G2" s="44" t="str">
        <f>B2</f>
        <v>Carbon footprint</v>
      </c>
      <c r="H2" s="44" t="str">
        <f>C2</f>
        <v>Primary energy consumption</v>
      </c>
      <c r="I2"/>
      <c r="J2"/>
      <c r="K2"/>
      <c r="L2"/>
      <c r="M2"/>
      <c r="N2"/>
      <c r="O2"/>
      <c r="P2"/>
      <c r="Q2"/>
      <c r="R2"/>
      <c r="S2"/>
      <c r="T2"/>
      <c r="U2"/>
      <c r="V2"/>
      <c r="W2"/>
      <c r="X2"/>
      <c r="Y2"/>
    </row>
    <row r="3" spans="1:25">
      <c r="A3" s="41" t="str">
        <f>'[7]material inventory'!M13</f>
        <v>ITO glass</v>
      </c>
      <c r="B3">
        <f>'[7]material inventory'!N13</f>
        <v>1.6837863429999995</v>
      </c>
      <c r="C3">
        <f>'[7]material inventory'!O13</f>
        <v>29.222870408888099</v>
      </c>
      <c r="G3">
        <f t="shared" ref="G3:H26" si="0">B3</f>
        <v>1.6837863429999995</v>
      </c>
      <c r="H3">
        <f t="shared" si="0"/>
        <v>29.222870408888099</v>
      </c>
    </row>
    <row r="4" spans="1:25">
      <c r="A4" s="41" t="str">
        <f>'[7]material inventory'!M14</f>
        <v>Ethanol</v>
      </c>
      <c r="B4">
        <f>'[7]material inventory'!N14</f>
        <v>3.6067691999999998E-2</v>
      </c>
      <c r="C4">
        <f>'[7]material inventory'!O14</f>
        <v>1.0715802776700001</v>
      </c>
      <c r="G4">
        <f t="shared" si="0"/>
        <v>3.6067691999999998E-2</v>
      </c>
      <c r="H4">
        <f t="shared" si="0"/>
        <v>1.0715802776700001</v>
      </c>
    </row>
    <row r="5" spans="1:25">
      <c r="A5" s="41" t="str">
        <f>'[7]material inventory'!M15</f>
        <v>Deionized water</v>
      </c>
      <c r="B5">
        <f>'[7]material inventory'!N15</f>
        <v>5.6916582000000001E-5</v>
      </c>
      <c r="C5">
        <f>'[7]material inventory'!O15</f>
        <v>7.8310930304560005E-4</v>
      </c>
      <c r="G5">
        <f t="shared" si="0"/>
        <v>5.6916582000000001E-5</v>
      </c>
      <c r="H5">
        <f t="shared" si="0"/>
        <v>7.8310930304560005E-4</v>
      </c>
    </row>
    <row r="6" spans="1:25">
      <c r="A6" s="41" t="str">
        <f>'[7]material inventory'!M16</f>
        <v>NiOₓ precursor solution</v>
      </c>
      <c r="B6">
        <f>'[7]material inventory'!N16</f>
        <v>3.2234827634271858E-2</v>
      </c>
      <c r="C6">
        <f>'[7]material inventory'!O16</f>
        <v>0.63858715683810552</v>
      </c>
      <c r="G6">
        <f t="shared" si="0"/>
        <v>3.2234827634271858E-2</v>
      </c>
      <c r="H6">
        <f t="shared" si="0"/>
        <v>0.63858715683810552</v>
      </c>
    </row>
    <row r="7" spans="1:25">
      <c r="A7" s="41" t="str">
        <f>'[7]material inventory'!M17</f>
        <v>PbI₂</v>
      </c>
      <c r="B7">
        <f>'[7]material inventory'!N17</f>
        <v>2.8789914277598614E-3</v>
      </c>
      <c r="C7">
        <f>'[7]material inventory'!O17</f>
        <v>3.423458644077676E-2</v>
      </c>
      <c r="G7">
        <f t="shared" si="0"/>
        <v>2.8789914277598614E-3</v>
      </c>
      <c r="H7">
        <f t="shared" si="0"/>
        <v>3.423458644077676E-2</v>
      </c>
    </row>
    <row r="8" spans="1:25">
      <c r="A8" s="41" t="str">
        <f>'[7]material inventory'!M18</f>
        <v>Dimethylformamide</v>
      </c>
      <c r="B8">
        <f>'[7]material inventory'!N18</f>
        <v>3.7194557030399995E-3</v>
      </c>
      <c r="C8">
        <f>'[7]material inventory'!O18</f>
        <v>0.10116651734077545</v>
      </c>
      <c r="G8">
        <f t="shared" si="0"/>
        <v>3.7194557030399995E-3</v>
      </c>
      <c r="H8">
        <f t="shared" si="0"/>
        <v>0.10116651734077545</v>
      </c>
    </row>
    <row r="9" spans="1:25">
      <c r="A9" s="41" t="str">
        <f>'[7]material inventory'!M19</f>
        <v>MAI</v>
      </c>
      <c r="B9">
        <f>'[7]material inventory'!N19</f>
        <v>3.5150263174525943E-2</v>
      </c>
      <c r="C9">
        <f>'[7]material inventory'!O19</f>
        <v>0.74664235335118256</v>
      </c>
      <c r="G9">
        <f t="shared" si="0"/>
        <v>3.5150263174525943E-2</v>
      </c>
      <c r="H9">
        <f t="shared" si="0"/>
        <v>0.74664235335118256</v>
      </c>
    </row>
    <row r="10" spans="1:25">
      <c r="A10" s="41" t="str">
        <f>'[7]material inventory'!M20</f>
        <v>Isopropanol</v>
      </c>
      <c r="B10">
        <f>'[7]material inventory'!N20</f>
        <v>6.2385419519999999E-3</v>
      </c>
      <c r="C10">
        <f>'[7]material inventory'!O20</f>
        <v>0.20621291360633598</v>
      </c>
      <c r="G10">
        <f t="shared" si="0"/>
        <v>6.2385419519999999E-3</v>
      </c>
      <c r="H10">
        <f t="shared" si="0"/>
        <v>0.20621291360633598</v>
      </c>
    </row>
    <row r="11" spans="1:25">
      <c r="A11" s="41" t="str">
        <f>'[7]material inventory'!M21</f>
        <v>Nitrogen</v>
      </c>
      <c r="B11">
        <f>'[7]material inventory'!N21</f>
        <v>1.6371150925259081</v>
      </c>
      <c r="C11">
        <f>'[7]material inventory'!O21</f>
        <v>22.304788348898221</v>
      </c>
      <c r="G11">
        <f t="shared" si="0"/>
        <v>1.6371150925259081</v>
      </c>
      <c r="H11">
        <f t="shared" si="0"/>
        <v>22.304788348898221</v>
      </c>
    </row>
    <row r="12" spans="1:25">
      <c r="A12" s="41" t="str">
        <f>'[7]material inventory'!M22</f>
        <v>ZnO nanoparticles</v>
      </c>
      <c r="B12">
        <f>'[7]material inventory'!N22</f>
        <v>6.3772044169255901E-2</v>
      </c>
      <c r="C12">
        <f>'[7]material inventory'!O22</f>
        <v>1.5212700906868477</v>
      </c>
      <c r="G12">
        <f t="shared" si="0"/>
        <v>6.3772044169255901E-2</v>
      </c>
      <c r="H12">
        <f t="shared" si="0"/>
        <v>1.5212700906868477</v>
      </c>
    </row>
    <row r="13" spans="1:25">
      <c r="A13" s="41" t="str">
        <f>'[7]material inventory'!M23</f>
        <v>Al</v>
      </c>
      <c r="B13">
        <f>'[7]material inventory'!N23</f>
        <v>7.007356097560976E-3</v>
      </c>
      <c r="C13">
        <f>'[7]material inventory'!O23</f>
        <v>6.5261304301170733E-2</v>
      </c>
      <c r="G13">
        <f t="shared" si="0"/>
        <v>7.007356097560976E-3</v>
      </c>
      <c r="H13">
        <f t="shared" si="0"/>
        <v>6.5261304301170733E-2</v>
      </c>
    </row>
    <row r="14" spans="1:25">
      <c r="A14" s="42" t="s">
        <v>183</v>
      </c>
      <c r="B14">
        <f>'[7]energy consumption'!J26*'[7]material inventory'!$B$2</f>
        <v>1.4695344011756272E-2</v>
      </c>
      <c r="C14">
        <f>'[7]energy consumption'!K26*'[7]material inventory'!$B$2</f>
        <v>0.25857617659780091</v>
      </c>
      <c r="G14">
        <f t="shared" si="0"/>
        <v>1.4695344011756272E-2</v>
      </c>
      <c r="H14">
        <f t="shared" si="0"/>
        <v>0.25857617659780091</v>
      </c>
    </row>
    <row r="15" spans="1:25">
      <c r="A15" s="42" t="str">
        <f>'[7]energy consumption'!I6</f>
        <v>Sonication</v>
      </c>
      <c r="B15">
        <f>'[7]energy consumption'!J6</f>
        <v>0.28396800022717433</v>
      </c>
      <c r="C15">
        <f>'[7]energy consumption'!K6</f>
        <v>4.9966410936773125</v>
      </c>
      <c r="G15">
        <f t="shared" si="0"/>
        <v>0.28396800022717433</v>
      </c>
      <c r="H15">
        <f t="shared" si="0"/>
        <v>4.9966410936773125</v>
      </c>
    </row>
    <row r="16" spans="1:25">
      <c r="A16" s="42" t="str">
        <f>'[7]energy consumption'!I7</f>
        <v>HTL spin coating</v>
      </c>
      <c r="B16">
        <f>'[7]energy consumption'!J7</f>
        <v>4.7574154393188799</v>
      </c>
      <c r="C16">
        <f>'[7]energy consumption'!K7</f>
        <v>83.710479577905772</v>
      </c>
      <c r="G16">
        <f t="shared" si="0"/>
        <v>4.7574154393188799</v>
      </c>
      <c r="H16">
        <f t="shared" si="0"/>
        <v>83.710479577905772</v>
      </c>
    </row>
    <row r="17" spans="1:25">
      <c r="A17" s="42" t="str">
        <f>'[7]energy consumption'!I8</f>
        <v>HTL annealing</v>
      </c>
      <c r="B17">
        <f>'[7]energy consumption'!J8</f>
        <v>30.668544024534835</v>
      </c>
      <c r="C17">
        <f>'[7]energy consumption'!K8</f>
        <v>539.63723811714988</v>
      </c>
      <c r="G17">
        <f t="shared" si="0"/>
        <v>30.668544024534835</v>
      </c>
      <c r="H17">
        <f t="shared" si="0"/>
        <v>539.63723811714988</v>
      </c>
    </row>
    <row r="18" spans="1:25">
      <c r="A18" s="42" t="str">
        <f>'[7]energy consumption'!I9</f>
        <v>Inert gas purging</v>
      </c>
      <c r="B18">
        <f>'[7]energy consumption'!J9</f>
        <v>3.7270800029816638</v>
      </c>
      <c r="C18">
        <f>'[7]energy consumption'!K9</f>
        <v>65.580914354514732</v>
      </c>
      <c r="G18">
        <f t="shared" si="0"/>
        <v>3.7270800029816638</v>
      </c>
      <c r="H18">
        <f t="shared" si="0"/>
        <v>65.580914354514732</v>
      </c>
    </row>
    <row r="19" spans="1:25">
      <c r="A19" s="42" t="str">
        <f>'[7]energy consumption'!I10</f>
        <v>PL 1st-step spin coating</v>
      </c>
      <c r="B19">
        <f>'[7]energy consumption'!J10</f>
        <v>8.4576274476780081E-2</v>
      </c>
      <c r="C19">
        <f>'[7]energy consumption'!K10</f>
        <v>1.4881863036072136</v>
      </c>
      <c r="G19">
        <f t="shared" si="0"/>
        <v>8.4576274476780081E-2</v>
      </c>
      <c r="H19">
        <f t="shared" si="0"/>
        <v>1.4881863036072136</v>
      </c>
    </row>
    <row r="20" spans="1:25">
      <c r="A20" s="42" t="str">
        <f>'[7]energy consumption'!I11</f>
        <v>PL drying</v>
      </c>
      <c r="B20">
        <f>'[7]energy consumption'!J11</f>
        <v>1.1926656009541325</v>
      </c>
      <c r="C20">
        <f>'[7]energy consumption'!K11</f>
        <v>20.985892593444717</v>
      </c>
      <c r="G20">
        <f t="shared" si="0"/>
        <v>1.1926656009541325</v>
      </c>
      <c r="H20">
        <f t="shared" si="0"/>
        <v>20.985892593444717</v>
      </c>
    </row>
    <row r="21" spans="1:25">
      <c r="A21" s="42" t="str">
        <f>'[7]energy consumption'!I12</f>
        <v>PL 2nd-step spin coating</v>
      </c>
      <c r="B21">
        <f>'[7]energy consumption'!J12</f>
        <v>4.2288137238390036</v>
      </c>
      <c r="C21">
        <f>'[7]energy consumption'!K12</f>
        <v>74.409315180360679</v>
      </c>
      <c r="G21">
        <f t="shared" si="0"/>
        <v>4.2288137238390036</v>
      </c>
      <c r="H21">
        <f t="shared" si="0"/>
        <v>74.409315180360679</v>
      </c>
    </row>
    <row r="22" spans="1:25">
      <c r="A22" s="42" t="str">
        <f>'[7]energy consumption'!I13</f>
        <v>PL annealing</v>
      </c>
      <c r="B22">
        <f>'[7]energy consumption'!J13</f>
        <v>20.445696016356557</v>
      </c>
      <c r="C22">
        <f>'[7]energy consumption'!K13</f>
        <v>359.75815874476655</v>
      </c>
      <c r="G22">
        <f t="shared" si="0"/>
        <v>20.445696016356557</v>
      </c>
      <c r="H22">
        <f t="shared" si="0"/>
        <v>359.75815874476655</v>
      </c>
    </row>
    <row r="23" spans="1:25">
      <c r="A23" s="42" t="str">
        <f>'[7]energy consumption'!I14</f>
        <v>ETL spin coating</v>
      </c>
      <c r="B23">
        <f>'[7]energy consumption'!J14</f>
        <v>4.7574154393188799</v>
      </c>
      <c r="C23">
        <f>'[7]energy consumption'!K14</f>
        <v>83.710479577905772</v>
      </c>
      <c r="G23">
        <f t="shared" si="0"/>
        <v>4.7574154393188799</v>
      </c>
      <c r="H23">
        <f t="shared" si="0"/>
        <v>83.710479577905772</v>
      </c>
    </row>
    <row r="24" spans="1:25">
      <c r="A24" s="42" t="str">
        <f>'[7]energy consumption'!I15</f>
        <v>Vacuum pump</v>
      </c>
      <c r="B24">
        <f>'[7]energy consumption'!J15</f>
        <v>6.5312640052250099</v>
      </c>
      <c r="C24">
        <f>'[7]energy consumption'!K15</f>
        <v>114.92274515457818</v>
      </c>
      <c r="G24">
        <f t="shared" si="0"/>
        <v>6.5312640052250099</v>
      </c>
      <c r="H24">
        <f t="shared" si="0"/>
        <v>114.92274515457818</v>
      </c>
    </row>
    <row r="25" spans="1:25">
      <c r="A25" s="42" t="str">
        <f>'[7]energy consumption'!I16</f>
        <v>Evaporation</v>
      </c>
      <c r="B25">
        <f>'[7]energy consumption'!J16</f>
        <v>3.7862400030289916</v>
      </c>
      <c r="C25">
        <f>'[7]energy consumption'!K16</f>
        <v>66.621881249030835</v>
      </c>
      <c r="G25">
        <f t="shared" si="0"/>
        <v>3.7862400030289916</v>
      </c>
      <c r="H25">
        <f t="shared" si="0"/>
        <v>66.621881249030835</v>
      </c>
    </row>
    <row r="26" spans="1:25">
      <c r="A26" s="42" t="str">
        <f>'[7]energy consumption'!I17</f>
        <v>Cooling</v>
      </c>
      <c r="B26">
        <f>'[7]energy consumption'!J17</f>
        <v>11.358720009086975</v>
      </c>
      <c r="C26">
        <f>'[7]energy consumption'!K17</f>
        <v>199.86564374709252</v>
      </c>
      <c r="G26">
        <f t="shared" si="0"/>
        <v>11.358720009086975</v>
      </c>
      <c r="H26">
        <f t="shared" si="0"/>
        <v>199.86564374709252</v>
      </c>
    </row>
    <row r="27" spans="1:25">
      <c r="A27" s="113" t="str">
        <f>'[7]material inventory'!M24</f>
        <v>Direct emissions</v>
      </c>
      <c r="B27">
        <f>'[7]material inventory'!N24</f>
        <v>0</v>
      </c>
      <c r="C27">
        <f>'[7]material inventory'!O24</f>
        <v>0</v>
      </c>
      <c r="G27">
        <f>B27</f>
        <v>0</v>
      </c>
      <c r="H27">
        <f>C27</f>
        <v>0</v>
      </c>
    </row>
    <row r="28" spans="1:25">
      <c r="A28" s="113" t="s">
        <v>96</v>
      </c>
      <c r="B28">
        <f>'[7]material inventory'!N36</f>
        <v>1.44631779E-4</v>
      </c>
      <c r="C28">
        <f>'[7]material inventory'!O36</f>
        <v>1.2086428794910004E-3</v>
      </c>
      <c r="G28">
        <f t="shared" ref="G28:H28" si="1">B28</f>
        <v>1.44631779E-4</v>
      </c>
      <c r="H28">
        <f t="shared" si="1"/>
        <v>1.2086428794910004E-3</v>
      </c>
    </row>
    <row r="29" spans="1:25">
      <c r="A29" s="113" t="s">
        <v>137</v>
      </c>
      <c r="B29">
        <f>'[7]material inventory'!$F$44*[2]production!$D$103</f>
        <v>8.4223677078940225E-4</v>
      </c>
      <c r="C29">
        <f>'[7]material inventory'!$F$44*[2]production!M103</f>
        <v>2.6955809549607006E-2</v>
      </c>
      <c r="G29">
        <f>'[8]ITO-old'!$E$23</f>
        <v>0.15919747552941177</v>
      </c>
      <c r="H29">
        <f>'[8]ITO-old'!$F$23</f>
        <v>2.7861947098039215</v>
      </c>
    </row>
    <row r="30" spans="1:25" s="43" customFormat="1">
      <c r="B30" s="43">
        <f>SUM(B3:B28)</f>
        <v>95.345266039405971</v>
      </c>
      <c r="C30" s="43">
        <f>SUM(C3:C28)</f>
        <v>1671.860757580836</v>
      </c>
      <c r="G30" s="43">
        <f>SUM(G3:G28)</f>
        <v>95.345266039405971</v>
      </c>
      <c r="H30" s="43">
        <f>SUM(H3:H28)</f>
        <v>1671.860757580836</v>
      </c>
      <c r="I30"/>
      <c r="J30"/>
      <c r="K30"/>
      <c r="L30"/>
      <c r="M30"/>
      <c r="N30"/>
      <c r="O30"/>
      <c r="P30"/>
      <c r="Q30"/>
      <c r="R30"/>
      <c r="S30"/>
      <c r="T30"/>
      <c r="U30"/>
      <c r="V30"/>
      <c r="W30"/>
      <c r="X30"/>
      <c r="Y30"/>
    </row>
    <row r="31" spans="1:25" s="41" customFormat="1">
      <c r="A31" s="41" t="s">
        <v>138</v>
      </c>
      <c r="B31" s="41">
        <f>SUM(B29:B30)</f>
        <v>95.346108276176764</v>
      </c>
      <c r="C31" s="41">
        <f t="shared" ref="C31" si="2">SUM(C29:C30)</f>
        <v>1671.8877133903857</v>
      </c>
      <c r="G31" s="41">
        <f>SUM(G29:G30)</f>
        <v>95.504463514935381</v>
      </c>
      <c r="H31" s="41">
        <f t="shared" ref="H31" si="3">SUM(H29:H30)</f>
        <v>1674.64695229064</v>
      </c>
      <c r="I31"/>
      <c r="J31"/>
      <c r="K31"/>
      <c r="L31"/>
      <c r="M31"/>
      <c r="N31"/>
      <c r="O31"/>
      <c r="P31"/>
      <c r="Q31"/>
      <c r="R31"/>
      <c r="S31"/>
      <c r="T31"/>
      <c r="U31"/>
      <c r="V31"/>
      <c r="W31"/>
      <c r="X31"/>
      <c r="Y31"/>
    </row>
    <row r="34" spans="2:3">
      <c r="B34" s="26">
        <f>B3/B31</f>
        <v>1.7659728052274486E-2</v>
      </c>
      <c r="C34" s="26">
        <f>C3/C31</f>
        <v>1.7478967142851753E-2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material inventory</vt:lpstr>
      <vt:lpstr>energy consumption</vt:lpstr>
      <vt:lpstr>results</vt:lpstr>
      <vt:lpstr>Uncertainty</vt:lpstr>
      <vt:lpstr>recycling</vt:lpstr>
      <vt:lpstr>recycling level</vt:lpstr>
      <vt:lpstr>SA</vt:lpstr>
      <vt:lpstr>results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2020-01-04T05:02:15Z</dcterms:modified>
</cp:coreProperties>
</file>