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filterPrivacy="1"/>
  <xr:revisionPtr revIDLastSave="0" documentId="13_ncr:1_{C5A085A5-393A-40EE-93C8-20EDAF4D152B}" xr6:coauthVersionLast="45" xr6:coauthVersionMax="45" xr10:uidLastSave="{00000000-0000-0000-0000-000000000000}"/>
  <bookViews>
    <workbookView xWindow="-120" yWindow="-120" windowWidth="29040" windowHeight="15840" xr2:uid="{00000000-000D-0000-FFFF-FFFF00000000}"/>
  </bookViews>
  <sheets>
    <sheet name="material inventory" sheetId="1" r:id="rId1"/>
    <sheet name="energy consumption" sheetId="2" r:id="rId2"/>
    <sheet name="results" sheetId="3" r:id="rId3"/>
    <sheet name="Uncertainty" sheetId="6" r:id="rId4"/>
    <sheet name="recycling" sheetId="4" r:id="rId5"/>
    <sheet name="recycling level" sheetId="8" r:id="rId6"/>
    <sheet name="SA" sheetId="9" r:id="rId7"/>
    <sheet name="results (2)" sheetId="10" r:id="rId8"/>
    <sheet name="CB_DATA_" sheetId="7" state="veryHidden"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CB_1c2d49e324ed4e7da175c17c8db60240" localSheetId="3" hidden="1">Uncertainty!$C$7</definedName>
    <definedName name="CB_2cdc45dd5f8d4cc7b4ff87873aae04d1" localSheetId="3" hidden="1">Uncertainty!$C$2</definedName>
    <definedName name="CB_32f4655ac3ab434194c7b86bd67bc805" localSheetId="3" hidden="1">Uncertainty!$C$3</definedName>
    <definedName name="CB_3ac30f0184cf42678239f7c66ea8a529" localSheetId="3" hidden="1">Uncertainty!$C$9</definedName>
    <definedName name="CB_6cce6e717ea84b8897b18e32d5cb528d" localSheetId="8" hidden="1">#N/A</definedName>
    <definedName name="CB_75ed55e36f4149248c3750bc1129767a" localSheetId="3" hidden="1">Uncertainty!$C$10</definedName>
    <definedName name="CB_aa4b7a1efa6049f59cecdf639b09afdf" localSheetId="3" hidden="1">Uncertainty!$C$8</definedName>
    <definedName name="CB_bccb9057926646e69a291bc05746de34" localSheetId="3" hidden="1">Uncertainty!$C$4</definedName>
    <definedName name="CB_Block_00000000000000000000000000000000" localSheetId="8" hidden="1">"'7.0.0.0"</definedName>
    <definedName name="CB_Block_00000000000000000000000000000000" localSheetId="3" hidden="1">"'7.0.0.0"</definedName>
    <definedName name="CB_Block_00000000000000000000000000000001" localSheetId="8" hidden="1">"'637136654711500012"</definedName>
    <definedName name="CB_Block_00000000000000000000000000000001" localSheetId="3" hidden="1">"'637136654711344081"</definedName>
    <definedName name="CB_Block_00000000000000000000000000000003" localSheetId="8" hidden="1">"'11.1.4716.0"</definedName>
    <definedName name="CB_Block_00000000000000000000000000000003" localSheetId="3" hidden="1">"'11.1.4716.0"</definedName>
    <definedName name="CB_BlockExt_00000000000000000000000000000003" localSheetId="8" hidden="1">"'11.1.2.4.850"</definedName>
    <definedName name="CB_BlockExt_00000000000000000000000000000003" localSheetId="3" hidden="1">"'11.1.2.4.850"</definedName>
    <definedName name="CB_d178b39d90604c338af4f22e9fbc11ac" localSheetId="3" hidden="1">Uncertainty!$C$6</definedName>
    <definedName name="CB_ed51c116888c4fb39993e96de61a4d6a" localSheetId="8" hidden="1">#N/A</definedName>
    <definedName name="CBCR_16ba2e36b1334b1fa5fb5ac6b87ab68d" localSheetId="3" hidden="1">Uncertainty!$E$2</definedName>
    <definedName name="CBCR_254f7eb18463463fab739f7cdc7dc76d" localSheetId="3" hidden="1">Uncertainty!$C$2</definedName>
    <definedName name="CBCR_2c7ace7bd991417a81d701c1b130e8ff" localSheetId="3" hidden="1">Uncertainty!$C$3</definedName>
    <definedName name="CBCR_32c89657044d4516a8b1b9fc29fa2d57" localSheetId="3" hidden="1">Uncertainty!$C$4</definedName>
    <definedName name="CBCR_40a5d849477d48958bc065f7f31e8072" localSheetId="3" hidden="1">Uncertainty!$E$3</definedName>
    <definedName name="CBCR_4b685d810b0847c1b95e63536d4b6991" localSheetId="3" hidden="1">Uncertainty!$E$4</definedName>
    <definedName name="CBCR_7130398f71004f39b12785da9edbed93" localSheetId="3" hidden="1">Uncertainty!$C$8</definedName>
    <definedName name="CBCR_74f2ef91954b40b0a37284c96181256a" localSheetId="3" hidden="1">Uncertainty!$E$6</definedName>
    <definedName name="CBCR_7c92ef8c22b440fb98f802417457e02c" localSheetId="3" hidden="1">Uncertainty!$E$7</definedName>
    <definedName name="CBCR_7cfa2d48f4e84779babcbede400aaa44" localSheetId="3" hidden="1">Uncertainty!$C$7</definedName>
    <definedName name="CBCR_96385e9a152d4b00a2f7524af51f607e" localSheetId="3" hidden="1">Uncertainty!$C$6</definedName>
    <definedName name="CBCR_e8f97c1cc6e24f6ba9a5570aedc6a013" localSheetId="3" hidden="1">Uncertainty!$E$8</definedName>
    <definedName name="CBWorkbookPriority" localSheetId="8" hidden="1">-1136982859178000</definedName>
    <definedName name="CBx_208da5f2eda141d0b81b4e857c35f51e" localSheetId="8" hidden="1">"'CB_DATA_'!$A$1"</definedName>
    <definedName name="CBx_b381d8ac5bae45d2bae9ce2f79d122a3" localSheetId="8" hidden="1">"'Uncertainty'!$A$1"</definedName>
    <definedName name="CBx_Sheet_Guid" localSheetId="8" hidden="1">"'208da5f2-eda1-41d0-b81b-4e857c35f51e"</definedName>
    <definedName name="CBx_Sheet_Guid" localSheetId="3" hidden="1">"'b381d8ac-5bae-45d2-bae9-ce2f79d122a3"</definedName>
    <definedName name="CBx_SheetRef" localSheetId="8" hidden="1">CB_DATA_!$A$14</definedName>
    <definedName name="CBx_SheetRef" localSheetId="3" hidden="1">CB_DATA_!$B$14</definedName>
    <definedName name="CBx_StorageType" localSheetId="8" hidden="1">2</definedName>
    <definedName name="CBx_StorageType" localSheetId="3"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43" i="1" l="1"/>
  <c r="X43" i="1"/>
  <c r="Y43" i="1"/>
  <c r="Z43" i="1"/>
  <c r="AA43" i="1"/>
  <c r="AB43" i="1"/>
  <c r="AC43" i="1"/>
  <c r="AD43" i="1"/>
  <c r="AE43" i="1"/>
  <c r="AF43" i="1"/>
  <c r="AG43" i="1"/>
  <c r="AH43" i="1"/>
  <c r="AI43" i="1"/>
  <c r="AJ43" i="1"/>
  <c r="AK43" i="1"/>
  <c r="AL43" i="1"/>
  <c r="AM43" i="1"/>
  <c r="AN43" i="1"/>
  <c r="AO43" i="1"/>
  <c r="AP43" i="1"/>
  <c r="AQ43" i="1"/>
  <c r="V43" i="1"/>
  <c r="U43" i="1"/>
  <c r="C35" i="10" l="1"/>
  <c r="B35" i="10"/>
  <c r="C34" i="10"/>
  <c r="H34" i="10" s="1"/>
  <c r="B34" i="10"/>
  <c r="G34" i="10" s="1"/>
  <c r="C33" i="10"/>
  <c r="H33" i="10" s="1"/>
  <c r="B33" i="10"/>
  <c r="G33" i="10" s="1"/>
  <c r="C31" i="10"/>
  <c r="H31" i="10" s="1"/>
  <c r="B31" i="10"/>
  <c r="G31" i="10" s="1"/>
  <c r="A31" i="10"/>
  <c r="C30" i="10"/>
  <c r="H30" i="10" s="1"/>
  <c r="B30" i="10"/>
  <c r="G30" i="10" s="1"/>
  <c r="A30" i="10"/>
  <c r="C29" i="10"/>
  <c r="H29" i="10" s="1"/>
  <c r="B29" i="10"/>
  <c r="G29" i="10" s="1"/>
  <c r="A29" i="10"/>
  <c r="C28" i="10"/>
  <c r="H28" i="10" s="1"/>
  <c r="B28" i="10"/>
  <c r="G28" i="10" s="1"/>
  <c r="A28" i="10"/>
  <c r="C27" i="10"/>
  <c r="H27" i="10" s="1"/>
  <c r="B27" i="10"/>
  <c r="G27" i="10" s="1"/>
  <c r="A27" i="10"/>
  <c r="C26" i="10"/>
  <c r="H26" i="10" s="1"/>
  <c r="B26" i="10"/>
  <c r="G26" i="10" s="1"/>
  <c r="A26" i="10"/>
  <c r="C25" i="10"/>
  <c r="H25" i="10" s="1"/>
  <c r="B25" i="10"/>
  <c r="G25" i="10" s="1"/>
  <c r="A25" i="10"/>
  <c r="C24" i="10"/>
  <c r="H24" i="10" s="1"/>
  <c r="B24" i="10"/>
  <c r="G24" i="10" s="1"/>
  <c r="A24" i="10"/>
  <c r="H23" i="10"/>
  <c r="C23" i="10"/>
  <c r="B23" i="10"/>
  <c r="G23" i="10" s="1"/>
  <c r="A23" i="10"/>
  <c r="C32" i="10"/>
  <c r="H32" i="10" s="1"/>
  <c r="B32" i="10"/>
  <c r="G32" i="10" s="1"/>
  <c r="C22" i="10"/>
  <c r="H22" i="10" s="1"/>
  <c r="B22" i="10"/>
  <c r="G22" i="10" s="1"/>
  <c r="C21" i="10"/>
  <c r="H21" i="10" s="1"/>
  <c r="B21" i="10"/>
  <c r="G21" i="10" s="1"/>
  <c r="C20" i="10"/>
  <c r="H20" i="10" s="1"/>
  <c r="B20" i="10"/>
  <c r="G20" i="10" s="1"/>
  <c r="C19" i="10"/>
  <c r="H19" i="10" s="1"/>
  <c r="B19" i="10"/>
  <c r="G19" i="10" s="1"/>
  <c r="C18" i="10"/>
  <c r="H18" i="10" s="1"/>
  <c r="B18" i="10"/>
  <c r="G18" i="10" s="1"/>
  <c r="C17" i="10"/>
  <c r="H17" i="10" s="1"/>
  <c r="B17" i="10"/>
  <c r="G17" i="10" s="1"/>
  <c r="C16" i="10"/>
  <c r="H16" i="10" s="1"/>
  <c r="B16" i="10"/>
  <c r="G16" i="10" s="1"/>
  <c r="C15" i="10"/>
  <c r="H15" i="10" s="1"/>
  <c r="B15" i="10"/>
  <c r="G15" i="10" s="1"/>
  <c r="C14" i="10"/>
  <c r="H14" i="10" s="1"/>
  <c r="B14" i="10"/>
  <c r="G14" i="10" s="1"/>
  <c r="C13" i="10"/>
  <c r="H13" i="10" s="1"/>
  <c r="B13" i="10"/>
  <c r="G13" i="10" s="1"/>
  <c r="C12" i="10"/>
  <c r="H12" i="10" s="1"/>
  <c r="B12" i="10"/>
  <c r="G12" i="10" s="1"/>
  <c r="C11" i="10"/>
  <c r="H11" i="10" s="1"/>
  <c r="B11" i="10"/>
  <c r="G11" i="10" s="1"/>
  <c r="C10" i="10"/>
  <c r="H10" i="10" s="1"/>
  <c r="B10" i="10"/>
  <c r="G10" i="10" s="1"/>
  <c r="C9" i="10"/>
  <c r="H9" i="10" s="1"/>
  <c r="B9" i="10"/>
  <c r="G9" i="10" s="1"/>
  <c r="C8" i="10"/>
  <c r="H8" i="10" s="1"/>
  <c r="B8" i="10"/>
  <c r="G8" i="10" s="1"/>
  <c r="C7" i="10"/>
  <c r="H7" i="10" s="1"/>
  <c r="B7" i="10"/>
  <c r="G7" i="10" s="1"/>
  <c r="C6" i="10"/>
  <c r="H6" i="10" s="1"/>
  <c r="B6" i="10"/>
  <c r="G6" i="10" s="1"/>
  <c r="C5" i="10"/>
  <c r="H5" i="10" s="1"/>
  <c r="B5" i="10"/>
  <c r="G5" i="10" s="1"/>
  <c r="A5" i="10"/>
  <c r="C4" i="10"/>
  <c r="H4" i="10" s="1"/>
  <c r="B4" i="10"/>
  <c r="G4" i="10" s="1"/>
  <c r="A4" i="10"/>
  <c r="H3" i="10"/>
  <c r="C3" i="10"/>
  <c r="B3" i="10"/>
  <c r="G3" i="10" s="1"/>
  <c r="A3" i="10"/>
  <c r="C2" i="10"/>
  <c r="B2" i="10"/>
  <c r="G2" i="10" s="1"/>
  <c r="A2" i="10"/>
  <c r="C1" i="10"/>
  <c r="B1" i="10"/>
  <c r="C36" i="10" l="1"/>
  <c r="C37" i="10" s="1"/>
  <c r="G36" i="10"/>
  <c r="G37" i="10" s="1"/>
  <c r="B36" i="10"/>
  <c r="B37" i="10" s="1"/>
  <c r="H2" i="10"/>
  <c r="H36" i="10" s="1"/>
  <c r="H37" i="10" s="1"/>
  <c r="F51" i="1" l="1"/>
  <c r="P2" i="7"/>
  <c r="A4" i="3" l="1"/>
  <c r="F5" i="1"/>
  <c r="T5" i="1" s="1"/>
  <c r="F9" i="1"/>
  <c r="A24" i="3"/>
  <c r="A25" i="3"/>
  <c r="A26" i="3"/>
  <c r="A27" i="3"/>
  <c r="A28" i="3"/>
  <c r="A29" i="3"/>
  <c r="A30" i="3"/>
  <c r="A31" i="3"/>
  <c r="A23" i="3"/>
  <c r="C20" i="2"/>
  <c r="E20" i="2" s="1"/>
  <c r="D20" i="2"/>
  <c r="C16" i="2"/>
  <c r="C18" i="2"/>
  <c r="C15" i="2"/>
  <c r="C14" i="2"/>
  <c r="C12" i="2"/>
  <c r="C11" i="2"/>
  <c r="C7" i="2"/>
  <c r="F30" i="1"/>
  <c r="F52" i="1" s="1"/>
  <c r="T44" i="1" s="1"/>
  <c r="A53" i="1"/>
  <c r="A52" i="1"/>
  <c r="A51" i="1"/>
  <c r="X5" i="1" l="1"/>
  <c r="E4" i="3" s="1"/>
  <c r="AF5" i="1"/>
  <c r="M4" i="3" s="1"/>
  <c r="Y5" i="1"/>
  <c r="F4" i="3" s="1"/>
  <c r="AG5" i="1"/>
  <c r="N4" i="3" s="1"/>
  <c r="AO5" i="1"/>
  <c r="V4" i="3" s="1"/>
  <c r="AA5" i="1"/>
  <c r="H4" i="3" s="1"/>
  <c r="AI5" i="1"/>
  <c r="P4" i="3" s="1"/>
  <c r="AQ5" i="1"/>
  <c r="X4" i="3" s="1"/>
  <c r="V5" i="1"/>
  <c r="C4" i="3" s="1"/>
  <c r="Z5" i="1"/>
  <c r="G4" i="3" s="1"/>
  <c r="AH5" i="1"/>
  <c r="O4" i="3" s="1"/>
  <c r="AP5" i="1"/>
  <c r="W4" i="3" s="1"/>
  <c r="AJ5" i="1"/>
  <c r="Q4" i="3" s="1"/>
  <c r="AN5" i="1"/>
  <c r="U4" i="3" s="1"/>
  <c r="AB5" i="1"/>
  <c r="I4" i="3" s="1"/>
  <c r="AC5" i="1"/>
  <c r="J4" i="3" s="1"/>
  <c r="AK5" i="1"/>
  <c r="R4" i="3" s="1"/>
  <c r="U5" i="1"/>
  <c r="B4" i="3" s="1"/>
  <c r="AD5" i="1"/>
  <c r="K4" i="3" s="1"/>
  <c r="AL5" i="1"/>
  <c r="S4" i="3" s="1"/>
  <c r="W5" i="1"/>
  <c r="D4" i="3" s="1"/>
  <c r="AE5" i="1"/>
  <c r="L4" i="3" s="1"/>
  <c r="AM5" i="1"/>
  <c r="T4" i="3" s="1"/>
  <c r="T22" i="1"/>
  <c r="F31" i="1"/>
  <c r="F53" i="1" l="1"/>
  <c r="T45" i="1" s="1"/>
  <c r="T23" i="1"/>
  <c r="Z22" i="1"/>
  <c r="G21" i="3" s="1"/>
  <c r="AH22" i="1"/>
  <c r="O21" i="3" s="1"/>
  <c r="AP22" i="1"/>
  <c r="W21" i="3" s="1"/>
  <c r="V22" i="1"/>
  <c r="C21" i="3" s="1"/>
  <c r="AB22" i="1"/>
  <c r="I21" i="3" s="1"/>
  <c r="U22" i="1"/>
  <c r="B21" i="3" s="1"/>
  <c r="AC22" i="1"/>
  <c r="J21" i="3" s="1"/>
  <c r="AK22" i="1"/>
  <c r="R21" i="3" s="1"/>
  <c r="AN22" i="1"/>
  <c r="U21" i="3" s="1"/>
  <c r="Y22" i="1"/>
  <c r="F21" i="3" s="1"/>
  <c r="AO22" i="1"/>
  <c r="V21" i="3" s="1"/>
  <c r="AA22" i="1"/>
  <c r="H21" i="3" s="1"/>
  <c r="AI22" i="1"/>
  <c r="P21" i="3" s="1"/>
  <c r="AQ22" i="1"/>
  <c r="X21" i="3" s="1"/>
  <c r="AJ22" i="1"/>
  <c r="Q21" i="3" s="1"/>
  <c r="X22" i="1"/>
  <c r="E21" i="3" s="1"/>
  <c r="AF22" i="1"/>
  <c r="M21" i="3" s="1"/>
  <c r="AG22" i="1"/>
  <c r="N21" i="3" s="1"/>
  <c r="AD22" i="1"/>
  <c r="K21" i="3" s="1"/>
  <c r="AL22" i="1"/>
  <c r="S21" i="3" s="1"/>
  <c r="W22" i="1"/>
  <c r="D21" i="3" s="1"/>
  <c r="AE22" i="1"/>
  <c r="L21" i="3" s="1"/>
  <c r="AM22" i="1"/>
  <c r="T21" i="3" s="1"/>
  <c r="AC23" i="1" l="1"/>
  <c r="J22" i="3" s="1"/>
  <c r="AK23" i="1"/>
  <c r="R22" i="3" s="1"/>
  <c r="W23" i="1"/>
  <c r="D22" i="3" s="1"/>
  <c r="AM23" i="1"/>
  <c r="T22" i="3" s="1"/>
  <c r="X23" i="1"/>
  <c r="E22" i="3" s="1"/>
  <c r="AN23" i="1"/>
  <c r="U22" i="3" s="1"/>
  <c r="AI23" i="1"/>
  <c r="P22" i="3" s="1"/>
  <c r="AJ23" i="1"/>
  <c r="Q22" i="3" s="1"/>
  <c r="V23" i="1"/>
  <c r="C22" i="3" s="1"/>
  <c r="AD23" i="1"/>
  <c r="K22" i="3" s="1"/>
  <c r="AL23" i="1"/>
  <c r="S22" i="3" s="1"/>
  <c r="U23" i="1"/>
  <c r="B22" i="3" s="1"/>
  <c r="AE23" i="1"/>
  <c r="L22" i="3" s="1"/>
  <c r="AF23" i="1"/>
  <c r="M22" i="3" s="1"/>
  <c r="AA23" i="1"/>
  <c r="H22" i="3" s="1"/>
  <c r="AQ23" i="1"/>
  <c r="X22" i="3" s="1"/>
  <c r="AB23" i="1"/>
  <c r="I22" i="3" s="1"/>
  <c r="Y23" i="1"/>
  <c r="F22" i="3" s="1"/>
  <c r="AG23" i="1"/>
  <c r="N22" i="3" s="1"/>
  <c r="AO23" i="1"/>
  <c r="V22" i="3" s="1"/>
  <c r="Z23" i="1"/>
  <c r="G22" i="3" s="1"/>
  <c r="AH23" i="1"/>
  <c r="O22" i="3" s="1"/>
  <c r="AP23" i="1"/>
  <c r="W22" i="3" s="1"/>
  <c r="H2" i="9" l="1"/>
  <c r="I2" i="9"/>
  <c r="F1" i="6" l="1"/>
  <c r="L25" i="9" l="1"/>
  <c r="L27" i="9"/>
  <c r="Q27" i="9" l="1"/>
  <c r="Q25" i="9"/>
  <c r="Q17" i="9"/>
  <c r="Q15" i="9"/>
  <c r="C30" i="9"/>
  <c r="C31" i="9"/>
  <c r="B30" i="9"/>
  <c r="B31" i="9"/>
  <c r="A30" i="9"/>
  <c r="A31" i="9"/>
  <c r="A2" i="9" l="1"/>
  <c r="B18" i="3" l="1"/>
  <c r="C18" i="3"/>
  <c r="D18" i="3"/>
  <c r="E18" i="3"/>
  <c r="F18" i="3"/>
  <c r="G18" i="3"/>
  <c r="H18" i="3"/>
  <c r="I18" i="3"/>
  <c r="J18" i="3"/>
  <c r="K18" i="3"/>
  <c r="L18" i="3"/>
  <c r="M18" i="3"/>
  <c r="N18" i="3"/>
  <c r="O18" i="3"/>
  <c r="P18" i="3"/>
  <c r="Q18" i="3"/>
  <c r="R18" i="3"/>
  <c r="S18" i="3"/>
  <c r="T18" i="3"/>
  <c r="U18" i="3"/>
  <c r="V18" i="3"/>
  <c r="W18" i="3"/>
  <c r="X18" i="3"/>
  <c r="C17" i="4" l="1"/>
  <c r="AA18" i="8"/>
  <c r="B17" i="4"/>
  <c r="B18" i="8"/>
  <c r="S25" i="1"/>
  <c r="S26" i="1"/>
  <c r="S27" i="1"/>
  <c r="S28" i="1"/>
  <c r="S29" i="1"/>
  <c r="S30" i="1"/>
  <c r="S31" i="1"/>
  <c r="S32" i="1"/>
  <c r="S33" i="1"/>
  <c r="S34" i="1"/>
  <c r="S35" i="1"/>
  <c r="S36" i="1"/>
  <c r="S37" i="1"/>
  <c r="S38" i="1"/>
  <c r="S39" i="1"/>
  <c r="S40" i="1"/>
  <c r="S41" i="1"/>
  <c r="S42" i="1"/>
  <c r="S43" i="1"/>
  <c r="C18" i="9" l="1"/>
  <c r="AJ18" i="8"/>
  <c r="AL18" i="8"/>
  <c r="AX18" i="8"/>
  <c r="AH18" i="8"/>
  <c r="AV18" i="8"/>
  <c r="AF18" i="8"/>
  <c r="AT18" i="8"/>
  <c r="AD18" i="8"/>
  <c r="AR18" i="8"/>
  <c r="AB18" i="8"/>
  <c r="F18" i="9" s="1"/>
  <c r="I18" i="9" s="1"/>
  <c r="AP18" i="8"/>
  <c r="AN18" i="8"/>
  <c r="B18" i="9"/>
  <c r="U18" i="8"/>
  <c r="E18" i="8"/>
  <c r="Q18" i="8"/>
  <c r="O18" i="8"/>
  <c r="I18" i="8"/>
  <c r="W18" i="8"/>
  <c r="S18" i="8"/>
  <c r="C18" i="8"/>
  <c r="E18" i="9" s="1"/>
  <c r="H18" i="9" s="1"/>
  <c r="M18" i="8"/>
  <c r="K18" i="8"/>
  <c r="Y18" i="8"/>
  <c r="G18" i="8"/>
  <c r="A16" i="4"/>
  <c r="A17" i="8"/>
  <c r="A17" i="9" s="1"/>
  <c r="A15" i="4"/>
  <c r="A16" i="8"/>
  <c r="A16" i="9" s="1"/>
  <c r="F20" i="1"/>
  <c r="P25" i="9" l="1"/>
  <c r="P27" i="9"/>
  <c r="P16" i="9"/>
  <c r="P26" i="9" s="1"/>
  <c r="L16" i="9"/>
  <c r="L26" i="9" s="1"/>
  <c r="P12" i="9"/>
  <c r="P22" i="9" s="1"/>
  <c r="P13" i="9"/>
  <c r="P23" i="9" s="1"/>
  <c r="P14" i="9"/>
  <c r="P24" i="9" s="1"/>
  <c r="P10" i="9"/>
  <c r="P20" i="9" s="1"/>
  <c r="L12" i="9"/>
  <c r="L22" i="9" s="1"/>
  <c r="L13" i="9"/>
  <c r="L23" i="9" s="1"/>
  <c r="L14" i="9"/>
  <c r="L24" i="9" s="1"/>
  <c r="L10" i="9"/>
  <c r="L20" i="9" s="1"/>
  <c r="A32" i="8" l="1"/>
  <c r="A32" i="9" s="1"/>
  <c r="A11" i="7" l="1"/>
  <c r="B11" i="7"/>
  <c r="C10" i="6" l="1"/>
  <c r="C9" i="6"/>
  <c r="C42" i="4" l="1"/>
  <c r="B42" i="4"/>
  <c r="B1" i="4"/>
  <c r="C1" i="4"/>
  <c r="H19" i="1" l="1"/>
  <c r="H18" i="1" s="1"/>
  <c r="B1" i="3" l="1"/>
  <c r="C1" i="3"/>
  <c r="D1" i="3"/>
  <c r="E1" i="3"/>
  <c r="F1" i="3"/>
  <c r="G1" i="3"/>
  <c r="H1" i="3"/>
  <c r="I1" i="3"/>
  <c r="J1" i="3"/>
  <c r="K1" i="3"/>
  <c r="L1" i="3"/>
  <c r="M1" i="3"/>
  <c r="N1" i="3"/>
  <c r="O1" i="3"/>
  <c r="P1" i="3"/>
  <c r="Q1" i="3"/>
  <c r="R1" i="3"/>
  <c r="S1" i="3"/>
  <c r="T1" i="3"/>
  <c r="U1" i="3"/>
  <c r="V1" i="3"/>
  <c r="W1" i="3"/>
  <c r="X1" i="3"/>
  <c r="A22" i="8"/>
  <c r="A22" i="9" s="1"/>
  <c r="D16" i="2"/>
  <c r="D12" i="2"/>
  <c r="AA2" i="8" l="1"/>
  <c r="C2" i="9"/>
  <c r="B2" i="8"/>
  <c r="B2" i="9"/>
  <c r="A24" i="8"/>
  <c r="A24" i="9" s="1"/>
  <c r="A23" i="8"/>
  <c r="A23" i="9" s="1"/>
  <c r="A21" i="8"/>
  <c r="A21" i="9" s="1"/>
  <c r="A28" i="8"/>
  <c r="A28" i="9" s="1"/>
  <c r="A29" i="8"/>
  <c r="A29" i="9" s="1"/>
  <c r="A27" i="8"/>
  <c r="A27" i="9" s="1"/>
  <c r="A26" i="8"/>
  <c r="A26" i="9" s="1"/>
  <c r="A25" i="8"/>
  <c r="A25" i="9" s="1"/>
  <c r="D26" i="2" l="1"/>
  <c r="C26" i="2"/>
  <c r="F20" i="2"/>
  <c r="O11" i="2" s="1"/>
  <c r="E18" i="2"/>
  <c r="F18" i="2" s="1"/>
  <c r="O10" i="2" s="1"/>
  <c r="E16" i="2"/>
  <c r="F16" i="2" s="1"/>
  <c r="O9" i="2" s="1"/>
  <c r="E15" i="2"/>
  <c r="F15" i="2" s="1"/>
  <c r="O8" i="2" s="1"/>
  <c r="E14" i="2"/>
  <c r="F14" i="2" s="1"/>
  <c r="E12" i="2"/>
  <c r="F12" i="2" s="1"/>
  <c r="O6" i="2" s="1"/>
  <c r="E11" i="2"/>
  <c r="F11" i="2" s="1"/>
  <c r="O5" i="2" s="1"/>
  <c r="D7" i="2"/>
  <c r="E26" i="2" l="1"/>
  <c r="F26" i="2" s="1"/>
  <c r="V8" i="2"/>
  <c r="AD8" i="2"/>
  <c r="AL8" i="2"/>
  <c r="W8" i="2"/>
  <c r="AE8" i="2"/>
  <c r="Q28" i="3" s="1"/>
  <c r="X8" i="2"/>
  <c r="J28" i="3" s="1"/>
  <c r="AF8" i="2"/>
  <c r="R28" i="3" s="1"/>
  <c r="AA8" i="2"/>
  <c r="M28" i="3" s="1"/>
  <c r="Y8" i="2"/>
  <c r="AG8" i="2"/>
  <c r="R8" i="2"/>
  <c r="D28" i="3" s="1"/>
  <c r="Z8" i="2"/>
  <c r="L28" i="3" s="1"/>
  <c r="AH8" i="2"/>
  <c r="T28" i="3" s="1"/>
  <c r="Q8" i="2"/>
  <c r="S8" i="2"/>
  <c r="E28" i="3" s="1"/>
  <c r="AI8" i="2"/>
  <c r="U28" i="3" s="1"/>
  <c r="T8" i="2"/>
  <c r="AB8" i="2"/>
  <c r="AJ8" i="2"/>
  <c r="V28" i="3" s="1"/>
  <c r="U8" i="2"/>
  <c r="G28" i="3" s="1"/>
  <c r="AC8" i="2"/>
  <c r="O28" i="3" s="1"/>
  <c r="AK8" i="2"/>
  <c r="W28" i="3" s="1"/>
  <c r="X6" i="2"/>
  <c r="J26" i="3" s="1"/>
  <c r="AF6" i="2"/>
  <c r="R26" i="3" s="1"/>
  <c r="Y6" i="2"/>
  <c r="AG6" i="2"/>
  <c r="R6" i="2"/>
  <c r="Z6" i="2"/>
  <c r="L26" i="3" s="1"/>
  <c r="AH6" i="2"/>
  <c r="T26" i="3" s="1"/>
  <c r="Q6" i="2"/>
  <c r="S6" i="2"/>
  <c r="E26" i="3" s="1"/>
  <c r="AA6" i="2"/>
  <c r="M26" i="3" s="1"/>
  <c r="AI6" i="2"/>
  <c r="T6" i="2"/>
  <c r="AB6" i="2"/>
  <c r="AJ6" i="2"/>
  <c r="U6" i="2"/>
  <c r="G26" i="3" s="1"/>
  <c r="AC6" i="2"/>
  <c r="O26" i="3" s="1"/>
  <c r="AK6" i="2"/>
  <c r="W26" i="3" s="1"/>
  <c r="V6" i="2"/>
  <c r="H26" i="3" s="1"/>
  <c r="AD6" i="2"/>
  <c r="AL6" i="2"/>
  <c r="W6" i="2"/>
  <c r="I26" i="3" s="1"/>
  <c r="AE6" i="2"/>
  <c r="Q26" i="3" s="1"/>
  <c r="Y9" i="2"/>
  <c r="K29" i="3" s="1"/>
  <c r="AG9" i="2"/>
  <c r="S29" i="3" s="1"/>
  <c r="Z9" i="2"/>
  <c r="L29" i="3" s="1"/>
  <c r="R9" i="2"/>
  <c r="D29" i="3" s="1"/>
  <c r="S9" i="2"/>
  <c r="AA9" i="2"/>
  <c r="AI9" i="2"/>
  <c r="U29" i="3" s="1"/>
  <c r="V9" i="2"/>
  <c r="H29" i="3" s="1"/>
  <c r="AD9" i="2"/>
  <c r="P29" i="3" s="1"/>
  <c r="Q9" i="2"/>
  <c r="T9" i="2"/>
  <c r="F29" i="3" s="1"/>
  <c r="AB9" i="2"/>
  <c r="N29" i="3" s="1"/>
  <c r="AJ9" i="2"/>
  <c r="U9" i="2"/>
  <c r="AC9" i="2"/>
  <c r="AK9" i="2"/>
  <c r="W29" i="3" s="1"/>
  <c r="AL9" i="2"/>
  <c r="X29" i="3" s="1"/>
  <c r="W9" i="2"/>
  <c r="I29" i="3" s="1"/>
  <c r="AE9" i="2"/>
  <c r="Q29" i="3" s="1"/>
  <c r="AH9" i="2"/>
  <c r="T29" i="3" s="1"/>
  <c r="X9" i="2"/>
  <c r="AF9" i="2"/>
  <c r="W11" i="2"/>
  <c r="AE11" i="2"/>
  <c r="Q31" i="3" s="1"/>
  <c r="AF11" i="2"/>
  <c r="R31" i="3" s="1"/>
  <c r="Y11" i="2"/>
  <c r="K31" i="3" s="1"/>
  <c r="AG11" i="2"/>
  <c r="S31" i="3" s="1"/>
  <c r="T11" i="2"/>
  <c r="F31" i="3" s="1"/>
  <c r="AB11" i="2"/>
  <c r="R11" i="2"/>
  <c r="Z11" i="2"/>
  <c r="L31" i="3" s="1"/>
  <c r="AH11" i="2"/>
  <c r="T31" i="3" s="1"/>
  <c r="S11" i="2"/>
  <c r="E31" i="3" s="1"/>
  <c r="AA11" i="2"/>
  <c r="M31" i="3" s="1"/>
  <c r="AI11" i="2"/>
  <c r="U31" i="3" s="1"/>
  <c r="AJ11" i="2"/>
  <c r="V31" i="3" s="1"/>
  <c r="U11" i="2"/>
  <c r="AC11" i="2"/>
  <c r="AK11" i="2"/>
  <c r="W31" i="3" s="1"/>
  <c r="X11" i="2"/>
  <c r="J31" i="3" s="1"/>
  <c r="V11" i="2"/>
  <c r="H31" i="3" s="1"/>
  <c r="AD11" i="2"/>
  <c r="P31" i="3" s="1"/>
  <c r="AL11" i="2"/>
  <c r="X31" i="3" s="1"/>
  <c r="Q11" i="2"/>
  <c r="T10" i="2"/>
  <c r="AB10" i="2"/>
  <c r="AJ10" i="2"/>
  <c r="AK10" i="2"/>
  <c r="W30" i="3" s="1"/>
  <c r="V10" i="2"/>
  <c r="H30" i="3" s="1"/>
  <c r="AD10" i="2"/>
  <c r="P30" i="3" s="1"/>
  <c r="AL10" i="2"/>
  <c r="X30" i="3" s="1"/>
  <c r="Y10" i="2"/>
  <c r="K30" i="3" s="1"/>
  <c r="W10" i="2"/>
  <c r="AE10" i="2"/>
  <c r="X10" i="2"/>
  <c r="J30" i="3" s="1"/>
  <c r="AF10" i="2"/>
  <c r="R30" i="3" s="1"/>
  <c r="AG10" i="2"/>
  <c r="S30" i="3" s="1"/>
  <c r="R10" i="2"/>
  <c r="D30" i="3" s="1"/>
  <c r="Z10" i="2"/>
  <c r="L30" i="3" s="1"/>
  <c r="AH10" i="2"/>
  <c r="T30" i="3" s="1"/>
  <c r="Q10" i="2"/>
  <c r="AC10" i="2"/>
  <c r="S10" i="2"/>
  <c r="AA10" i="2"/>
  <c r="M30" i="3" s="1"/>
  <c r="AI10" i="2"/>
  <c r="U30" i="3" s="1"/>
  <c r="U10" i="2"/>
  <c r="G30" i="3" s="1"/>
  <c r="U5" i="2"/>
  <c r="G25" i="3" s="1"/>
  <c r="AC5" i="2"/>
  <c r="O25" i="3" s="1"/>
  <c r="AK5" i="2"/>
  <c r="AD5" i="2"/>
  <c r="V5" i="2"/>
  <c r="H25" i="3" s="1"/>
  <c r="W5" i="2"/>
  <c r="I25" i="3" s="1"/>
  <c r="AE5" i="2"/>
  <c r="Q25" i="3" s="1"/>
  <c r="X5" i="2"/>
  <c r="J25" i="3" s="1"/>
  <c r="AF5" i="2"/>
  <c r="R25" i="3" s="1"/>
  <c r="Y5" i="2"/>
  <c r="K25" i="3" s="1"/>
  <c r="AG5" i="2"/>
  <c r="R5" i="2"/>
  <c r="Z5" i="2"/>
  <c r="L25" i="3" s="1"/>
  <c r="AH5" i="2"/>
  <c r="T25" i="3" s="1"/>
  <c r="S5" i="2"/>
  <c r="E25" i="3" s="1"/>
  <c r="AA5" i="2"/>
  <c r="M25" i="3" s="1"/>
  <c r="AI5" i="2"/>
  <c r="U25" i="3" s="1"/>
  <c r="AL5" i="2"/>
  <c r="X25" i="3" s="1"/>
  <c r="T5" i="2"/>
  <c r="AB5" i="2"/>
  <c r="AJ5" i="2"/>
  <c r="V25" i="3" s="1"/>
  <c r="Q5" i="2"/>
  <c r="O7" i="2"/>
  <c r="G15" i="2"/>
  <c r="E7" i="2"/>
  <c r="F7" i="2" s="1"/>
  <c r="O3" i="2" s="1"/>
  <c r="P8" i="2"/>
  <c r="H28" i="3"/>
  <c r="P28" i="3"/>
  <c r="X28" i="3"/>
  <c r="N28" i="3"/>
  <c r="I28" i="3"/>
  <c r="F28" i="3"/>
  <c r="K28" i="3"/>
  <c r="S28" i="3"/>
  <c r="P6" i="2"/>
  <c r="F26" i="3"/>
  <c r="N26" i="3"/>
  <c r="V26" i="3"/>
  <c r="U26" i="3"/>
  <c r="P26" i="3"/>
  <c r="X26" i="3"/>
  <c r="K26" i="3"/>
  <c r="S26" i="3"/>
  <c r="D26" i="3"/>
  <c r="P9" i="2"/>
  <c r="J29" i="3"/>
  <c r="R29" i="3"/>
  <c r="G29" i="3"/>
  <c r="E29" i="3"/>
  <c r="M29" i="3"/>
  <c r="V29" i="3"/>
  <c r="O29" i="3"/>
  <c r="P11" i="2"/>
  <c r="I31" i="3"/>
  <c r="D31" i="3"/>
  <c r="N31" i="3"/>
  <c r="G31" i="3"/>
  <c r="O31" i="3"/>
  <c r="P10" i="2"/>
  <c r="Q30" i="3"/>
  <c r="I30" i="3"/>
  <c r="E30" i="3"/>
  <c r="F30" i="3"/>
  <c r="N30" i="3"/>
  <c r="V30" i="3"/>
  <c r="O30" i="3"/>
  <c r="P5" i="2"/>
  <c r="S25" i="3"/>
  <c r="D25" i="3"/>
  <c r="F25" i="3"/>
  <c r="N25" i="3"/>
  <c r="W25" i="3"/>
  <c r="P25" i="3"/>
  <c r="Y3" i="2" l="1"/>
  <c r="K23" i="3" s="1"/>
  <c r="R3" i="2"/>
  <c r="D23" i="3" s="1"/>
  <c r="Z3" i="2"/>
  <c r="L23" i="3" s="1"/>
  <c r="AH3" i="2"/>
  <c r="T23" i="3" s="1"/>
  <c r="S3" i="2"/>
  <c r="E23" i="3" s="1"/>
  <c r="AI3" i="2"/>
  <c r="U23" i="3" s="1"/>
  <c r="T3" i="2"/>
  <c r="F23" i="3" s="1"/>
  <c r="AB3" i="2"/>
  <c r="N23" i="3" s="1"/>
  <c r="AJ3" i="2"/>
  <c r="V23" i="3" s="1"/>
  <c r="U3" i="2"/>
  <c r="AC3" i="2"/>
  <c r="O23" i="3" s="1"/>
  <c r="AA3" i="2"/>
  <c r="M23" i="3" s="1"/>
  <c r="AK3" i="2"/>
  <c r="W23" i="3" s="1"/>
  <c r="V3" i="2"/>
  <c r="H23" i="3" s="1"/>
  <c r="AD3" i="2"/>
  <c r="P23" i="3" s="1"/>
  <c r="AL3" i="2"/>
  <c r="X23" i="3" s="1"/>
  <c r="W3" i="2"/>
  <c r="I23" i="3" s="1"/>
  <c r="AE3" i="2"/>
  <c r="Q23" i="3" s="1"/>
  <c r="X3" i="2"/>
  <c r="J23" i="3" s="1"/>
  <c r="AF3" i="2"/>
  <c r="R23" i="3" s="1"/>
  <c r="Q3" i="2"/>
  <c r="Q13" i="2" s="1"/>
  <c r="AG3" i="2"/>
  <c r="S23" i="3" s="1"/>
  <c r="P7" i="2"/>
  <c r="B47" i="4" s="1"/>
  <c r="S7" i="2"/>
  <c r="E27" i="3" s="1"/>
  <c r="AA7" i="2"/>
  <c r="M27" i="3" s="1"/>
  <c r="AI7" i="2"/>
  <c r="U27" i="3" s="1"/>
  <c r="T7" i="2"/>
  <c r="F27" i="3" s="1"/>
  <c r="AB7" i="2"/>
  <c r="N27" i="3" s="1"/>
  <c r="AJ7" i="2"/>
  <c r="V27" i="3" s="1"/>
  <c r="U7" i="2"/>
  <c r="G27" i="3" s="1"/>
  <c r="AC7" i="2"/>
  <c r="O27" i="3" s="1"/>
  <c r="AK7" i="2"/>
  <c r="W27" i="3" s="1"/>
  <c r="V7" i="2"/>
  <c r="H27" i="3" s="1"/>
  <c r="AD7" i="2"/>
  <c r="P27" i="3" s="1"/>
  <c r="AL7" i="2"/>
  <c r="X27" i="3" s="1"/>
  <c r="Q7" i="2"/>
  <c r="W7" i="2"/>
  <c r="I27" i="3" s="1"/>
  <c r="AE7" i="2"/>
  <c r="Q27" i="3" s="1"/>
  <c r="X7" i="2"/>
  <c r="J27" i="3" s="1"/>
  <c r="AF7" i="2"/>
  <c r="R27" i="3" s="1"/>
  <c r="Y7" i="2"/>
  <c r="K27" i="3" s="1"/>
  <c r="AG7" i="2"/>
  <c r="S27" i="3" s="1"/>
  <c r="R7" i="2"/>
  <c r="D27" i="3" s="1"/>
  <c r="Z7" i="2"/>
  <c r="L27" i="3" s="1"/>
  <c r="AH7" i="2"/>
  <c r="T27" i="3" s="1"/>
  <c r="N21" i="9"/>
  <c r="N11" i="9"/>
  <c r="B26" i="3"/>
  <c r="B49" i="4"/>
  <c r="B29" i="3"/>
  <c r="C51" i="4"/>
  <c r="C31" i="3"/>
  <c r="C49" i="4"/>
  <c r="C29" i="3"/>
  <c r="C50" i="4"/>
  <c r="C30" i="3"/>
  <c r="B51" i="4"/>
  <c r="B31" i="3"/>
  <c r="C25" i="3"/>
  <c r="B50" i="4"/>
  <c r="B30" i="3"/>
  <c r="B25" i="3"/>
  <c r="P3" i="2"/>
  <c r="G23" i="3"/>
  <c r="C48" i="4"/>
  <c r="C28" i="3"/>
  <c r="C26" i="3"/>
  <c r="B48" i="4"/>
  <c r="B28" i="3"/>
  <c r="A2" i="3"/>
  <c r="A3" i="3"/>
  <c r="A5" i="3"/>
  <c r="B27" i="3" l="1"/>
  <c r="C27" i="3"/>
  <c r="C47" i="4"/>
  <c r="L11" i="9"/>
  <c r="L21" i="9" s="1"/>
  <c r="P11" i="9"/>
  <c r="P21" i="9" s="1"/>
  <c r="A9" i="4"/>
  <c r="A10" i="8"/>
  <c r="A10" i="9" s="1"/>
  <c r="A2" i="4"/>
  <c r="A3" i="8"/>
  <c r="A3" i="9" s="1"/>
  <c r="A4" i="4"/>
  <c r="A5" i="8"/>
  <c r="A5" i="9" s="1"/>
  <c r="A7" i="4"/>
  <c r="A8" i="8"/>
  <c r="A8" i="9" s="1"/>
  <c r="A19" i="4"/>
  <c r="A20" i="8"/>
  <c r="A20" i="9" s="1"/>
  <c r="A8" i="4"/>
  <c r="A9" i="8"/>
  <c r="A9" i="9" s="1"/>
  <c r="A18" i="4"/>
  <c r="A19" i="8"/>
  <c r="A19" i="9" s="1"/>
  <c r="A10" i="4"/>
  <c r="A11" i="8"/>
  <c r="A11" i="9" s="1"/>
  <c r="A6" i="4"/>
  <c r="A7" i="8"/>
  <c r="A7" i="9" s="1"/>
  <c r="A13" i="4"/>
  <c r="A14" i="8"/>
  <c r="A14" i="9" s="1"/>
  <c r="A17" i="4"/>
  <c r="A18" i="8"/>
  <c r="A18" i="9" s="1"/>
  <c r="A11" i="4"/>
  <c r="A12" i="8"/>
  <c r="A12" i="9" s="1"/>
  <c r="A3" i="4"/>
  <c r="A4" i="8"/>
  <c r="A4" i="9" s="1"/>
  <c r="A5" i="4"/>
  <c r="A6" i="8"/>
  <c r="A6" i="9" s="1"/>
  <c r="A12" i="4"/>
  <c r="A13" i="8"/>
  <c r="A13" i="9" s="1"/>
  <c r="A14" i="4"/>
  <c r="A15" i="8"/>
  <c r="A15" i="9" s="1"/>
  <c r="B29" i="8"/>
  <c r="B29" i="9" s="1"/>
  <c r="AA29" i="8"/>
  <c r="C29" i="9" s="1"/>
  <c r="AA24" i="8"/>
  <c r="C24" i="9" s="1"/>
  <c r="I24" i="9" s="1"/>
  <c r="AA28" i="8"/>
  <c r="C28" i="9" s="1"/>
  <c r="B27" i="8"/>
  <c r="B27" i="9" s="1"/>
  <c r="AA23" i="8"/>
  <c r="C23" i="9" s="1"/>
  <c r="I23" i="9" s="1"/>
  <c r="AA26" i="8"/>
  <c r="C26" i="9" s="1"/>
  <c r="B26" i="8"/>
  <c r="M26" i="8" s="1"/>
  <c r="B23" i="8"/>
  <c r="B23" i="9" s="1"/>
  <c r="H23" i="9" s="1"/>
  <c r="AA27" i="8"/>
  <c r="C27" i="9" s="1"/>
  <c r="B25" i="8"/>
  <c r="B25" i="9" s="1"/>
  <c r="B28" i="8"/>
  <c r="B28" i="9" s="1"/>
  <c r="AA25" i="8"/>
  <c r="C25" i="9" s="1"/>
  <c r="B24" i="8"/>
  <c r="B24" i="9" s="1"/>
  <c r="H24" i="9" s="1"/>
  <c r="B43" i="4"/>
  <c r="P13" i="2"/>
  <c r="B52" i="4" s="1"/>
  <c r="B23" i="3"/>
  <c r="C43" i="4"/>
  <c r="C52" i="4"/>
  <c r="C23" i="3"/>
  <c r="I17" i="1"/>
  <c r="I18" i="1"/>
  <c r="I19" i="1"/>
  <c r="I16" i="1"/>
  <c r="D14" i="1"/>
  <c r="D16" i="1"/>
  <c r="G29" i="8" l="1"/>
  <c r="M23" i="8"/>
  <c r="C23" i="8"/>
  <c r="E23" i="9" s="1"/>
  <c r="I23" i="8"/>
  <c r="Q29" i="8"/>
  <c r="K23" i="8"/>
  <c r="E23" i="8"/>
  <c r="I29" i="8"/>
  <c r="E29" i="8"/>
  <c r="Y29" i="8"/>
  <c r="U29" i="8"/>
  <c r="W28" i="8"/>
  <c r="C28" i="8"/>
  <c r="E28" i="9" s="1"/>
  <c r="H28" i="9" s="1"/>
  <c r="K28" i="8"/>
  <c r="C25" i="8"/>
  <c r="E25" i="9" s="1"/>
  <c r="W23" i="8"/>
  <c r="G25" i="8"/>
  <c r="E25" i="8"/>
  <c r="M25" i="8"/>
  <c r="U25" i="8"/>
  <c r="O25" i="8"/>
  <c r="W25" i="8"/>
  <c r="I25" i="8"/>
  <c r="Q25" i="8"/>
  <c r="Y25" i="8"/>
  <c r="K25" i="8"/>
  <c r="Y23" i="8"/>
  <c r="S29" i="8"/>
  <c r="O29" i="8"/>
  <c r="Q23" i="8"/>
  <c r="C29" i="8"/>
  <c r="E29" i="9" s="1"/>
  <c r="H29" i="9" s="1"/>
  <c r="K29" i="8"/>
  <c r="O28" i="8"/>
  <c r="G23" i="8"/>
  <c r="O23" i="8"/>
  <c r="M29" i="8"/>
  <c r="Q28" i="8"/>
  <c r="S23" i="8"/>
  <c r="U23" i="8"/>
  <c r="W29" i="8"/>
  <c r="G27" i="8"/>
  <c r="W27" i="8"/>
  <c r="I27" i="8"/>
  <c r="S25" i="8"/>
  <c r="Q27" i="8"/>
  <c r="C24" i="8"/>
  <c r="E24" i="9" s="1"/>
  <c r="S28" i="8"/>
  <c r="I28" i="8"/>
  <c r="G24" i="8"/>
  <c r="M28" i="8"/>
  <c r="E28" i="8"/>
  <c r="M24" i="8"/>
  <c r="B53" i="4"/>
  <c r="Y28" i="8"/>
  <c r="U28" i="8"/>
  <c r="C53" i="4"/>
  <c r="G28" i="8"/>
  <c r="E24" i="8"/>
  <c r="C27" i="8"/>
  <c r="E27" i="9" s="1"/>
  <c r="H27" i="9" s="1"/>
  <c r="K24" i="8"/>
  <c r="E27" i="8"/>
  <c r="I24" i="8"/>
  <c r="M27" i="8"/>
  <c r="U27" i="8"/>
  <c r="Y27" i="8"/>
  <c r="O27" i="8"/>
  <c r="C26" i="8"/>
  <c r="E26" i="9" s="1"/>
  <c r="Q24" i="8"/>
  <c r="S24" i="8"/>
  <c r="S26" i="8"/>
  <c r="I26" i="8"/>
  <c r="U26" i="8"/>
  <c r="B26" i="9"/>
  <c r="K27" i="8"/>
  <c r="W24" i="8"/>
  <c r="Y24" i="8"/>
  <c r="G26" i="8"/>
  <c r="S27" i="8"/>
  <c r="U24" i="8"/>
  <c r="O24" i="8"/>
  <c r="O26" i="8"/>
  <c r="AA21" i="8"/>
  <c r="C21" i="9" s="1"/>
  <c r="AR30" i="8"/>
  <c r="AB30" i="8"/>
  <c r="F30" i="9" s="1"/>
  <c r="I30" i="9" s="1"/>
  <c r="AP30" i="8"/>
  <c r="AN30" i="8"/>
  <c r="AL30" i="8"/>
  <c r="AD30" i="8"/>
  <c r="AJ30" i="8"/>
  <c r="AF30" i="8"/>
  <c r="AX30" i="8"/>
  <c r="AH30" i="8"/>
  <c r="AV30" i="8"/>
  <c r="AT30" i="8"/>
  <c r="W26" i="8"/>
  <c r="Y26" i="8"/>
  <c r="AP26" i="8"/>
  <c r="AB26" i="8"/>
  <c r="F26" i="9" s="1"/>
  <c r="AJ26" i="8"/>
  <c r="AV26" i="8"/>
  <c r="AF26" i="8"/>
  <c r="AL26" i="8"/>
  <c r="AT26" i="8"/>
  <c r="AD26" i="8"/>
  <c r="AR26" i="8"/>
  <c r="AX26" i="8"/>
  <c r="AH26" i="8"/>
  <c r="AN26" i="8"/>
  <c r="Q26" i="8"/>
  <c r="AR29" i="8"/>
  <c r="AX29" i="8"/>
  <c r="AH29" i="8"/>
  <c r="AV29" i="8"/>
  <c r="AN29" i="8"/>
  <c r="AF29" i="8"/>
  <c r="AL29" i="8"/>
  <c r="AT29" i="8"/>
  <c r="AD29" i="8"/>
  <c r="AB29" i="8"/>
  <c r="F29" i="9" s="1"/>
  <c r="I29" i="9" s="1"/>
  <c r="AJ29" i="8"/>
  <c r="AP29" i="8"/>
  <c r="AV24" i="8"/>
  <c r="AF24" i="8"/>
  <c r="AR24" i="8"/>
  <c r="AL24" i="8"/>
  <c r="AP24" i="8"/>
  <c r="AJ24" i="8"/>
  <c r="AT24" i="8"/>
  <c r="AD24" i="8"/>
  <c r="AN24" i="8"/>
  <c r="AX24" i="8"/>
  <c r="AH24" i="8"/>
  <c r="AB24" i="8"/>
  <c r="F24" i="9" s="1"/>
  <c r="B21" i="8"/>
  <c r="Y21" i="8" s="1"/>
  <c r="K26" i="8"/>
  <c r="AV27" i="8"/>
  <c r="AF27" i="8"/>
  <c r="AL27" i="8"/>
  <c r="AB27" i="8"/>
  <c r="F27" i="9" s="1"/>
  <c r="I27" i="9" s="1"/>
  <c r="AR27" i="8"/>
  <c r="AJ27" i="8"/>
  <c r="AX27" i="8"/>
  <c r="AH27" i="8"/>
  <c r="AN27" i="8"/>
  <c r="AP27" i="8"/>
  <c r="AT27" i="8"/>
  <c r="AD27" i="8"/>
  <c r="AL23" i="8"/>
  <c r="AV23" i="8"/>
  <c r="AF23" i="8"/>
  <c r="AB23" i="8"/>
  <c r="F23" i="9" s="1"/>
  <c r="AP23" i="8"/>
  <c r="AX23" i="8"/>
  <c r="AR23" i="8"/>
  <c r="AJ23" i="8"/>
  <c r="AT23" i="8"/>
  <c r="AD23" i="8"/>
  <c r="AH23" i="8"/>
  <c r="AN23" i="8"/>
  <c r="E26" i="8"/>
  <c r="AJ25" i="8"/>
  <c r="AP25" i="8"/>
  <c r="AN25" i="8"/>
  <c r="AT25" i="8"/>
  <c r="AV25" i="8"/>
  <c r="AF25" i="8"/>
  <c r="AL25" i="8"/>
  <c r="AR25" i="8"/>
  <c r="AB25" i="8"/>
  <c r="F25" i="9" s="1"/>
  <c r="AD25" i="8"/>
  <c r="AX25" i="8"/>
  <c r="AH25" i="8"/>
  <c r="AL28" i="8"/>
  <c r="AR28" i="8"/>
  <c r="AP28" i="8"/>
  <c r="AX28" i="8"/>
  <c r="AH28" i="8"/>
  <c r="AB28" i="8"/>
  <c r="F28" i="9" s="1"/>
  <c r="I28" i="9" s="1"/>
  <c r="AV28" i="8"/>
  <c r="AF28" i="8"/>
  <c r="AN28" i="8"/>
  <c r="AT28" i="8"/>
  <c r="AD28" i="8"/>
  <c r="AJ28" i="8"/>
  <c r="S30" i="8"/>
  <c r="I30" i="8"/>
  <c r="O30" i="8"/>
  <c r="C30" i="8"/>
  <c r="E30" i="9" s="1"/>
  <c r="H30" i="9" s="1"/>
  <c r="K30" i="8"/>
  <c r="U30" i="8"/>
  <c r="Q30" i="8"/>
  <c r="Y30" i="8"/>
  <c r="W30" i="8"/>
  <c r="M30" i="8"/>
  <c r="E30" i="8"/>
  <c r="G30" i="8"/>
  <c r="J19" i="1"/>
  <c r="J17" i="1"/>
  <c r="J16" i="1"/>
  <c r="J18" i="1"/>
  <c r="I25" i="9" l="1"/>
  <c r="H25" i="9"/>
  <c r="U21" i="8"/>
  <c r="S21" i="8"/>
  <c r="I21" i="8"/>
  <c r="B21" i="9"/>
  <c r="C21" i="8"/>
  <c r="E21" i="9" s="1"/>
  <c r="H21" i="9" s="1"/>
  <c r="E21" i="8"/>
  <c r="K21" i="8"/>
  <c r="G21" i="8"/>
  <c r="M21" i="8"/>
  <c r="W21" i="8"/>
  <c r="O21" i="8"/>
  <c r="Q21" i="8"/>
  <c r="AR21" i="8"/>
  <c r="AB21" i="8"/>
  <c r="F21" i="9" s="1"/>
  <c r="I21" i="9" s="1"/>
  <c r="AP21" i="8"/>
  <c r="AF21" i="8"/>
  <c r="AN21" i="8"/>
  <c r="AT21" i="8"/>
  <c r="AL21" i="8"/>
  <c r="AD21" i="8"/>
  <c r="AJ21" i="8"/>
  <c r="AX21" i="8"/>
  <c r="AH21" i="8"/>
  <c r="AV21" i="8"/>
  <c r="J20" i="1"/>
  <c r="F22" i="1"/>
  <c r="M13" i="1"/>
  <c r="K14" i="1" s="1"/>
  <c r="B15" i="1" l="1"/>
  <c r="B16" i="1"/>
  <c r="B17" i="1"/>
  <c r="B14" i="1"/>
  <c r="N16" i="1"/>
  <c r="G22" i="1"/>
  <c r="F27" i="1" s="1"/>
  <c r="T16" i="1"/>
  <c r="F46" i="1"/>
  <c r="T38" i="1" s="1"/>
  <c r="F45" i="1" l="1"/>
  <c r="T37" i="1" s="1"/>
  <c r="AC16" i="1"/>
  <c r="J15" i="3" s="1"/>
  <c r="AK16" i="1"/>
  <c r="R15" i="3" s="1"/>
  <c r="U16" i="1"/>
  <c r="B15" i="3" s="1"/>
  <c r="AD16" i="1"/>
  <c r="K15" i="3" s="1"/>
  <c r="AL16" i="1"/>
  <c r="S15" i="3" s="1"/>
  <c r="W16" i="1"/>
  <c r="D15" i="3" s="1"/>
  <c r="AE16" i="1"/>
  <c r="L15" i="3" s="1"/>
  <c r="AM16" i="1"/>
  <c r="T15" i="3" s="1"/>
  <c r="X16" i="1"/>
  <c r="E15" i="3" s="1"/>
  <c r="AF16" i="1"/>
  <c r="M15" i="3" s="1"/>
  <c r="AN16" i="1"/>
  <c r="U15" i="3" s="1"/>
  <c r="Y16" i="1"/>
  <c r="F15" i="3" s="1"/>
  <c r="AG16" i="1"/>
  <c r="N15" i="3" s="1"/>
  <c r="AO16" i="1"/>
  <c r="V15" i="3" s="1"/>
  <c r="Z16" i="1"/>
  <c r="G15" i="3" s="1"/>
  <c r="AH16" i="1"/>
  <c r="O15" i="3" s="1"/>
  <c r="AP16" i="1"/>
  <c r="W15" i="3" s="1"/>
  <c r="AA16" i="1"/>
  <c r="H15" i="3" s="1"/>
  <c r="AI16" i="1"/>
  <c r="P15" i="3" s="1"/>
  <c r="AQ16" i="1"/>
  <c r="X15" i="3" s="1"/>
  <c r="AB16" i="1"/>
  <c r="I15" i="3" s="1"/>
  <c r="AJ16" i="1"/>
  <c r="Q15" i="3" s="1"/>
  <c r="V16" i="1"/>
  <c r="C15" i="3" s="1"/>
  <c r="F14" i="1"/>
  <c r="F17" i="1"/>
  <c r="T12" i="1" s="1"/>
  <c r="F15" i="1"/>
  <c r="F16" i="1"/>
  <c r="T15" i="1"/>
  <c r="F26" i="1"/>
  <c r="F25" i="1"/>
  <c r="T19" i="1" s="1"/>
  <c r="F23" i="1"/>
  <c r="T17" i="1" s="1"/>
  <c r="F29" i="1"/>
  <c r="T21" i="1" s="1"/>
  <c r="F11" i="1"/>
  <c r="F7" i="1"/>
  <c r="F4" i="1"/>
  <c r="F3" i="1"/>
  <c r="AC21" i="1" l="1"/>
  <c r="AK21" i="1"/>
  <c r="U21" i="1"/>
  <c r="AP21" i="1"/>
  <c r="W21" i="1"/>
  <c r="AE21" i="1"/>
  <c r="AM21" i="1"/>
  <c r="AH21" i="1"/>
  <c r="X21" i="1"/>
  <c r="AF21" i="1"/>
  <c r="AN21" i="1"/>
  <c r="Y21" i="1"/>
  <c r="AG21" i="1"/>
  <c r="AO21" i="1"/>
  <c r="AA21" i="1"/>
  <c r="AI21" i="1"/>
  <c r="AQ21" i="1"/>
  <c r="AD21" i="1"/>
  <c r="Z21" i="1"/>
  <c r="AB21" i="1"/>
  <c r="AJ21" i="1"/>
  <c r="V21" i="1"/>
  <c r="AL21" i="1"/>
  <c r="C14" i="4"/>
  <c r="AA15" i="8"/>
  <c r="C15" i="9" s="1"/>
  <c r="B14" i="4"/>
  <c r="B15" i="8"/>
  <c r="B15" i="9" s="1"/>
  <c r="AD17" i="1"/>
  <c r="K16" i="3" s="1"/>
  <c r="AL17" i="1"/>
  <c r="S16" i="3" s="1"/>
  <c r="AJ17" i="1"/>
  <c r="Q16" i="3" s="1"/>
  <c r="AK17" i="1"/>
  <c r="R16" i="3" s="1"/>
  <c r="W17" i="1"/>
  <c r="D16" i="3" s="1"/>
  <c r="AE17" i="1"/>
  <c r="L16" i="3" s="1"/>
  <c r="AM17" i="1"/>
  <c r="T16" i="3" s="1"/>
  <c r="AG17" i="1"/>
  <c r="N16" i="3" s="1"/>
  <c r="X17" i="1"/>
  <c r="E16" i="3" s="1"/>
  <c r="AF17" i="1"/>
  <c r="M16" i="3" s="1"/>
  <c r="AN17" i="1"/>
  <c r="U16" i="3" s="1"/>
  <c r="Y17" i="1"/>
  <c r="F16" i="3" s="1"/>
  <c r="V17" i="1"/>
  <c r="C16" i="3" s="1"/>
  <c r="AO17" i="1"/>
  <c r="V16" i="3" s="1"/>
  <c r="Z17" i="1"/>
  <c r="G16" i="3" s="1"/>
  <c r="AH17" i="1"/>
  <c r="O16" i="3" s="1"/>
  <c r="AP17" i="1"/>
  <c r="W16" i="3" s="1"/>
  <c r="AQ17" i="1"/>
  <c r="X16" i="3" s="1"/>
  <c r="AB17" i="1"/>
  <c r="I16" i="3" s="1"/>
  <c r="AC17" i="1"/>
  <c r="J16" i="3" s="1"/>
  <c r="AA17" i="1"/>
  <c r="H16" i="3" s="1"/>
  <c r="AI17" i="1"/>
  <c r="P16" i="3" s="1"/>
  <c r="U17" i="1"/>
  <c r="B16" i="3" s="1"/>
  <c r="AC12" i="1"/>
  <c r="J11" i="3" s="1"/>
  <c r="AK12" i="1"/>
  <c r="R11" i="3" s="1"/>
  <c r="U12" i="1"/>
  <c r="B11" i="3" s="1"/>
  <c r="AD12" i="1"/>
  <c r="K11" i="3" s="1"/>
  <c r="AL12" i="1"/>
  <c r="S11" i="3" s="1"/>
  <c r="AE12" i="1"/>
  <c r="L11" i="3" s="1"/>
  <c r="AM12" i="1"/>
  <c r="T11" i="3" s="1"/>
  <c r="X12" i="1"/>
  <c r="E11" i="3" s="1"/>
  <c r="AF12" i="1"/>
  <c r="M11" i="3" s="1"/>
  <c r="AN12" i="1"/>
  <c r="U11" i="3" s="1"/>
  <c r="Y12" i="1"/>
  <c r="F11" i="3" s="1"/>
  <c r="AO12" i="1"/>
  <c r="V11" i="3" s="1"/>
  <c r="AH12" i="1"/>
  <c r="O11" i="3" s="1"/>
  <c r="AI12" i="1"/>
  <c r="P11" i="3" s="1"/>
  <c r="AJ12" i="1"/>
  <c r="Q11" i="3" s="1"/>
  <c r="W12" i="1"/>
  <c r="D11" i="3" s="1"/>
  <c r="AG12" i="1"/>
  <c r="N11" i="3" s="1"/>
  <c r="Z12" i="1"/>
  <c r="G11" i="3" s="1"/>
  <c r="AP12" i="1"/>
  <c r="W11" i="3" s="1"/>
  <c r="AQ12" i="1"/>
  <c r="X11" i="3" s="1"/>
  <c r="V12" i="1"/>
  <c r="C11" i="3" s="1"/>
  <c r="AB12" i="1"/>
  <c r="I11" i="3" s="1"/>
  <c r="AA12" i="1"/>
  <c r="H11" i="3" s="1"/>
  <c r="T3" i="1"/>
  <c r="AC15" i="1"/>
  <c r="J14" i="3" s="1"/>
  <c r="AK15" i="1"/>
  <c r="R14" i="3" s="1"/>
  <c r="AD15" i="1"/>
  <c r="K14" i="3" s="1"/>
  <c r="AL15" i="1"/>
  <c r="S14" i="3" s="1"/>
  <c r="V15" i="1"/>
  <c r="C14" i="3" s="1"/>
  <c r="W15" i="1"/>
  <c r="D14" i="3" s="1"/>
  <c r="AE15" i="1"/>
  <c r="L14" i="3" s="1"/>
  <c r="AM15" i="1"/>
  <c r="T14" i="3" s="1"/>
  <c r="X15" i="1"/>
  <c r="E14" i="3" s="1"/>
  <c r="AF15" i="1"/>
  <c r="M14" i="3" s="1"/>
  <c r="AN15" i="1"/>
  <c r="U14" i="3" s="1"/>
  <c r="U15" i="1"/>
  <c r="B14" i="3" s="1"/>
  <c r="AH15" i="1"/>
  <c r="O14" i="3" s="1"/>
  <c r="AJ15" i="1"/>
  <c r="Q14" i="3" s="1"/>
  <c r="Y15" i="1"/>
  <c r="F14" i="3" s="1"/>
  <c r="AG15" i="1"/>
  <c r="N14" i="3" s="1"/>
  <c r="AO15" i="1"/>
  <c r="V14" i="3" s="1"/>
  <c r="Z15" i="1"/>
  <c r="G14" i="3" s="1"/>
  <c r="AP15" i="1"/>
  <c r="W14" i="3" s="1"/>
  <c r="AB15" i="1"/>
  <c r="I14" i="3" s="1"/>
  <c r="AA15" i="1"/>
  <c r="H14" i="3" s="1"/>
  <c r="AI15" i="1"/>
  <c r="P14" i="3" s="1"/>
  <c r="AQ15" i="1"/>
  <c r="X14" i="3" s="1"/>
  <c r="F24" i="1"/>
  <c r="T18" i="1" s="1"/>
  <c r="F47" i="1"/>
  <c r="T39" i="1" s="1"/>
  <c r="K9" i="2"/>
  <c r="D9" i="2" s="1"/>
  <c r="E9" i="2" s="1"/>
  <c r="F37" i="1"/>
  <c r="T29" i="1" s="1"/>
  <c r="F36" i="1"/>
  <c r="T28" i="1" s="1"/>
  <c r="F34" i="1"/>
  <c r="T26" i="1" s="1"/>
  <c r="T10" i="1"/>
  <c r="P17" i="1"/>
  <c r="F40" i="1"/>
  <c r="T32" i="1" s="1"/>
  <c r="F42" i="1"/>
  <c r="T34" i="1" s="1"/>
  <c r="F39" i="1"/>
  <c r="T31" i="1" s="1"/>
  <c r="P16" i="1"/>
  <c r="Q16" i="1" s="1"/>
  <c r="T9" i="1"/>
  <c r="F38" i="1"/>
  <c r="T30" i="1" s="1"/>
  <c r="F41" i="1"/>
  <c r="T33" i="1" s="1"/>
  <c r="T11" i="1"/>
  <c r="F50" i="1"/>
  <c r="T42" i="1" s="1"/>
  <c r="F49" i="1"/>
  <c r="T41" i="1" s="1"/>
  <c r="T20" i="1"/>
  <c r="F8" i="1"/>
  <c r="F56" i="1" s="1"/>
  <c r="F12" i="1"/>
  <c r="F33" i="1" s="1"/>
  <c r="T25" i="1" s="1"/>
  <c r="T8" i="1"/>
  <c r="T7" i="1"/>
  <c r="F35" i="1"/>
  <c r="T27" i="1" s="1"/>
  <c r="T43" i="1"/>
  <c r="T6" i="1" l="1"/>
  <c r="T47" i="1"/>
  <c r="L9" i="2"/>
  <c r="B10" i="4"/>
  <c r="B11" i="8"/>
  <c r="C10" i="4"/>
  <c r="AA11" i="8"/>
  <c r="B15" i="4"/>
  <c r="B16" i="8"/>
  <c r="C15" i="4"/>
  <c r="AA16" i="8"/>
  <c r="AV15" i="8"/>
  <c r="AR15" i="8"/>
  <c r="AN15" i="8"/>
  <c r="AJ15" i="8"/>
  <c r="AF15" i="8"/>
  <c r="AB15" i="8"/>
  <c r="F15" i="9" s="1"/>
  <c r="I15" i="9" s="1"/>
  <c r="AX15" i="8"/>
  <c r="AT15" i="8"/>
  <c r="AP15" i="8"/>
  <c r="AL15" i="8"/>
  <c r="AH15" i="8"/>
  <c r="AD15" i="8"/>
  <c r="C13" i="4"/>
  <c r="AA14" i="8"/>
  <c r="C14" i="9" s="1"/>
  <c r="B13" i="4"/>
  <c r="B14" i="8"/>
  <c r="B14" i="9" s="1"/>
  <c r="Y15" i="8"/>
  <c r="U15" i="8"/>
  <c r="Q15" i="8"/>
  <c r="M15" i="8"/>
  <c r="I15" i="8"/>
  <c r="E15" i="8"/>
  <c r="C15" i="8"/>
  <c r="E15" i="9" s="1"/>
  <c r="H15" i="9" s="1"/>
  <c r="W15" i="8"/>
  <c r="S15" i="8"/>
  <c r="O15" i="8"/>
  <c r="K15" i="8"/>
  <c r="G15" i="8"/>
  <c r="Y42" i="1"/>
  <c r="AO42" i="1"/>
  <c r="AP42" i="1"/>
  <c r="Z42" i="1"/>
  <c r="V42" i="1"/>
  <c r="AA42" i="1"/>
  <c r="AI42" i="1"/>
  <c r="AQ42" i="1"/>
  <c r="AC42" i="1"/>
  <c r="U42" i="1"/>
  <c r="AH42" i="1"/>
  <c r="AB42" i="1"/>
  <c r="AJ42" i="1"/>
  <c r="AK42" i="1"/>
  <c r="AD42" i="1"/>
  <c r="AL42" i="1"/>
  <c r="W42" i="1"/>
  <c r="AE42" i="1"/>
  <c r="AM42" i="1"/>
  <c r="X42" i="1"/>
  <c r="AF42" i="1"/>
  <c r="AN42" i="1"/>
  <c r="AG42" i="1"/>
  <c r="AK27" i="1"/>
  <c r="AD27" i="1"/>
  <c r="AL27" i="1"/>
  <c r="W27" i="1"/>
  <c r="AE27" i="1"/>
  <c r="AM27" i="1"/>
  <c r="Y27" i="1"/>
  <c r="AG27" i="1"/>
  <c r="AO27" i="1"/>
  <c r="AH27" i="1"/>
  <c r="AP27" i="1"/>
  <c r="V27" i="1"/>
  <c r="X27" i="1"/>
  <c r="AF27" i="1"/>
  <c r="AN27" i="1"/>
  <c r="Z27" i="1"/>
  <c r="AA27" i="1"/>
  <c r="AI27" i="1"/>
  <c r="AQ27" i="1"/>
  <c r="AB27" i="1"/>
  <c r="AJ27" i="1"/>
  <c r="AC27" i="1"/>
  <c r="U27" i="1"/>
  <c r="X28" i="1"/>
  <c r="AF28" i="1"/>
  <c r="AN28" i="1"/>
  <c r="Y28" i="1"/>
  <c r="AG28" i="1"/>
  <c r="AO28" i="1"/>
  <c r="Z28" i="1"/>
  <c r="AH28" i="1"/>
  <c r="AP28" i="1"/>
  <c r="AJ28" i="1"/>
  <c r="AK28" i="1"/>
  <c r="AA28" i="1"/>
  <c r="AI28" i="1"/>
  <c r="AQ28" i="1"/>
  <c r="AB28" i="1"/>
  <c r="V28" i="1"/>
  <c r="AC28" i="1"/>
  <c r="AD28" i="1"/>
  <c r="AL28" i="1"/>
  <c r="W28" i="1"/>
  <c r="AE28" i="1"/>
  <c r="AM28" i="1"/>
  <c r="U28" i="1"/>
  <c r="AI29" i="1"/>
  <c r="AB29" i="1"/>
  <c r="AJ29" i="1"/>
  <c r="AC29" i="1"/>
  <c r="AK29" i="1"/>
  <c r="U29" i="1"/>
  <c r="W29" i="1"/>
  <c r="AE29" i="1"/>
  <c r="AF29" i="1"/>
  <c r="AD29" i="1"/>
  <c r="AL29" i="1"/>
  <c r="V29" i="1"/>
  <c r="AM29" i="1"/>
  <c r="X29" i="1"/>
  <c r="AN29" i="1"/>
  <c r="Y29" i="1"/>
  <c r="AG29" i="1"/>
  <c r="AO29" i="1"/>
  <c r="Z29" i="1"/>
  <c r="AH29" i="1"/>
  <c r="AP29" i="1"/>
  <c r="AA29" i="1"/>
  <c r="AQ29" i="1"/>
  <c r="Z25" i="1"/>
  <c r="AH25" i="1"/>
  <c r="AP25" i="1"/>
  <c r="AA25" i="1"/>
  <c r="AI25" i="1"/>
  <c r="AQ25" i="1"/>
  <c r="AB25" i="1"/>
  <c r="AJ25" i="1"/>
  <c r="AL25" i="1"/>
  <c r="AE25" i="1"/>
  <c r="AC25" i="1"/>
  <c r="AK25" i="1"/>
  <c r="AD25" i="1"/>
  <c r="W25" i="1"/>
  <c r="U25" i="1"/>
  <c r="AM25" i="1"/>
  <c r="X25" i="1"/>
  <c r="AF25" i="1"/>
  <c r="AN25" i="1"/>
  <c r="V25" i="1"/>
  <c r="Y25" i="1"/>
  <c r="AG25" i="1"/>
  <c r="AO25" i="1"/>
  <c r="AB11" i="1"/>
  <c r="I10" i="3" s="1"/>
  <c r="AJ11" i="1"/>
  <c r="Q10" i="3" s="1"/>
  <c r="V11" i="1"/>
  <c r="C10" i="3" s="1"/>
  <c r="AD11" i="1"/>
  <c r="K10" i="3" s="1"/>
  <c r="AC11" i="1"/>
  <c r="J10" i="3" s="1"/>
  <c r="AK11" i="1"/>
  <c r="R10" i="3" s="1"/>
  <c r="U11" i="1"/>
  <c r="B10" i="3" s="1"/>
  <c r="AL11" i="1"/>
  <c r="S10" i="3" s="1"/>
  <c r="X11" i="1"/>
  <c r="E10" i="3" s="1"/>
  <c r="AF11" i="1"/>
  <c r="M10" i="3" s="1"/>
  <c r="Y11" i="1"/>
  <c r="F10" i="3" s="1"/>
  <c r="AG11" i="1"/>
  <c r="N10" i="3" s="1"/>
  <c r="AO11" i="1"/>
  <c r="V10" i="3" s="1"/>
  <c r="AQ11" i="1"/>
  <c r="X10" i="3" s="1"/>
  <c r="W11" i="1"/>
  <c r="D10" i="3" s="1"/>
  <c r="AE11" i="1"/>
  <c r="L10" i="3" s="1"/>
  <c r="AM11" i="1"/>
  <c r="T10" i="3" s="1"/>
  <c r="Z11" i="1"/>
  <c r="G10" i="3" s="1"/>
  <c r="AH11" i="1"/>
  <c r="O10" i="3" s="1"/>
  <c r="AP11" i="1"/>
  <c r="W10" i="3" s="1"/>
  <c r="AA11" i="1"/>
  <c r="H10" i="3" s="1"/>
  <c r="AI11" i="1"/>
  <c r="P10" i="3" s="1"/>
  <c r="AN11" i="1"/>
  <c r="U10" i="3" s="1"/>
  <c r="X9" i="1"/>
  <c r="E8" i="3" s="1"/>
  <c r="AF9" i="1"/>
  <c r="M8" i="3" s="1"/>
  <c r="AN9" i="1"/>
  <c r="U8" i="3" s="1"/>
  <c r="AQ9" i="1"/>
  <c r="X8" i="3" s="1"/>
  <c r="Y9" i="1"/>
  <c r="F8" i="3" s="1"/>
  <c r="AG9" i="1"/>
  <c r="N8" i="3" s="1"/>
  <c r="AO9" i="1"/>
  <c r="V8" i="3" s="1"/>
  <c r="AK9" i="1"/>
  <c r="R8" i="3" s="1"/>
  <c r="Z9" i="1"/>
  <c r="G8" i="3" s="1"/>
  <c r="AH9" i="1"/>
  <c r="O8" i="3" s="1"/>
  <c r="AP9" i="1"/>
  <c r="W8" i="3" s="1"/>
  <c r="W9" i="1"/>
  <c r="D8" i="3" s="1"/>
  <c r="AA9" i="1"/>
  <c r="H8" i="3" s="1"/>
  <c r="AI9" i="1"/>
  <c r="P8" i="3" s="1"/>
  <c r="AM9" i="1"/>
  <c r="T8" i="3" s="1"/>
  <c r="AB9" i="1"/>
  <c r="I8" i="3" s="1"/>
  <c r="AJ9" i="1"/>
  <c r="Q8" i="3" s="1"/>
  <c r="V9" i="1"/>
  <c r="C8" i="3" s="1"/>
  <c r="U9" i="1"/>
  <c r="B8" i="3" s="1"/>
  <c r="AC9" i="1"/>
  <c r="J8" i="3" s="1"/>
  <c r="AE9" i="1"/>
  <c r="L8" i="3" s="1"/>
  <c r="AD9" i="1"/>
  <c r="K8" i="3" s="1"/>
  <c r="AL9" i="1"/>
  <c r="S8" i="3" s="1"/>
  <c r="Y20" i="1"/>
  <c r="F19" i="3" s="1"/>
  <c r="AG20" i="1"/>
  <c r="N19" i="3" s="1"/>
  <c r="AO20" i="1"/>
  <c r="V19" i="3" s="1"/>
  <c r="Z20" i="1"/>
  <c r="G19" i="3" s="1"/>
  <c r="AH20" i="1"/>
  <c r="O19" i="3" s="1"/>
  <c r="AP20" i="1"/>
  <c r="W19" i="3" s="1"/>
  <c r="U20" i="1"/>
  <c r="AL20" i="1"/>
  <c r="S19" i="3" s="1"/>
  <c r="AA20" i="1"/>
  <c r="H19" i="3" s="1"/>
  <c r="AI20" i="1"/>
  <c r="P19" i="3" s="1"/>
  <c r="AQ20" i="1"/>
  <c r="X19" i="3" s="1"/>
  <c r="AB20" i="1"/>
  <c r="I19" i="3" s="1"/>
  <c r="AJ20" i="1"/>
  <c r="Q19" i="3" s="1"/>
  <c r="AD20" i="1"/>
  <c r="K19" i="3" s="1"/>
  <c r="AC20" i="1"/>
  <c r="J19" i="3" s="1"/>
  <c r="AK20" i="1"/>
  <c r="R19" i="3" s="1"/>
  <c r="W20" i="1"/>
  <c r="D19" i="3" s="1"/>
  <c r="AE20" i="1"/>
  <c r="L19" i="3" s="1"/>
  <c r="AM20" i="1"/>
  <c r="T19" i="3" s="1"/>
  <c r="X20" i="1"/>
  <c r="E19" i="3" s="1"/>
  <c r="AF20" i="1"/>
  <c r="M19" i="3" s="1"/>
  <c r="AN20" i="1"/>
  <c r="U19" i="3" s="1"/>
  <c r="V20" i="1"/>
  <c r="X8" i="1"/>
  <c r="E7" i="3" s="1"/>
  <c r="AF8" i="1"/>
  <c r="M7" i="3" s="1"/>
  <c r="AN8" i="1"/>
  <c r="U7" i="3" s="1"/>
  <c r="Y8" i="1"/>
  <c r="F7" i="3" s="1"/>
  <c r="AG8" i="1"/>
  <c r="N7" i="3" s="1"/>
  <c r="AO8" i="1"/>
  <c r="V7" i="3" s="1"/>
  <c r="AK8" i="1"/>
  <c r="R7" i="3" s="1"/>
  <c r="W8" i="1"/>
  <c r="D7" i="3" s="1"/>
  <c r="Z8" i="1"/>
  <c r="G7" i="3" s="1"/>
  <c r="AH8" i="1"/>
  <c r="O7" i="3" s="1"/>
  <c r="AP8" i="1"/>
  <c r="W7" i="3" s="1"/>
  <c r="AC8" i="1"/>
  <c r="J7" i="3" s="1"/>
  <c r="AA8" i="1"/>
  <c r="H7" i="3" s="1"/>
  <c r="AI8" i="1"/>
  <c r="P7" i="3" s="1"/>
  <c r="AQ8" i="1"/>
  <c r="X7" i="3" s="1"/>
  <c r="U8" i="1"/>
  <c r="B7" i="3" s="1"/>
  <c r="AB8" i="1"/>
  <c r="I7" i="3" s="1"/>
  <c r="AJ8" i="1"/>
  <c r="Q7" i="3" s="1"/>
  <c r="V8" i="1"/>
  <c r="C7" i="3" s="1"/>
  <c r="AM8" i="1"/>
  <c r="T7" i="3" s="1"/>
  <c r="AD8" i="1"/>
  <c r="K7" i="3" s="1"/>
  <c r="AL8" i="1"/>
  <c r="S7" i="3" s="1"/>
  <c r="AE8" i="1"/>
  <c r="L7" i="3" s="1"/>
  <c r="AC7" i="1"/>
  <c r="J6" i="3" s="1"/>
  <c r="AK7" i="1"/>
  <c r="R6" i="3" s="1"/>
  <c r="U7" i="1"/>
  <c r="B6" i="3" s="1"/>
  <c r="AE7" i="1"/>
  <c r="L6" i="3" s="1"/>
  <c r="AP7" i="1"/>
  <c r="W6" i="3" s="1"/>
  <c r="AD7" i="1"/>
  <c r="K6" i="3" s="1"/>
  <c r="AL7" i="1"/>
  <c r="S6" i="3" s="1"/>
  <c r="W7" i="1"/>
  <c r="D6" i="3" s="1"/>
  <c r="V7" i="1"/>
  <c r="C6" i="3" s="1"/>
  <c r="AM7" i="1"/>
  <c r="T6" i="3" s="1"/>
  <c r="AA7" i="1"/>
  <c r="H6" i="3" s="1"/>
  <c r="X7" i="1"/>
  <c r="E6" i="3" s="1"/>
  <c r="AF7" i="1"/>
  <c r="M6" i="3" s="1"/>
  <c r="AN7" i="1"/>
  <c r="U6" i="3" s="1"/>
  <c r="Y7" i="1"/>
  <c r="F6" i="3" s="1"/>
  <c r="AG7" i="1"/>
  <c r="N6" i="3" s="1"/>
  <c r="AO7" i="1"/>
  <c r="V6" i="3" s="1"/>
  <c r="AQ7" i="1"/>
  <c r="X6" i="3" s="1"/>
  <c r="Z7" i="1"/>
  <c r="G6" i="3" s="1"/>
  <c r="AH7" i="1"/>
  <c r="O6" i="3" s="1"/>
  <c r="AI7" i="1"/>
  <c r="P6" i="3" s="1"/>
  <c r="AB7" i="1"/>
  <c r="I6" i="3" s="1"/>
  <c r="AJ7" i="1"/>
  <c r="Q6" i="3" s="1"/>
  <c r="AD18" i="1"/>
  <c r="K17" i="3" s="1"/>
  <c r="AL18" i="1"/>
  <c r="S17" i="3" s="1"/>
  <c r="W18" i="1"/>
  <c r="D17" i="3" s="1"/>
  <c r="AE18" i="1"/>
  <c r="L17" i="3" s="1"/>
  <c r="AM18" i="1"/>
  <c r="T17" i="3" s="1"/>
  <c r="X18" i="1"/>
  <c r="E17" i="3" s="1"/>
  <c r="AF18" i="1"/>
  <c r="M17" i="3" s="1"/>
  <c r="AN18" i="1"/>
  <c r="U17" i="3" s="1"/>
  <c r="U18" i="1"/>
  <c r="B17" i="3" s="1"/>
  <c r="AQ18" i="1"/>
  <c r="X17" i="3" s="1"/>
  <c r="Y18" i="1"/>
  <c r="F17" i="3" s="1"/>
  <c r="AG18" i="1"/>
  <c r="N17" i="3" s="1"/>
  <c r="AO18" i="1"/>
  <c r="V17" i="3" s="1"/>
  <c r="Z18" i="1"/>
  <c r="G17" i="3" s="1"/>
  <c r="AH18" i="1"/>
  <c r="O17" i="3" s="1"/>
  <c r="AP18" i="1"/>
  <c r="W17" i="3" s="1"/>
  <c r="AI18" i="1"/>
  <c r="P17" i="3" s="1"/>
  <c r="AA18" i="1"/>
  <c r="H17" i="3" s="1"/>
  <c r="V18" i="1"/>
  <c r="C17" i="3" s="1"/>
  <c r="AB18" i="1"/>
  <c r="I17" i="3" s="1"/>
  <c r="AJ18" i="1"/>
  <c r="Q17" i="3" s="1"/>
  <c r="AC18" i="1"/>
  <c r="J17" i="3" s="1"/>
  <c r="AK18" i="1"/>
  <c r="R17" i="3" s="1"/>
  <c r="AD3" i="1"/>
  <c r="K2" i="3" s="1"/>
  <c r="AL3" i="1"/>
  <c r="S2" i="3" s="1"/>
  <c r="X3" i="1"/>
  <c r="E2" i="3" s="1"/>
  <c r="AN3" i="1"/>
  <c r="U2" i="3" s="1"/>
  <c r="V3" i="1"/>
  <c r="AK3" i="1"/>
  <c r="R2" i="3" s="1"/>
  <c r="W3" i="1"/>
  <c r="D2" i="3" s="1"/>
  <c r="AE3" i="1"/>
  <c r="L2" i="3" s="1"/>
  <c r="AM3" i="1"/>
  <c r="T2" i="3" s="1"/>
  <c r="AF3" i="1"/>
  <c r="M2" i="3" s="1"/>
  <c r="AA3" i="1"/>
  <c r="H2" i="3" s="1"/>
  <c r="AJ3" i="1"/>
  <c r="Q2" i="3" s="1"/>
  <c r="Y3" i="1"/>
  <c r="F2" i="3" s="1"/>
  <c r="AG3" i="1"/>
  <c r="N2" i="3" s="1"/>
  <c r="AO3" i="1"/>
  <c r="V2" i="3" s="1"/>
  <c r="AP3" i="1"/>
  <c r="W2" i="3" s="1"/>
  <c r="AQ3" i="1"/>
  <c r="X2" i="3" s="1"/>
  <c r="AB3" i="1"/>
  <c r="I2" i="3" s="1"/>
  <c r="Z3" i="1"/>
  <c r="G2" i="3" s="1"/>
  <c r="AH3" i="1"/>
  <c r="O2" i="3" s="1"/>
  <c r="AI3" i="1"/>
  <c r="P2" i="3" s="1"/>
  <c r="AC3" i="1"/>
  <c r="J2" i="3" s="1"/>
  <c r="U3" i="1"/>
  <c r="B2" i="3" s="1"/>
  <c r="I20" i="3"/>
  <c r="Q20" i="3"/>
  <c r="J20" i="3"/>
  <c r="R20" i="3"/>
  <c r="F20" i="3"/>
  <c r="K20" i="3"/>
  <c r="S20" i="3"/>
  <c r="V20" i="3"/>
  <c r="D20" i="3"/>
  <c r="L20" i="3"/>
  <c r="T20" i="3"/>
  <c r="E20" i="3"/>
  <c r="M20" i="3"/>
  <c r="U20" i="3"/>
  <c r="N20" i="3"/>
  <c r="B20" i="3"/>
  <c r="G20" i="3"/>
  <c r="O20" i="3"/>
  <c r="W20" i="3"/>
  <c r="H20" i="3"/>
  <c r="P20" i="3"/>
  <c r="X20" i="3"/>
  <c r="AD10" i="1"/>
  <c r="K9" i="3" s="1"/>
  <c r="AL10" i="1"/>
  <c r="S9" i="3" s="1"/>
  <c r="W10" i="1"/>
  <c r="D9" i="3" s="1"/>
  <c r="AE10" i="1"/>
  <c r="L9" i="3" s="1"/>
  <c r="AM10" i="1"/>
  <c r="T9" i="3" s="1"/>
  <c r="X10" i="1"/>
  <c r="E9" i="3" s="1"/>
  <c r="AF10" i="1"/>
  <c r="M9" i="3" s="1"/>
  <c r="AN10" i="1"/>
  <c r="U9" i="3" s="1"/>
  <c r="Y10" i="1"/>
  <c r="F9" i="3" s="1"/>
  <c r="AG10" i="1"/>
  <c r="N9" i="3" s="1"/>
  <c r="AO10" i="1"/>
  <c r="V9" i="3" s="1"/>
  <c r="Z10" i="1"/>
  <c r="G9" i="3" s="1"/>
  <c r="AH10" i="1"/>
  <c r="O9" i="3" s="1"/>
  <c r="AP10" i="1"/>
  <c r="W9" i="3" s="1"/>
  <c r="AA10" i="1"/>
  <c r="H9" i="3" s="1"/>
  <c r="AI10" i="1"/>
  <c r="P9" i="3" s="1"/>
  <c r="AQ10" i="1"/>
  <c r="X9" i="3" s="1"/>
  <c r="AB10" i="1"/>
  <c r="I9" i="3" s="1"/>
  <c r="AJ10" i="1"/>
  <c r="Q9" i="3" s="1"/>
  <c r="V10" i="1"/>
  <c r="C9" i="3" s="1"/>
  <c r="AC10" i="1"/>
  <c r="J9" i="3" s="1"/>
  <c r="AK10" i="1"/>
  <c r="R9" i="3" s="1"/>
  <c r="U10" i="1"/>
  <c r="B9" i="3" s="1"/>
  <c r="F48" i="1"/>
  <c r="T40" i="1" s="1"/>
  <c r="T4" i="1"/>
  <c r="F18" i="1"/>
  <c r="F19" i="1"/>
  <c r="F44" i="1" s="1"/>
  <c r="T36" i="1" s="1"/>
  <c r="F9" i="2"/>
  <c r="E22" i="2"/>
  <c r="C7" i="4" l="1"/>
  <c r="AA8" i="8"/>
  <c r="C16" i="9"/>
  <c r="AX16" i="8"/>
  <c r="AH16" i="8"/>
  <c r="AB16" i="8"/>
  <c r="F16" i="9" s="1"/>
  <c r="I16" i="9" s="1"/>
  <c r="AL16" i="8"/>
  <c r="AN16" i="8"/>
  <c r="AR16" i="8"/>
  <c r="AT16" i="8"/>
  <c r="AD16" i="8"/>
  <c r="AJ16" i="8"/>
  <c r="AP16" i="8"/>
  <c r="AV16" i="8"/>
  <c r="AF16" i="8"/>
  <c r="B16" i="9"/>
  <c r="W16" i="8"/>
  <c r="G16" i="8"/>
  <c r="M16" i="8"/>
  <c r="Q16" i="8"/>
  <c r="S16" i="8"/>
  <c r="Y16" i="8"/>
  <c r="I16" i="8"/>
  <c r="C16" i="8"/>
  <c r="E16" i="9" s="1"/>
  <c r="H16" i="9" s="1"/>
  <c r="O16" i="8"/>
  <c r="U16" i="8"/>
  <c r="E16" i="8"/>
  <c r="K16" i="8"/>
  <c r="C2" i="3"/>
  <c r="AA3" i="8" s="1"/>
  <c r="C3" i="9" s="1"/>
  <c r="I3" i="9" s="1"/>
  <c r="B9" i="4"/>
  <c r="B10" i="8"/>
  <c r="C11" i="9"/>
  <c r="AR11" i="8"/>
  <c r="AF11" i="8"/>
  <c r="AX11" i="8"/>
  <c r="AH11" i="8"/>
  <c r="AB11" i="8"/>
  <c r="F11" i="9" s="1"/>
  <c r="I11" i="9" s="1"/>
  <c r="AN11" i="8"/>
  <c r="AL11" i="8"/>
  <c r="AT11" i="8"/>
  <c r="AD11" i="8"/>
  <c r="AJ11" i="8"/>
  <c r="AP11" i="8"/>
  <c r="AV11" i="8"/>
  <c r="B7" i="4"/>
  <c r="B8" i="8"/>
  <c r="B11" i="9"/>
  <c r="Q11" i="8"/>
  <c r="W11" i="8"/>
  <c r="G11" i="8"/>
  <c r="M11" i="8"/>
  <c r="C11" i="8"/>
  <c r="E11" i="9" s="1"/>
  <c r="H11" i="9" s="1"/>
  <c r="S11" i="8"/>
  <c r="Y11" i="8"/>
  <c r="I11" i="8"/>
  <c r="O11" i="8"/>
  <c r="K11" i="8"/>
  <c r="U11" i="8"/>
  <c r="E11" i="8"/>
  <c r="C9" i="4"/>
  <c r="AA10" i="8"/>
  <c r="B3" i="8"/>
  <c r="B3" i="9" s="1"/>
  <c r="H3" i="9" s="1"/>
  <c r="AA7" i="8"/>
  <c r="C7" i="9" s="1"/>
  <c r="I7" i="9" s="1"/>
  <c r="C16" i="4"/>
  <c r="AA17" i="8"/>
  <c r="C17" i="9" s="1"/>
  <c r="AA6" i="8"/>
  <c r="C6" i="9" s="1"/>
  <c r="I6" i="9" s="1"/>
  <c r="B7" i="8"/>
  <c r="E7" i="8" s="1"/>
  <c r="C8" i="4"/>
  <c r="AA9" i="8"/>
  <c r="C9" i="9" s="1"/>
  <c r="B6" i="8"/>
  <c r="E6" i="8" s="1"/>
  <c r="AX14" i="8"/>
  <c r="AH14" i="8"/>
  <c r="AV14" i="8"/>
  <c r="AR14" i="8"/>
  <c r="AN14" i="8"/>
  <c r="AJ14" i="8"/>
  <c r="AF14" i="8"/>
  <c r="AB14" i="8"/>
  <c r="F14" i="9" s="1"/>
  <c r="I14" i="9" s="1"/>
  <c r="AD14" i="8"/>
  <c r="AP14" i="8"/>
  <c r="AT14" i="8"/>
  <c r="AL14" i="8"/>
  <c r="B8" i="4"/>
  <c r="B9" i="8"/>
  <c r="B9" i="9" s="1"/>
  <c r="B16" i="4"/>
  <c r="B17" i="8"/>
  <c r="B17" i="9" s="1"/>
  <c r="K14" i="8"/>
  <c r="C14" i="8"/>
  <c r="E14" i="9" s="1"/>
  <c r="H14" i="9" s="1"/>
  <c r="Y14" i="8"/>
  <c r="U14" i="8"/>
  <c r="Q14" i="8"/>
  <c r="M14" i="8"/>
  <c r="I14" i="8"/>
  <c r="E14" i="8"/>
  <c r="S14" i="8"/>
  <c r="W14" i="8"/>
  <c r="O14" i="8"/>
  <c r="G14" i="8"/>
  <c r="B19" i="4"/>
  <c r="B20" i="8"/>
  <c r="B20" i="9" s="1"/>
  <c r="H20" i="9" s="1"/>
  <c r="AD40" i="1"/>
  <c r="W40" i="1"/>
  <c r="X40" i="1"/>
  <c r="AF40" i="1"/>
  <c r="AN40" i="1"/>
  <c r="V40" i="1"/>
  <c r="Z40" i="1"/>
  <c r="AP40" i="1"/>
  <c r="AQ40" i="1"/>
  <c r="Y40" i="1"/>
  <c r="AG40" i="1"/>
  <c r="AO40" i="1"/>
  <c r="U40" i="1"/>
  <c r="AA40" i="1"/>
  <c r="AE40" i="1"/>
  <c r="AH40" i="1"/>
  <c r="AI40" i="1"/>
  <c r="AM40" i="1"/>
  <c r="AB40" i="1"/>
  <c r="AJ40" i="1"/>
  <c r="AC40" i="1"/>
  <c r="AK40" i="1"/>
  <c r="AL40" i="1"/>
  <c r="C19" i="3"/>
  <c r="B19" i="3"/>
  <c r="W47" i="1"/>
  <c r="D33" i="3" s="1"/>
  <c r="AE47" i="1"/>
  <c r="L33" i="3" s="1"/>
  <c r="AM47" i="1"/>
  <c r="T33" i="3" s="1"/>
  <c r="AA47" i="1"/>
  <c r="H33" i="3" s="1"/>
  <c r="AQ47" i="1"/>
  <c r="X33" i="3" s="1"/>
  <c r="U47" i="1"/>
  <c r="B33" i="3" s="1"/>
  <c r="B32" i="8" s="1"/>
  <c r="B32" i="9" s="1"/>
  <c r="AD47" i="1"/>
  <c r="K33" i="3" s="1"/>
  <c r="AL47" i="1"/>
  <c r="S33" i="3" s="1"/>
  <c r="X47" i="1"/>
  <c r="E33" i="3" s="1"/>
  <c r="AF47" i="1"/>
  <c r="M33" i="3" s="1"/>
  <c r="AN47" i="1"/>
  <c r="U33" i="3" s="1"/>
  <c r="AI47" i="1"/>
  <c r="P33" i="3" s="1"/>
  <c r="AK47" i="1"/>
  <c r="R33" i="3" s="1"/>
  <c r="Y47" i="1"/>
  <c r="F33" i="3" s="1"/>
  <c r="AG47" i="1"/>
  <c r="N33" i="3" s="1"/>
  <c r="AO47" i="1"/>
  <c r="V33" i="3" s="1"/>
  <c r="Z47" i="1"/>
  <c r="G33" i="3" s="1"/>
  <c r="AH47" i="1"/>
  <c r="O33" i="3" s="1"/>
  <c r="AP47" i="1"/>
  <c r="W33" i="3" s="1"/>
  <c r="AC47" i="1"/>
  <c r="J33" i="3" s="1"/>
  <c r="AB47" i="1"/>
  <c r="I33" i="3" s="1"/>
  <c r="AJ47" i="1"/>
  <c r="Q33" i="3" s="1"/>
  <c r="V47" i="1"/>
  <c r="C33" i="3" s="1"/>
  <c r="AA32" i="8" s="1"/>
  <c r="C32" i="9" s="1"/>
  <c r="AQ4" i="1"/>
  <c r="X3" i="3" s="1"/>
  <c r="U4" i="1"/>
  <c r="B3" i="3" s="1"/>
  <c r="AB4" i="1"/>
  <c r="I3" i="3" s="1"/>
  <c r="AJ4" i="1"/>
  <c r="Q3" i="3" s="1"/>
  <c r="AP4" i="1"/>
  <c r="W3" i="3" s="1"/>
  <c r="AA4" i="1"/>
  <c r="H3" i="3" s="1"/>
  <c r="AC4" i="1"/>
  <c r="J3" i="3" s="1"/>
  <c r="AK4" i="1"/>
  <c r="R3" i="3" s="1"/>
  <c r="AN4" i="1"/>
  <c r="U3" i="3" s="1"/>
  <c r="AI4" i="1"/>
  <c r="P3" i="3" s="1"/>
  <c r="AD4" i="1"/>
  <c r="K3" i="3" s="1"/>
  <c r="AL4" i="1"/>
  <c r="S3" i="3" s="1"/>
  <c r="AH4" i="1"/>
  <c r="O3" i="3" s="1"/>
  <c r="W4" i="1"/>
  <c r="D3" i="3" s="1"/>
  <c r="AE4" i="1"/>
  <c r="L3" i="3" s="1"/>
  <c r="AM4" i="1"/>
  <c r="T3" i="3" s="1"/>
  <c r="X4" i="1"/>
  <c r="E3" i="3" s="1"/>
  <c r="AF4" i="1"/>
  <c r="M3" i="3" s="1"/>
  <c r="V4" i="1"/>
  <c r="C3" i="3" s="1"/>
  <c r="Y4" i="1"/>
  <c r="F3" i="3" s="1"/>
  <c r="AG4" i="1"/>
  <c r="N3" i="3" s="1"/>
  <c r="AO4" i="1"/>
  <c r="V3" i="3" s="1"/>
  <c r="Z4" i="1"/>
  <c r="G3" i="3" s="1"/>
  <c r="W6" i="1"/>
  <c r="D5" i="3" s="1"/>
  <c r="AE6" i="1"/>
  <c r="L5" i="3" s="1"/>
  <c r="AM6" i="1"/>
  <c r="T5" i="3" s="1"/>
  <c r="V6" i="1"/>
  <c r="C5" i="3" s="1"/>
  <c r="X6" i="1"/>
  <c r="E5" i="3" s="1"/>
  <c r="AF6" i="1"/>
  <c r="M5" i="3" s="1"/>
  <c r="AN6" i="1"/>
  <c r="U5" i="3" s="1"/>
  <c r="AQ6" i="1"/>
  <c r="X5" i="3" s="1"/>
  <c r="AK6" i="1"/>
  <c r="R5" i="3" s="1"/>
  <c r="Y6" i="1"/>
  <c r="F5" i="3" s="1"/>
  <c r="AG6" i="1"/>
  <c r="N5" i="3" s="1"/>
  <c r="AO6" i="1"/>
  <c r="V5" i="3" s="1"/>
  <c r="AI6" i="1"/>
  <c r="P5" i="3" s="1"/>
  <c r="AL6" i="1"/>
  <c r="S5" i="3" s="1"/>
  <c r="Z6" i="1"/>
  <c r="G5" i="3" s="1"/>
  <c r="AH6" i="1"/>
  <c r="O5" i="3" s="1"/>
  <c r="AP6" i="1"/>
  <c r="W5" i="3" s="1"/>
  <c r="AA6" i="1"/>
  <c r="H5" i="3" s="1"/>
  <c r="AC6" i="1"/>
  <c r="J5" i="3" s="1"/>
  <c r="AB6" i="1"/>
  <c r="I5" i="3" s="1"/>
  <c r="AJ6" i="1"/>
  <c r="Q5" i="3" s="1"/>
  <c r="U6" i="1"/>
  <c r="B5" i="3" s="1"/>
  <c r="AD6" i="1"/>
  <c r="K5" i="3" s="1"/>
  <c r="T13" i="1"/>
  <c r="F43" i="1"/>
  <c r="F54" i="1" s="1"/>
  <c r="T14" i="1"/>
  <c r="O4" i="2"/>
  <c r="F22" i="2"/>
  <c r="R4" i="2" l="1"/>
  <c r="D24" i="3" s="1"/>
  <c r="Z4" i="2"/>
  <c r="L24" i="3" s="1"/>
  <c r="AH4" i="2"/>
  <c r="T24" i="3" s="1"/>
  <c r="Q4" i="2"/>
  <c r="Q12" i="2" s="1"/>
  <c r="S4" i="2"/>
  <c r="E24" i="3" s="1"/>
  <c r="AA4" i="2"/>
  <c r="M24" i="3" s="1"/>
  <c r="T4" i="2"/>
  <c r="F24" i="3" s="1"/>
  <c r="AB4" i="2"/>
  <c r="N24" i="3" s="1"/>
  <c r="AJ4" i="2"/>
  <c r="V24" i="3" s="1"/>
  <c r="U4" i="2"/>
  <c r="G24" i="3" s="1"/>
  <c r="AC4" i="2"/>
  <c r="AK4" i="2"/>
  <c r="W24" i="3" s="1"/>
  <c r="V4" i="2"/>
  <c r="AD4" i="2"/>
  <c r="P24" i="3" s="1"/>
  <c r="AL4" i="2"/>
  <c r="X24" i="3" s="1"/>
  <c r="W4" i="2"/>
  <c r="AE4" i="2"/>
  <c r="Q24" i="3" s="1"/>
  <c r="X4" i="2"/>
  <c r="J24" i="3" s="1"/>
  <c r="AF4" i="2"/>
  <c r="Y4" i="2"/>
  <c r="K24" i="3" s="1"/>
  <c r="AG4" i="2"/>
  <c r="AI4" i="2"/>
  <c r="U24" i="3" s="1"/>
  <c r="O3" i="8"/>
  <c r="K3" i="8"/>
  <c r="C3" i="8"/>
  <c r="E3" i="9" s="1"/>
  <c r="I3" i="8"/>
  <c r="E3" i="8"/>
  <c r="S3" i="8"/>
  <c r="M3" i="8"/>
  <c r="G3" i="8"/>
  <c r="W3" i="8"/>
  <c r="Q3" i="8"/>
  <c r="S6" i="8"/>
  <c r="K6" i="8"/>
  <c r="Q6" i="8"/>
  <c r="U6" i="8"/>
  <c r="Y6" i="8"/>
  <c r="G6" i="8"/>
  <c r="B10" i="9"/>
  <c r="K10" i="8"/>
  <c r="U10" i="8"/>
  <c r="Q10" i="8"/>
  <c r="C10" i="8"/>
  <c r="E10" i="9" s="1"/>
  <c r="H10" i="9" s="1"/>
  <c r="W10" i="8"/>
  <c r="G10" i="8"/>
  <c r="M10" i="8"/>
  <c r="S10" i="8"/>
  <c r="Y10" i="8"/>
  <c r="I10" i="8"/>
  <c r="E10" i="8"/>
  <c r="O10" i="8"/>
  <c r="B8" i="9"/>
  <c r="U8" i="8"/>
  <c r="E8" i="8"/>
  <c r="K8" i="8"/>
  <c r="Q8" i="8"/>
  <c r="W8" i="8"/>
  <c r="G8" i="8"/>
  <c r="I8" i="8"/>
  <c r="O8" i="8"/>
  <c r="M8" i="8"/>
  <c r="S8" i="8"/>
  <c r="C8" i="8"/>
  <c r="E8" i="9" s="1"/>
  <c r="H8" i="9" s="1"/>
  <c r="Y8" i="8"/>
  <c r="C10" i="9"/>
  <c r="AL10" i="8"/>
  <c r="AR10" i="8"/>
  <c r="AX10" i="8"/>
  <c r="AH10" i="8"/>
  <c r="AP10" i="8"/>
  <c r="AN10" i="8"/>
  <c r="AV10" i="8"/>
  <c r="AF10" i="8"/>
  <c r="AT10" i="8"/>
  <c r="AD10" i="8"/>
  <c r="AJ10" i="8"/>
  <c r="AB10" i="8"/>
  <c r="F10" i="9" s="1"/>
  <c r="I10" i="9" s="1"/>
  <c r="C8" i="9"/>
  <c r="AV8" i="8"/>
  <c r="AF8" i="8"/>
  <c r="AL8" i="8"/>
  <c r="AR8" i="8"/>
  <c r="AB8" i="8"/>
  <c r="F8" i="9" s="1"/>
  <c r="I8" i="9" s="1"/>
  <c r="AX8" i="8"/>
  <c r="AH8" i="8"/>
  <c r="AN8" i="8"/>
  <c r="AJ8" i="8"/>
  <c r="AP8" i="8"/>
  <c r="AT8" i="8"/>
  <c r="AD8" i="8"/>
  <c r="Y3" i="8"/>
  <c r="U3" i="8"/>
  <c r="M6" i="8"/>
  <c r="W6" i="8"/>
  <c r="I6" i="8"/>
  <c r="B6" i="9"/>
  <c r="H6" i="9" s="1"/>
  <c r="Y7" i="8"/>
  <c r="B7" i="9"/>
  <c r="H7" i="9" s="1"/>
  <c r="M7" i="8"/>
  <c r="S7" i="8"/>
  <c r="C18" i="4"/>
  <c r="AA19" i="8"/>
  <c r="C19" i="9" s="1"/>
  <c r="C7" i="8"/>
  <c r="E7" i="9" s="1"/>
  <c r="AJ3" i="8"/>
  <c r="AP3" i="8"/>
  <c r="AN3" i="8"/>
  <c r="AD3" i="8"/>
  <c r="AV3" i="8"/>
  <c r="AF3" i="8"/>
  <c r="AL3" i="8"/>
  <c r="AR3" i="8"/>
  <c r="AB3" i="8"/>
  <c r="F3" i="9" s="1"/>
  <c r="AX3" i="8"/>
  <c r="AH3" i="8"/>
  <c r="AT3" i="8"/>
  <c r="AN17" i="8"/>
  <c r="AF17" i="8"/>
  <c r="AX17" i="8"/>
  <c r="AT17" i="8"/>
  <c r="AP17" i="8"/>
  <c r="AL17" i="8"/>
  <c r="AH17" i="8"/>
  <c r="AD17" i="8"/>
  <c r="AV17" i="8"/>
  <c r="AJ17" i="8"/>
  <c r="AB17" i="8"/>
  <c r="F17" i="9" s="1"/>
  <c r="I17" i="9" s="1"/>
  <c r="AR17" i="8"/>
  <c r="U7" i="8"/>
  <c r="O7" i="8"/>
  <c r="Q7" i="8"/>
  <c r="W7" i="8"/>
  <c r="O6" i="8"/>
  <c r="AF9" i="8"/>
  <c r="AV9" i="8"/>
  <c r="AN9" i="8"/>
  <c r="AX9" i="8"/>
  <c r="AT9" i="8"/>
  <c r="AP9" i="8"/>
  <c r="AL9" i="8"/>
  <c r="AH9" i="8"/>
  <c r="AD9" i="8"/>
  <c r="AR9" i="8"/>
  <c r="AB9" i="8"/>
  <c r="F9" i="9" s="1"/>
  <c r="I9" i="9" s="1"/>
  <c r="AJ9" i="8"/>
  <c r="AL6" i="8"/>
  <c r="AR6" i="8"/>
  <c r="AV6" i="8"/>
  <c r="AX6" i="8"/>
  <c r="AH6" i="8"/>
  <c r="AB6" i="8"/>
  <c r="F6" i="9" s="1"/>
  <c r="AF6" i="8"/>
  <c r="AN6" i="8"/>
  <c r="AT6" i="8"/>
  <c r="AD6" i="8"/>
  <c r="AP6" i="8"/>
  <c r="AJ6" i="8"/>
  <c r="AR7" i="8"/>
  <c r="AV7" i="8"/>
  <c r="AL7" i="8"/>
  <c r="AX7" i="8"/>
  <c r="AH7" i="8"/>
  <c r="AF7" i="8"/>
  <c r="AN7" i="8"/>
  <c r="AT7" i="8"/>
  <c r="AD7" i="8"/>
  <c r="AB7" i="8"/>
  <c r="F7" i="9" s="1"/>
  <c r="AJ7" i="8"/>
  <c r="AP7" i="8"/>
  <c r="AA4" i="8"/>
  <c r="C4" i="9" s="1"/>
  <c r="I4" i="9" s="1"/>
  <c r="G7" i="8"/>
  <c r="I7" i="8"/>
  <c r="C6" i="8"/>
  <c r="E6" i="9" s="1"/>
  <c r="B5" i="8"/>
  <c r="B5" i="9" s="1"/>
  <c r="H5" i="9" s="1"/>
  <c r="AA5" i="8"/>
  <c r="C5" i="9" s="1"/>
  <c r="I5" i="9" s="1"/>
  <c r="B4" i="8"/>
  <c r="G4" i="8" s="1"/>
  <c r="K7" i="8"/>
  <c r="B18" i="4"/>
  <c r="B19" i="8"/>
  <c r="B19" i="9" s="1"/>
  <c r="I17" i="8"/>
  <c r="C17" i="8"/>
  <c r="E17" i="9" s="1"/>
  <c r="H17" i="9" s="1"/>
  <c r="M17" i="8"/>
  <c r="E17" i="8"/>
  <c r="Y17" i="8"/>
  <c r="W17" i="8"/>
  <c r="S17" i="8"/>
  <c r="O17" i="8"/>
  <c r="K17" i="8"/>
  <c r="G17" i="8"/>
  <c r="Q17" i="8"/>
  <c r="U17" i="8"/>
  <c r="S20" i="8"/>
  <c r="C20" i="8"/>
  <c r="E20" i="9" s="1"/>
  <c r="Q20" i="8"/>
  <c r="U20" i="8"/>
  <c r="O20" i="8"/>
  <c r="M20" i="8"/>
  <c r="K20" i="8"/>
  <c r="Y20" i="8"/>
  <c r="I20" i="8"/>
  <c r="W20" i="8"/>
  <c r="G20" i="8"/>
  <c r="E20" i="8"/>
  <c r="Y9" i="8"/>
  <c r="C9" i="8"/>
  <c r="E9" i="9" s="1"/>
  <c r="H9" i="9" s="1"/>
  <c r="E9" i="8"/>
  <c r="W9" i="8"/>
  <c r="S9" i="8"/>
  <c r="O9" i="8"/>
  <c r="K9" i="8"/>
  <c r="G9" i="8"/>
  <c r="U9" i="8"/>
  <c r="Q9" i="8"/>
  <c r="I9" i="8"/>
  <c r="M9" i="8"/>
  <c r="W13" i="1"/>
  <c r="D12" i="3" s="1"/>
  <c r="AE13" i="1"/>
  <c r="L12" i="3" s="1"/>
  <c r="AM13" i="1"/>
  <c r="T12" i="3" s="1"/>
  <c r="X13" i="1"/>
  <c r="E12" i="3" s="1"/>
  <c r="AF13" i="1"/>
  <c r="M12" i="3" s="1"/>
  <c r="AN13" i="1"/>
  <c r="U12" i="3" s="1"/>
  <c r="Y13" i="1"/>
  <c r="F12" i="3" s="1"/>
  <c r="AG13" i="1"/>
  <c r="N12" i="3" s="1"/>
  <c r="AO13" i="1"/>
  <c r="V12" i="3" s="1"/>
  <c r="AJ13" i="1"/>
  <c r="Q12" i="3" s="1"/>
  <c r="Z13" i="1"/>
  <c r="G12" i="3" s="1"/>
  <c r="AH13" i="1"/>
  <c r="O12" i="3" s="1"/>
  <c r="AP13" i="1"/>
  <c r="W12" i="3" s="1"/>
  <c r="V13" i="1"/>
  <c r="C12" i="3" s="1"/>
  <c r="AA13" i="1"/>
  <c r="H12" i="3" s="1"/>
  <c r="AI13" i="1"/>
  <c r="P12" i="3" s="1"/>
  <c r="AQ13" i="1"/>
  <c r="X12" i="3" s="1"/>
  <c r="AB13" i="1"/>
  <c r="I12" i="3" s="1"/>
  <c r="AC13" i="1"/>
  <c r="J12" i="3" s="1"/>
  <c r="AK13" i="1"/>
  <c r="R12" i="3" s="1"/>
  <c r="U13" i="1"/>
  <c r="B12" i="3" s="1"/>
  <c r="AD13" i="1"/>
  <c r="K12" i="3" s="1"/>
  <c r="AL13" i="1"/>
  <c r="S12" i="3" s="1"/>
  <c r="Z14" i="1"/>
  <c r="G13" i="3" s="1"/>
  <c r="AH14" i="1"/>
  <c r="O13" i="3" s="1"/>
  <c r="AP14" i="1"/>
  <c r="W13" i="3" s="1"/>
  <c r="AA14" i="1"/>
  <c r="H13" i="3" s="1"/>
  <c r="AI14" i="1"/>
  <c r="P13" i="3" s="1"/>
  <c r="AQ14" i="1"/>
  <c r="X13" i="3" s="1"/>
  <c r="AB14" i="1"/>
  <c r="I13" i="3" s="1"/>
  <c r="AJ14" i="1"/>
  <c r="Q13" i="3" s="1"/>
  <c r="V14" i="1"/>
  <c r="C13" i="3" s="1"/>
  <c r="AM14" i="1"/>
  <c r="T13" i="3" s="1"/>
  <c r="AO14" i="1"/>
  <c r="V13" i="3" s="1"/>
  <c r="AC14" i="1"/>
  <c r="J13" i="3" s="1"/>
  <c r="AK14" i="1"/>
  <c r="R13" i="3" s="1"/>
  <c r="AD14" i="1"/>
  <c r="K13" i="3" s="1"/>
  <c r="AL14" i="1"/>
  <c r="S13" i="3" s="1"/>
  <c r="U14" i="1"/>
  <c r="B13" i="3" s="1"/>
  <c r="AE14" i="1"/>
  <c r="L13" i="3" s="1"/>
  <c r="W14" i="1"/>
  <c r="D13" i="3" s="1"/>
  <c r="X14" i="1"/>
  <c r="E13" i="3" s="1"/>
  <c r="AF14" i="1"/>
  <c r="M13" i="3" s="1"/>
  <c r="AN14" i="1"/>
  <c r="U13" i="3" s="1"/>
  <c r="Y14" i="1"/>
  <c r="F13" i="3" s="1"/>
  <c r="AG14" i="1"/>
  <c r="N13" i="3" s="1"/>
  <c r="A61" i="1"/>
  <c r="T35" i="1"/>
  <c r="P4" i="2"/>
  <c r="I24" i="3"/>
  <c r="O24" i="3"/>
  <c r="H24" i="3"/>
  <c r="R24" i="3"/>
  <c r="S24" i="3"/>
  <c r="Q32" i="2" l="1"/>
  <c r="G5" i="8"/>
  <c r="E5" i="8"/>
  <c r="W5" i="8"/>
  <c r="K5" i="8"/>
  <c r="U5" i="8"/>
  <c r="O5" i="8"/>
  <c r="Y5" i="8"/>
  <c r="C5" i="8"/>
  <c r="E5" i="9" s="1"/>
  <c r="M5" i="8"/>
  <c r="M4" i="8"/>
  <c r="E4" i="8"/>
  <c r="U4" i="8"/>
  <c r="I5" i="8"/>
  <c r="Q5" i="8"/>
  <c r="Y4" i="8"/>
  <c r="B4" i="9"/>
  <c r="H4" i="9" s="1"/>
  <c r="S4" i="8"/>
  <c r="S5" i="8"/>
  <c r="AA13" i="8"/>
  <c r="C13" i="9" s="1"/>
  <c r="B13" i="8"/>
  <c r="B13" i="9" s="1"/>
  <c r="O4" i="8"/>
  <c r="W4" i="8"/>
  <c r="AA12" i="8"/>
  <c r="C12" i="9" s="1"/>
  <c r="K4" i="8"/>
  <c r="C4" i="8"/>
  <c r="E4" i="9" s="1"/>
  <c r="AV5" i="8"/>
  <c r="AF5" i="8"/>
  <c r="AL5" i="8"/>
  <c r="AB5" i="8"/>
  <c r="F5" i="9" s="1"/>
  <c r="AR5" i="8"/>
  <c r="AX5" i="8"/>
  <c r="AH5" i="8"/>
  <c r="AN5" i="8"/>
  <c r="AP5" i="8"/>
  <c r="AT5" i="8"/>
  <c r="AD5" i="8"/>
  <c r="AJ5" i="8"/>
  <c r="B12" i="8"/>
  <c r="W12" i="8" s="1"/>
  <c r="I4" i="8"/>
  <c r="Q4" i="8"/>
  <c r="AP4" i="8"/>
  <c r="AB4" i="8"/>
  <c r="F4" i="9" s="1"/>
  <c r="AV4" i="8"/>
  <c r="AF4" i="8"/>
  <c r="AL4" i="8"/>
  <c r="AD4" i="8"/>
  <c r="AR4" i="8"/>
  <c r="AT4" i="8"/>
  <c r="AJ4" i="8"/>
  <c r="AX4" i="8"/>
  <c r="AH4" i="8"/>
  <c r="AN4" i="8"/>
  <c r="AX19" i="8"/>
  <c r="AT19" i="8"/>
  <c r="AP19" i="8"/>
  <c r="AL19" i="8"/>
  <c r="AH19" i="8"/>
  <c r="AD19" i="8"/>
  <c r="AB19" i="8"/>
  <c r="F19" i="9" s="1"/>
  <c r="I19" i="9" s="1"/>
  <c r="AV19" i="8"/>
  <c r="AR19" i="8"/>
  <c r="AN19" i="8"/>
  <c r="AJ19" i="8"/>
  <c r="AF19" i="8"/>
  <c r="W19" i="8"/>
  <c r="S19" i="8"/>
  <c r="O19" i="8"/>
  <c r="K19" i="8"/>
  <c r="G19" i="8"/>
  <c r="C19" i="8"/>
  <c r="E19" i="9" s="1"/>
  <c r="H19" i="9" s="1"/>
  <c r="Y19" i="8"/>
  <c r="U19" i="8"/>
  <c r="Q19" i="8"/>
  <c r="M19" i="8"/>
  <c r="I19" i="8"/>
  <c r="E19" i="8"/>
  <c r="AD35" i="1"/>
  <c r="AL35" i="1"/>
  <c r="V35" i="1"/>
  <c r="AO35" i="1"/>
  <c r="AK35" i="1"/>
  <c r="W35" i="1"/>
  <c r="AE35" i="1"/>
  <c r="AM35" i="1"/>
  <c r="U35" i="1"/>
  <c r="AG35" i="1"/>
  <c r="X35" i="1"/>
  <c r="AF35" i="1"/>
  <c r="AN35" i="1"/>
  <c r="AQ35" i="1"/>
  <c r="AC35" i="1"/>
  <c r="Y35" i="1"/>
  <c r="Z35" i="1"/>
  <c r="AH35" i="1"/>
  <c r="AP35" i="1"/>
  <c r="AI35" i="1"/>
  <c r="AJ35" i="1"/>
  <c r="AA35" i="1"/>
  <c r="AB35" i="1"/>
  <c r="AB24" i="1" s="1"/>
  <c r="B11" i="4"/>
  <c r="C12" i="4"/>
  <c r="B12" i="4"/>
  <c r="C11" i="4"/>
  <c r="F34" i="3"/>
  <c r="N34" i="3"/>
  <c r="V34" i="3"/>
  <c r="G34" i="3"/>
  <c r="O34" i="3"/>
  <c r="W34" i="3"/>
  <c r="H34" i="3"/>
  <c r="P34" i="3"/>
  <c r="X34" i="3"/>
  <c r="Q34" i="3"/>
  <c r="C34" i="3"/>
  <c r="T34" i="3"/>
  <c r="E34" i="3"/>
  <c r="U34" i="3"/>
  <c r="I34" i="3"/>
  <c r="J34" i="3"/>
  <c r="R34" i="3"/>
  <c r="B34" i="3"/>
  <c r="K34" i="3"/>
  <c r="S34" i="3"/>
  <c r="D34" i="3"/>
  <c r="L34" i="3"/>
  <c r="M34" i="3"/>
  <c r="C24" i="3"/>
  <c r="B24" i="3"/>
  <c r="P12" i="2"/>
  <c r="AO24" i="1" l="1"/>
  <c r="V32" i="3" s="1"/>
  <c r="V24" i="1"/>
  <c r="C32" i="3" s="1"/>
  <c r="AH24" i="1"/>
  <c r="O32" i="3" s="1"/>
  <c r="AG24" i="1"/>
  <c r="N32" i="3" s="1"/>
  <c r="AL24" i="1"/>
  <c r="S32" i="3" s="1"/>
  <c r="AD24" i="1"/>
  <c r="K32" i="3" s="1"/>
  <c r="AM24" i="1"/>
  <c r="T32" i="3" s="1"/>
  <c r="AI24" i="1"/>
  <c r="P32" i="3" s="1"/>
  <c r="Z24" i="1"/>
  <c r="G32" i="3" s="1"/>
  <c r="I32" i="3"/>
  <c r="AC24" i="1"/>
  <c r="J32" i="3" s="1"/>
  <c r="AE24" i="1"/>
  <c r="L32" i="3" s="1"/>
  <c r="AP24" i="1"/>
  <c r="W32" i="3" s="1"/>
  <c r="Y24" i="1"/>
  <c r="F32" i="3" s="1"/>
  <c r="AQ24" i="1"/>
  <c r="X32" i="3" s="1"/>
  <c r="W24" i="1"/>
  <c r="D32" i="3" s="1"/>
  <c r="AF24" i="1"/>
  <c r="M32" i="3" s="1"/>
  <c r="X24" i="1"/>
  <c r="E32" i="3" s="1"/>
  <c r="U24" i="1"/>
  <c r="B32" i="3" s="1"/>
  <c r="AA24" i="1"/>
  <c r="H32" i="3" s="1"/>
  <c r="AJ24" i="1"/>
  <c r="Q32" i="3" s="1"/>
  <c r="AN24" i="1"/>
  <c r="U32" i="3" s="1"/>
  <c r="AK24" i="1"/>
  <c r="R32" i="3" s="1"/>
  <c r="K13" i="8"/>
  <c r="Q13" i="8"/>
  <c r="O13" i="8"/>
  <c r="M13" i="8"/>
  <c r="U13" i="8"/>
  <c r="Y13" i="8"/>
  <c r="B21" i="4"/>
  <c r="G13" i="8"/>
  <c r="W13" i="8"/>
  <c r="C13" i="8"/>
  <c r="E13" i="9" s="1"/>
  <c r="H13" i="9" s="1"/>
  <c r="C12" i="8"/>
  <c r="E12" i="9" s="1"/>
  <c r="H12" i="9" s="1"/>
  <c r="U12" i="8"/>
  <c r="S12" i="8"/>
  <c r="O12" i="8"/>
  <c r="B12" i="9"/>
  <c r="I12" i="8"/>
  <c r="M12" i="8"/>
  <c r="E13" i="8"/>
  <c r="S13" i="8"/>
  <c r="Q12" i="8"/>
  <c r="I13" i="8"/>
  <c r="AX12" i="8"/>
  <c r="AT12" i="8"/>
  <c r="AP12" i="8"/>
  <c r="AL12" i="8"/>
  <c r="AH12" i="8"/>
  <c r="AD12" i="8"/>
  <c r="AB12" i="8"/>
  <c r="F12" i="9" s="1"/>
  <c r="I12" i="9" s="1"/>
  <c r="AV12" i="8"/>
  <c r="AR12" i="8"/>
  <c r="AN12" i="8"/>
  <c r="AJ12" i="8"/>
  <c r="AF12" i="8"/>
  <c r="AA22" i="8"/>
  <c r="C22" i="9" s="1"/>
  <c r="I22" i="9" s="1"/>
  <c r="B22" i="8"/>
  <c r="Y12" i="8"/>
  <c r="G12" i="8"/>
  <c r="K12" i="8"/>
  <c r="E12" i="8"/>
  <c r="AX13" i="8"/>
  <c r="AB13" i="8"/>
  <c r="F13" i="9" s="1"/>
  <c r="I13" i="9" s="1"/>
  <c r="AP13" i="8"/>
  <c r="AH13" i="8"/>
  <c r="AV13" i="8"/>
  <c r="AR13" i="8"/>
  <c r="AN13" i="8"/>
  <c r="AJ13" i="8"/>
  <c r="AF13" i="8"/>
  <c r="AT13" i="8"/>
  <c r="AL13" i="8"/>
  <c r="AD13" i="8"/>
  <c r="H44" i="4" l="1"/>
  <c r="G22" i="8"/>
  <c r="B22" i="9"/>
  <c r="H22" i="9" s="1"/>
  <c r="M22" i="8"/>
  <c r="Y22" i="8"/>
  <c r="O22" i="8"/>
  <c r="E22" i="8"/>
  <c r="I22" i="8"/>
  <c r="U22" i="8"/>
  <c r="AR22" i="8"/>
  <c r="AB22" i="8"/>
  <c r="AL22" i="8"/>
  <c r="AN22" i="8"/>
  <c r="AV22" i="8"/>
  <c r="AF22" i="8"/>
  <c r="AP22" i="8"/>
  <c r="AX22" i="8"/>
  <c r="AJ22" i="8"/>
  <c r="AH22" i="8"/>
  <c r="AT22" i="8"/>
  <c r="AD22" i="8"/>
  <c r="Q22" i="8"/>
  <c r="W22" i="8"/>
  <c r="K22" i="8"/>
  <c r="C22" i="8"/>
  <c r="S22" i="8"/>
  <c r="Y48" i="1"/>
  <c r="Q35" i="3"/>
  <c r="Q36" i="3" s="1"/>
  <c r="AQ48" i="1"/>
  <c r="AG48" i="1"/>
  <c r="AK48" i="1"/>
  <c r="Z48" i="1"/>
  <c r="X35" i="3"/>
  <c r="X36" i="3" s="1"/>
  <c r="AE48" i="1"/>
  <c r="R35" i="3"/>
  <c r="R36" i="3" s="1"/>
  <c r="G35" i="3"/>
  <c r="G36" i="3" s="1"/>
  <c r="AA48" i="1"/>
  <c r="W35" i="3"/>
  <c r="W36" i="3" s="1"/>
  <c r="AN48" i="1"/>
  <c r="F35" i="3"/>
  <c r="F36" i="3" s="1"/>
  <c r="N35" i="3"/>
  <c r="N36" i="3" s="1"/>
  <c r="U35" i="3"/>
  <c r="U36" i="3" s="1"/>
  <c r="L35" i="3"/>
  <c r="L36" i="3" s="1"/>
  <c r="AL48" i="1"/>
  <c r="AP48" i="1"/>
  <c r="AF48" i="1"/>
  <c r="M35" i="3"/>
  <c r="M36" i="3" s="1"/>
  <c r="AO48" i="1"/>
  <c r="H35" i="3"/>
  <c r="H36" i="3" s="1"/>
  <c r="AB48" i="1"/>
  <c r="X48" i="1"/>
  <c r="AI48" i="1"/>
  <c r="V35" i="3"/>
  <c r="V36" i="3" s="1"/>
  <c r="I35" i="3"/>
  <c r="E35" i="3"/>
  <c r="E36" i="3" s="1"/>
  <c r="P35" i="3"/>
  <c r="P36" i="3" s="1"/>
  <c r="U48" i="1"/>
  <c r="AD48" i="1"/>
  <c r="AH48" i="1"/>
  <c r="AC48" i="1"/>
  <c r="AM48" i="1"/>
  <c r="W48" i="1"/>
  <c r="S35" i="3"/>
  <c r="S36" i="3" s="1"/>
  <c r="K35" i="3"/>
  <c r="K36" i="3" s="1"/>
  <c r="AJ48" i="1"/>
  <c r="O35" i="3"/>
  <c r="O36" i="3" s="1"/>
  <c r="J35" i="3"/>
  <c r="J36" i="3" s="1"/>
  <c r="T35" i="3"/>
  <c r="T36" i="3" s="1"/>
  <c r="D35" i="3"/>
  <c r="D36" i="3" s="1"/>
  <c r="F22" i="9" l="1"/>
  <c r="I45" i="4"/>
  <c r="E22" i="9"/>
  <c r="H45" i="4"/>
  <c r="I37" i="3"/>
  <c r="I36" i="3"/>
  <c r="B35" i="3"/>
  <c r="B36" i="3" s="1"/>
  <c r="C13" i="6" l="1"/>
  <c r="C20" i="3"/>
  <c r="W73" i="1"/>
  <c r="V48" i="1"/>
  <c r="C19" i="4" l="1"/>
  <c r="C21" i="4" s="1"/>
  <c r="AA20" i="8"/>
  <c r="C35" i="3"/>
  <c r="C36" i="3" s="1"/>
  <c r="D13" i="6" l="1"/>
  <c r="C20" i="9"/>
  <c r="AV20" i="8"/>
  <c r="AD20" i="8"/>
  <c r="AR20" i="8"/>
  <c r="AF20" i="8"/>
  <c r="AN20" i="8"/>
  <c r="AB20" i="8"/>
  <c r="F20" i="9" s="1"/>
  <c r="AT20" i="8"/>
  <c r="AX20" i="8"/>
  <c r="AJ20" i="8"/>
  <c r="AH20" i="8"/>
  <c r="AL20" i="8"/>
  <c r="AP20" i="8"/>
  <c r="I20" i="9" l="1"/>
  <c r="I44" i="4"/>
  <c r="Q31" i="8" l="1"/>
  <c r="U31" i="8"/>
  <c r="G31" i="8"/>
  <c r="K31" i="8"/>
  <c r="S31" i="8"/>
  <c r="I31" i="8"/>
  <c r="M31" i="8"/>
  <c r="C31" i="8"/>
  <c r="O31" i="8"/>
  <c r="E31" i="8"/>
  <c r="Y31" i="8"/>
  <c r="W31" i="8"/>
  <c r="G32" i="8"/>
  <c r="M32" i="8"/>
  <c r="W32" i="8"/>
  <c r="I32" i="8"/>
  <c r="E32" i="8"/>
  <c r="K32" i="8"/>
  <c r="U32" i="8"/>
  <c r="O32" i="8"/>
  <c r="Q32" i="8"/>
  <c r="Y32" i="8"/>
  <c r="S32" i="8"/>
  <c r="C32" i="8"/>
  <c r="E32" i="9" s="1"/>
  <c r="H32" i="9" s="1"/>
  <c r="AD32" i="8"/>
  <c r="AL32" i="8"/>
  <c r="AT32" i="8"/>
  <c r="AN32" i="8"/>
  <c r="AF32" i="8"/>
  <c r="AR32" i="8"/>
  <c r="AX32" i="8"/>
  <c r="AH32" i="8"/>
  <c r="AP32" i="8"/>
  <c r="AV32" i="8"/>
  <c r="AB32" i="8"/>
  <c r="F32" i="9" s="1"/>
  <c r="I32" i="9" s="1"/>
  <c r="AJ32" i="8"/>
  <c r="AN31" i="8"/>
  <c r="AH31" i="8"/>
  <c r="AF31" i="8"/>
  <c r="AF34" i="8" s="1"/>
  <c r="E43" i="8" s="1"/>
  <c r="AJ31" i="8"/>
  <c r="AP31" i="8"/>
  <c r="AP34" i="8" s="1"/>
  <c r="F44" i="8" s="1"/>
  <c r="AD31" i="8"/>
  <c r="AV31" i="8"/>
  <c r="AR31" i="8"/>
  <c r="AX31" i="8"/>
  <c r="AT31" i="8"/>
  <c r="AB31" i="8"/>
  <c r="AL31" i="8"/>
  <c r="AJ34" i="8" l="1"/>
  <c r="C44" i="8" s="1"/>
  <c r="AL34" i="8"/>
  <c r="D44" i="8" s="1"/>
  <c r="AV34" i="8"/>
  <c r="E45" i="8" s="1"/>
  <c r="M34" i="8"/>
  <c r="D39" i="8" s="1"/>
  <c r="AT34" i="8"/>
  <c r="D45" i="8" s="1"/>
  <c r="K34" i="8"/>
  <c r="C39" i="8" s="1"/>
  <c r="AD34" i="8"/>
  <c r="D43" i="8" s="1"/>
  <c r="E34" i="8"/>
  <c r="D38" i="8" s="1"/>
  <c r="C34" i="8"/>
  <c r="E31" i="9"/>
  <c r="I34" i="8"/>
  <c r="F38" i="8" s="1"/>
  <c r="AX34" i="8"/>
  <c r="F45" i="8" s="1"/>
  <c r="AN34" i="8"/>
  <c r="E44" i="8" s="1"/>
  <c r="S34" i="8"/>
  <c r="C40" i="8" s="1"/>
  <c r="W34" i="8"/>
  <c r="E40" i="8" s="1"/>
  <c r="AR34" i="8"/>
  <c r="C45" i="8" s="1"/>
  <c r="Y34" i="8"/>
  <c r="F40" i="8" s="1"/>
  <c r="G34" i="8"/>
  <c r="E38" i="8" s="1"/>
  <c r="F31" i="9"/>
  <c r="AB34" i="8"/>
  <c r="U34" i="8"/>
  <c r="D40" i="8" s="1"/>
  <c r="AH34" i="8"/>
  <c r="F43" i="8" s="1"/>
  <c r="O34" i="8"/>
  <c r="E39" i="8" s="1"/>
  <c r="Q34" i="8"/>
  <c r="F39" i="8" s="1"/>
  <c r="E34" i="9" l="1"/>
  <c r="H31" i="9"/>
  <c r="H34" i="9" s="1"/>
  <c r="C43" i="8"/>
  <c r="F34" i="9"/>
  <c r="I31" i="9"/>
  <c r="I34" i="9" s="1"/>
  <c r="C38" i="8"/>
  <c r="I36" i="9" l="1"/>
  <c r="H36" i="9"/>
</calcChain>
</file>

<file path=xl/sharedStrings.xml><?xml version="1.0" encoding="utf-8"?>
<sst xmlns="http://schemas.openxmlformats.org/spreadsheetml/2006/main" count="442" uniqueCount="179">
  <si>
    <t>thickness (nm)</t>
  </si>
  <si>
    <t>area (m2)</t>
  </si>
  <si>
    <t>density (kg/m3)</t>
  </si>
  <si>
    <t>utilization efficiency</t>
  </si>
  <si>
    <t>mass (kg)</t>
  </si>
  <si>
    <t>note</t>
  </si>
  <si>
    <t>Substrate patterning</t>
  </si>
  <si>
    <t>FTO glass</t>
  </si>
  <si>
    <t>-</t>
  </si>
  <si>
    <t>Substrate</t>
  </si>
  <si>
    <t>Ethanol</t>
  </si>
  <si>
    <t>Cleaning</t>
  </si>
  <si>
    <t>Deionized water</t>
  </si>
  <si>
    <t>Blocking layer deposition</t>
  </si>
  <si>
    <t>BL-TiO2 ink</t>
  </si>
  <si>
    <t>density of ethanol</t>
  </si>
  <si>
    <t>ETL deposition</t>
  </si>
  <si>
    <t>Perovskite layer deposition</t>
  </si>
  <si>
    <t>PbI2</t>
  </si>
  <si>
    <t>HTL deposition</t>
  </si>
  <si>
    <t>Cathode deposition</t>
  </si>
  <si>
    <t>Direct emissions</t>
  </si>
  <si>
    <t>Mass of module</t>
  </si>
  <si>
    <t>Solvent of TiO2 paste</t>
  </si>
  <si>
    <t>TiO2</t>
  </si>
  <si>
    <t>Acetonitrile</t>
  </si>
  <si>
    <t>0.1 M</t>
  </si>
  <si>
    <t>uL</t>
  </si>
  <si>
    <t>cm2</t>
  </si>
  <si>
    <t>m2</t>
  </si>
  <si>
    <t>L</t>
  </si>
  <si>
    <t>spiro-OMeTAD</t>
  </si>
  <si>
    <t>Chlorobenzene</t>
  </si>
  <si>
    <t>FAI</t>
  </si>
  <si>
    <t>MABr</t>
  </si>
  <si>
    <t>PbBr2</t>
  </si>
  <si>
    <t>DMF</t>
  </si>
  <si>
    <t>DMSO</t>
  </si>
  <si>
    <t>4-tert-Butylpyridine</t>
  </si>
  <si>
    <t>mol</t>
  </si>
  <si>
    <t>FK209</t>
  </si>
  <si>
    <t>Isopropanol</t>
  </si>
  <si>
    <t>Carbon footprint</t>
  </si>
  <si>
    <t>Primary energy consumption</t>
  </si>
  <si>
    <t xml:space="preserve">ReCiPe Midpoint (E) </t>
  </si>
  <si>
    <t>ReCiPe Endpoint (E,A)</t>
  </si>
  <si>
    <t>agricultural land occupation</t>
  </si>
  <si>
    <t>climate change</t>
  </si>
  <si>
    <t>fossil depletion</t>
  </si>
  <si>
    <t>freshwater ecotoxicity</t>
  </si>
  <si>
    <t>freshwater eutrophication</t>
  </si>
  <si>
    <t>human toxicity</t>
  </si>
  <si>
    <t>ionising radiation</t>
  </si>
  <si>
    <t>marine ecotoxicity</t>
  </si>
  <si>
    <t>marine eutrophication</t>
  </si>
  <si>
    <t>metal depletion</t>
  </si>
  <si>
    <t>natural land transformation</t>
  </si>
  <si>
    <t>ozone depletion</t>
  </si>
  <si>
    <t>particulate matter formation</t>
  </si>
  <si>
    <t>photochemical oxidant formation</t>
  </si>
  <si>
    <t>terrestrial acidification</t>
  </si>
  <si>
    <t>terrestrial ecotoxicity</t>
  </si>
  <si>
    <t>urban land occupation</t>
  </si>
  <si>
    <t>water depletion</t>
  </si>
  <si>
    <t>ecosystem quality</t>
  </si>
  <si>
    <t>human health</t>
  </si>
  <si>
    <t>resources</t>
  </si>
  <si>
    <t>Direcet process energy</t>
  </si>
  <si>
    <t>Power (W)</t>
  </si>
  <si>
    <t>Time (s)</t>
  </si>
  <si>
    <t>Electricity consumption (MJ)</t>
  </si>
  <si>
    <t>Sonication</t>
  </si>
  <si>
    <t>Spray pyrolysis</t>
  </si>
  <si>
    <t>Calcining</t>
  </si>
  <si>
    <t>1st-step spin coating</t>
  </si>
  <si>
    <t>2nd-step spin coating</t>
  </si>
  <si>
    <t>Drying</t>
  </si>
  <si>
    <t>Hole transporter layer deposition</t>
  </si>
  <si>
    <t>Electrode deposition</t>
  </si>
  <si>
    <t>Thermal evaporation</t>
  </si>
  <si>
    <t>Total</t>
  </si>
  <si>
    <t>kWh</t>
  </si>
  <si>
    <t>UV/O3 cleaning</t>
  </si>
  <si>
    <t>power</t>
  </si>
  <si>
    <t>rate  ml/s</t>
  </si>
  <si>
    <t>time</t>
  </si>
  <si>
    <t>mp-TiO2 spin coating</t>
  </si>
  <si>
    <t>Electricity consumption (kWh)</t>
  </si>
  <si>
    <t>Spiro-OMeTAD spin coating</t>
  </si>
  <si>
    <t>wastewater</t>
  </si>
  <si>
    <t>air</t>
  </si>
  <si>
    <t>molar ratio</t>
  </si>
  <si>
    <t>mass</t>
  </si>
  <si>
    <t>Treatment</t>
  </si>
  <si>
    <t>item</t>
  </si>
  <si>
    <t>unit</t>
  </si>
  <si>
    <t>module 1</t>
  </si>
  <si>
    <t>Insolation</t>
  </si>
  <si>
    <t>kWh/m2/yr</t>
  </si>
  <si>
    <t>EPBT</t>
  </si>
  <si>
    <t>performance ratio</t>
  </si>
  <si>
    <t>CO2 emission factor</t>
  </si>
  <si>
    <t>module efficiency</t>
  </si>
  <si>
    <t>epsilon</t>
  </si>
  <si>
    <t>MJ/kWh</t>
  </si>
  <si>
    <t>lifetime</t>
  </si>
  <si>
    <t>yr</t>
  </si>
  <si>
    <t>primary energy consumption</t>
  </si>
  <si>
    <t>MJ/m2</t>
  </si>
  <si>
    <t>CO2</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</si>
  <si>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</si>
  <si>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</si>
  <si>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</si>
  <si>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</si>
  <si>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</si>
  <si>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</si>
  <si>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</si>
  <si>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</si>
  <si>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</si>
  <si>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</si>
  <si>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</si>
  <si>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</si>
  <si>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b381d8ac-5bae-45d2-bae9-ce2f79d122a3</t>
  </si>
  <si>
    <t>CB_Block_7.0.0.0:1</t>
  </si>
  <si>
    <t>Decisioneering:7.0.0.0</t>
  </si>
  <si>
    <t>CB_Block_0</t>
  </si>
  <si>
    <t>208da5f2-eda1-41d0-b81b-4e857c35f51e</t>
  </si>
  <si>
    <t>㜸〱敤㕣㕢㙣ㅣ㔷ㄹ摥㤹摤㔹敦慣敤搸㡤搳㑢㐲㥢㥡㤶搲㌶づ㙥㥣㌶㤴ㄶ㐲敡㑢㜳挳㠹摤搸㐹㐱㔰㙤挶扢㘷散㘹㜶㘶摣㤹㔹挷㉥㤵㕡愰〵㜱㉢㔰愹㔴㉤攵愲ち㈱昱挲攵㠵㙢㕦㤰㤰㐰㈸㐸㍣㠰〴ㄲて愵㐲㈰〴㐲㤱㄰㠲〷㈴昸扥㌳㌳扢戳扢摥戱扢㙤挱㐵㍥改ㅥ㥦㌹户㌹攷扦㥦晦㍦搳㡣㤲挹㘴晥㡤挴扦㑣㌹ㄶ慥㥤㕢昳〳㘱㡦㑥扡搵慡㈸〷㤶敢昸愳攳㥥㘷慣㑤㕢㝥㤰㐵㠷㝣挹㐲扢慦㤵㝣敢㘱㔱㈸慤〸捦㐷㈷㉤㤳㈹ㄴ㜴ㄵ敤㥣㠴扦挱昸㐱攷愸扥ㅣ戲昹挹㠹㤹㠵〷㌱敢㕣攰㝡㘲晦昰戹㜰散攱戱戱搱戱搱㍢敥ㅣ㝢晢攸㠱晤挳㤳戵㙡㔰昳挴㘱㐷搴〲捦愸敥ㅦ㥥慤㉤㔴慤昲㝢挴摡扣㝢㐱㌸㠷挵挲㠱摢ㄷ㡣㍢摥㌱㜶挷愱㐳收㕤㜷扤愳て慦捥㥣㥥㥣㤸昵㠴改扦㐶㜳㙡㕣昲ㅤ㔳愲㙣㜱㙦㐲㜸㤶戳㌸㍡㌹㠱晦ㄲ敢挷搳㥤愳㜳㑢㐲〴㝣戵昰㠴㔳ㄶ扥㡥㠱扤昶戸敦搷散㘵〲㑦户㡦㘲慢㘵挳て㌴㝢㔲㔴慢扡ㅤ捦㕡戰㘷〰扢慡戱搶㘷捦〹挷户〲㙢挵ち搶昲昶㍣㈶慡昴摢㘷㝤㜱挶㜰ㄶ挵㘹挳ㄶ㥡㝤慣㘶㔵㜲㘱捡㘴㙦㡥愷㐸㉥㑣㙥㝦㜴摣户㈷㤷っ㑦慥挸㈷㘰㔲晡ㅥ昵捡捤㝤㙦散㍣㉦㤷㉥摦挰㌹㙦敡摣て㉤攷っ慦摥㜳愴㜳捦㘸昳捤㉢戸慤㜳晦〴㡣㥡挷摣摡㜹㡣〴㘵㜳㙦愵㌷愲㙦〹㔱㙣㐶捦㌳敢㘱㔶㘰㐶〴敡㐵㘶扤捣晡㤰㈹戹扦㠱㑢㤲〳搹愴㤶っ戵戴愰㤶捡㙡愹愲㤶㠴㕡㌲搵搲愲㕡㕡㔲㑢㤶㕡㝡㔰㉤㕤㐰㥦㌸ㄵ㝡㝡搴㈸晤晤挸慦㙦ㅤ扦敥㔷昷㝣改攴㥦昶晥攳挹㜱扦㙦〷㍡摤ㄷ㉤㙡捡㌳㉥㠲搴ㅡ㔴㝣㜰昴〰晦㙤捣ㄵ㘰ち昳㤰㜹愷㌹㌶㔶㌹㜴挰戸摤搰戸慤ㄴ攴㌷ㄱ捡㈰晡昶㤹昷㕢㑥挵扤㈸㜱㜷敤㠴攱㡢〶攰㐶愲戶〹户收㔴晣㌷慤摦㌸ㄷㄸ㠱搸搳摡搶㤸愴㙤搸ㅣ搸㑡昸昲㝤㝢㕢㠷㥤㌳慡㌵㌱扥㙡㠵捤搷戵㌴摢戳㥥扢搰戹昵愸㈷ㅥ慡户戶慤㘸ㅣ㐲㙤㐵捥摤戶换戰㈹㕣搷昰攴㤲敢ぢ㐷㉥㙦挴㥥戵捡ㄷ㠴㌷㈷㈸ㄲ㐵㐵㙥昵㑡㌶㐵㕣㍦㌲攳㘰愳攰搶捡つ挹㕡昳摥搵〰捣㉣㉡㔸敦戲昰㠲戵㜹㘳愱㉡慥㙡敡ㄲ扥ㄳつ扢㥢慡㡦扡攵㥡㍦改㍡㠱攷㔶㥢㕢挶㉢㉢〶㈴㑤攵㤴㕢ㄱ戹㕣㐶ち〵〸摣㙣㔶㔱㌲晢㍡昳㠲㐴㐴〲挵㘴攴㙢㥡挹㙥昴っ㜶㠷㕤㔴〵㘹㔲㝤换〶㤳㜱扤㔲挶愴㜰㘰㘲㑦搴ㅦ㝣改㉤ㅢ㑣㕢挷摣敢摢㔹㔵㠷愲摤摦扢㈲㥣攰戸攱㔴慡挲㑢搵㝥ち㔷愴て㈰搳㉥㐳㈰㜴㠴ㅥ㔵㥤戲慡慣㘹ㄷ慤㑡戰㤴㕦ㄲ搶攲㔲㠰㍡㘸挸㐲㠱愰㙤㑢晡ㄵ愸搲㜷㌲ㅢ㐲㔶㉣㘶昲扢搸㈹㕦㐴捡㘸㤴㑥㈹扣摣㈴挸㌹慥㠹㤷晢捣愳㔶㌵㄰愱㔰ㅥ㌰㠱㤱㔰慢㐹昴昵㤳㐴㍤愳ㅣ㉡㡣㕤收㈴愸搴戰㥣㘰慤挱户㙤㕣ㄲㄲ搱戶㉣搸㜲戲㠰愲愰㔹ㅥ愴昰ㅡ㠸愶㐵ㅡ愴㜷㑥㄰ㄱ搹㈰㐵戳㘳收㘶㈲㘳晦ㄴㄹ㠱晥㐹㈲㘴敦〳㥤㘵〴㠹扤㥤㐸㌹愸㈳㍦㙥㑢戳昵㙣昹㔰㥡㕤〹挰改㔷㌱扢㥡搹㌵捣㜶㈳㔳晥〰〹㐷㈹㠷㜲㜳搲摦㠴㘷晤㕡㘶搷㈱㠳㝣搲㈹㜳㈲㔱㐵ㅢ㙡㌳㜶㈴晢昵挳㑥㤶㐶㜱㈸㡡㘸ㄹ搷敤捣㝥㕢㈲㍡戲㍡户㠶慥捤㐹ㅤ晢搶捥戴㤹摣づ㈹㌲愵㙢㜲慦ㅢ㜴㑤〲㠲㕤扢搴㕢搷㘳愸㍥捣散捤挸㡡晡つ捣愱㕣㘸昰㙥捥愲愷㐹昹㠶㌰㡢㐲㘳愸㑢〵ㅦㄱ㌲㡦〰㈹㐲慥敤昸戲㙤㐳搳ㅣㅣ㌱摦昰㌶昴晥捥晣ㅤ㈱扤㐵㙦㙥敢ㅤ晡㡢㕥愱ㄵ㝤㈳搸㑢昹㙤㐷ㅤ㜳ㄳ㥡昵户㌲扢ㄹ㔹㡢㡥攱改晢㤵㝡ち愴㔹㙣㈷㌰户㤳㕥ㄷ㘹攵捥慦㉤ぢ愹㠱晡捣㜹挳㕢ㄴ〱㍣ㄸ㈷愶㘰ぢ扢㥥㈷慡㌸搴㔶㘴〵捦㉦㔷㌷㔷晡㐷㍤搷㘶晤戶㡤散扦㈱ㄴ㐳㉥愷㘶㌳㉤㌶㜲㡡慤㤹昰㌹㈵㈸㠷㍡昸昶捥㐲㈲㌱愸㤹扣㌸㉥晤㝣戹㉤㐹扡㤰㈴户〲慣晡㍥㘴㤰ㄲ捡慦㍡㑡㤴晤散昶㌶搹慤搹㘲愵㠷㉦攵㜴搲攲㐳㙣㤳㈳扤愱挳㜶〲晥〳扦摦㥥戳散扡戰攸戵㘷㠵㔷㠶㙦挱慡㡡㘲攸㤶愵愸搹㤶ㄵ㙦㄰㔹㤱捤戶㥤愷㔳晣㙢㤲㑥㕡愴㐴㉡户愷㌶愶㥣挵ㅢ㐴㐵㌷㈴㠵㑡㡡㙢愸㉥㠱㐸㜹散扢㉤㘲扡㄰㌱户〱㜰晡〱㘶㘳捣づ㈲搳㝥づ㐹戳㔹挰㌳ㅣ搶戳㐲㤷㜶愹㤴㈹㄰つ搲㐵㜸愹愳戰㍡挴搷扣㥤搹㥤挸㕡捣ㅦ㍡㈰㔳〸㔱愲㍣㐱㠸㌲㡣㘱㥥戳挴㐵搲挰づㄳ㠱愵挹㥡ㅦ戸㌶㈳㑢晤收㤴㝢摡つ愶㉣㝦ㄹ㤱愸㈱㌳㉡摣扦㈴ㅣ㔰㤷〷摢愷愵捥㕤㕥ㄶㄵ摤㥣㜳㙢㄰㙤㈷愶戶挲挱ㅣ攰㠰㉤㈹捦收慡㠲搴摤昹ㄸ㔳㈸㠰戴昴户搲ㅢ扢㈹敦㌷て㝤〳つ㠸捥㕢㐱㔵昴㥡㈱搳戱㕣㌰〱㐵㐴づ㉡㍤收晣㤲㈷挴㔴扦㜹捣戳㉡㔵换ㄱ㐴〶㙣㑣〶敢愶挵㈲愲〴戳㉥㘳㠰慥搳㙦捥㝢㠶攳㉦ㅢっ㈸慥敤㙣㝡㤲㘱ㄱ捤㥣戰ㅣㅦ慦㤱㔸㘴㜹挰㥣㕢㜲㉦㈲㘲㕢戳㥤㘳挶戲扦㈵戰㐲愲て㤳㐴㡤愲㉡慡慡ㄴ搴㐲户昸攱㠱㍣㤳㈱敦攵㤸㐹㕣㘵㌴晡捣㔳戴㌷敤晡㈸㐶㐳㍢㥤㙢敡㐳昴愸㕥㤹㑤㤵挲攴㔴晤㉥㡥戹ㅢ搹挹㘳㘷㑦㌴㈲㜳慦㉡㘶慤搱换㥦㈲攳㈵㔹搴〳㈱昴搱敤〸㐹㠵㜵愴ㅣ㜰㈰㌰捥愷㔶昲㉢㥡戲て愹㙦㐷愳㜸ㄴ㤱愴㍥㜳摡㔸㄰㔵挴愳㙤㈳搸ㄱ㍥搰㡣戵㡤慡ㅦ戵㑤扡戶㙤㤰戴㐸㤶㜳㘵㠳ㄴ㍣㕥ぢ摣㔳㤶愳㥢挸㈴晤㐵㔵挶㉡慡㡣㔵㔹搵㘷㥥㘱㘸㔰㤶㌹㤷扢㘸㜸㔶戰㘴㕢攵〲ㅦㄸ扥摢ㄲ㌴〹㈶愷攴㡤㔳㉣㌳㠶㕢慣昹戳㌰搹晣㔱愰㝢ㄴ㜲㤴愰㈳晡㐱戹慡㤲挷㍦愵㑢挷ㄲ〴㡣昴㤴敡敦挲㙣㥡扣ㅤ〱㤱㈳搳攵昸づ挶攵㐷㔱ㄳち㈱㘲㍤㠵㐴攰ㄵ㑣〸㜹扡戸昳收㔹挷ち㠰㍤㘲散愸ㄵ㑣昹㐰㌹㌲ㄴ攵昱㜶㡦挴㙡㘲搰㐸㕤㉢㕣摦摥搴愴㈶昶戶户㈷昵挶㕢搶㘹づ㌵㑡㐲㤱㙣搴㐹㙡㤶㜵搶戸㤵㔴㡤㈲ㄵ㜷慣㙤㤴㌴户㘹〳敥㤴㈲慦㐲㌱㐹㥡挹攸敦㤶㠴㠲㐰㙦愴愳攸戳㑦㈷㡦㐴挴㠶㌶㐰㤱㝡㉡慣敢㡦㐲㠲㈷㜰敤愴㈲㡡搱ㄳ昸㝢㐷㔴㥣愹〵㑤㉤挶敡㔰搴㌲㕥慤捥㌸戰ㄲ捡㠶㔷搹㈲㉣㡤扤㠵ㅡ㐶㜲㘷户摡㍦〴㙦㠲ㄱ㈳㌶㘴㔸㈴挵てっ㌶〴㜳㈵㈲慡戴捥晡〹敡㝡㜵㠱㑦愷㠴攱㐸っ捣〵㤵㈹戱㈲捤戰㠶㈵㍦㈴〷搴㑦㡢㔲㡥敡收昸㠲て㤵ㅥ㔰㡥㐷㈵挹攰扡㜹㠶㙥㈹㕣㘲㠰搸㡤㑡戳攵〰愱摤晡〴㍣ㄹ㙣ㅤ散〰㈲㘱攸㠴搶ㄹ㈵㘸㍥㠵㜰㥢㌷㐱摥改ㄲ愳㄰愴愶㑣㝦㍤愲㍣昷㉣搳搷㡦㘴攲㐲挴㐴っ㜷愵㔸て㐰㙥㌲㌲㐹㉥ㅡ㡡〳收愱㘴㤳㐲慢㉦慥愳㠹搱㑦㤳捦ぢ㜰㡢㠷戱慣〱戲㑤ㄵ昷摣〲ぢ摡戴扡戶挳㍣攱㤴慢戵㡡㤰慡㌸㤶搵㔲㈳㙦〹㝣挹㉢㠰㈱㌷愵挰㈵〲捡〹ㅣ愵戸㘵㈲愹㝢扢㕢㍦㠲攱㔲挸㘱㡥㔰昵㌱〰㤹攲㤶㤳〱戱戶㝢ち戴て㜷㌶㉥㌰挸换㜳㄰㘹㙤㔵㤴㘵搳戸㡦㔷㡦㈲㑢㙥㑢㜴㥢㜶愷㕤摡散㠹慡攳㔶㔸戵㈵㜰㠴㝤㠶〲㉦㥦㠷㌱搲㈵㜷㜰㤲捣攵㈸扡㝢昹㔱昹㤸戹っ㔴㐸っ㈸㡣昱昲ㄴ㤴〱㔴挱㐸㌴戸搵㠶搵慤㌰晡㑢换㕢ㅦ㐷愶㌰っ㑣㠳ㄶ㍤㐳〳㘷ㄲ攵㡤つ㥣敢搱㉢㈵㐲㥡っ愶㌲㐶㌹〴㠷㍤㤰〶㙥攲㐱㝡摥㠵ㄲち㜶挹㡢㘱昱摤挴ㄱㅢ㐷㈰搷扢慡愵㜲搶〸㜰晤挵搹摤㔲㍤㕥愹搰摣㠵㝦㙥㑢㘰ㄵ㔷㌷㐲㜳㜴㔷换愵㉣戹㈷摡㜷㌷戶㌴㐴㤷〵て㑥㡤ㅥ㌷㠲昲搲㕣戰ㄶ㕥摣敡㤶㈴戴ㄷ攱㡦㔸昷敤戴㤹㜳づ㉦愲慥㄰昶挵ぢ㡥㝢搱㤱敢搲㝣摥晡〳㠵攰ち㘵てㄷ㔹捣晣ㅢ晦㘴㔲㌳摡て㌱攳㘶㤶捤〹ㅡづㄲ捥㈳㔳㈸つ㠶㔱㑥愱ㄳ搸敥昵㕢〳愴㤳㕤㉤㜴㈲〵挱㌶愱㌸㡢慦ㄹ愱㈸㍦〰㕡㐹㉣攱㤱ㅣ㌰晦ㅡ㔸㕦昹㍥㙡㠸㜰㍣㐷㘲㐴㝢㌳㑡㈹愸㤳㠲㍣扡攲挱ぢ㈱晦㍦㔸㡡戹㜹㕤㜶晡㉦㌰戳昲扤㔶ㄴ敤㈵㡡扥摢㠶㈲㠵搷㐰㈴晦㥥㡣ち㝣搰ㄸ㥥㝤㐵㠱㜰敥㘹晢〰晡扡㕦昸晤ㅦㅥ㐰愷㠱㘱㈶㘹愳㈱搴㜶ㄳ捡㜵ㄳ㈱摢㘶㈲㌰㜸㉦㑤㠴㔳ㅣ挳㈸㝥㘸㈲㐴㍥㤰ㄹ㔴㙣㙣㈲㌰戶㤷㘲〸㈶㐲慤〹户〶㑦㘰㔷搹昴㡦ㅤ挷挵㕢攱㈳㥥て愵攵㑦挲㈳㜵㜵㝢昵慣攱ㄹ昶㙥㔹㝦捣ㄳ㔰㘶摥㍣㙥㜲换㈱ㅣ戱㘷摤ㄶ㌹㘸ㅤ㕦㐵散㘵摦昶愷㙣敥晥㍡㌰ㄵ愶搰㝤慦ㄴ㤴晣慢昰㤴㈸㍣㌷㘴㍥戸敢ㅢ挷㝥昷昰攳㐷㜸㕢㉤愲㔵㙤ㅦ捡摤㠴散㘹㑦㈰愸㥢戸㈸㜲㈵㍦捣㌹㠵㑦㤴慣攵慡㤸㌰㍣㘹〵昹扡ㅤㄷ㐳挲㑢㄰㘶㐸㝣㕢挱挴挴扤㠷搰挴ㅣ㙤㜱㜷捡て㥢愴㡢㜰㌴戱㜰改搳㡢挳㠶㑡㐷㐵搶愵戵愹㝤ぢ慡攸ㄵ㉥愴搹㑡攴愹㤳㐹㔱扥搹慡敢づ㔱搷㠵〷ㄹ㠶晤㘳㈹㠵昸〳㈹㈴㜹㤰攱㠵〰㈹愵捥愰愰摤㠶㉣㈵戲搶ㅡ攲愵㍦㘰㕢〸㠸晡愵扦㉥㍦㘲〱ㄴ㠱挵搸ㄷ摦敤㠹㤶戶㘸慣㥡ㄸ慡㤵㌶捤ㅣち昲昰挲㡡戱戸㜶ㅥ㠵㌸㘹〷㔱摡戴㍢㡡㉦改户挳挰㕢挸搸㥡㑤㕦㕢搱扥搷愹攱收〷昴㑣㕥㉡っ㘷㈷慢㜱㈰㤵㌱扡戰㙢㌱慣㘲㍥㄰ㄶ敢㠳㝡愳㈶攸㉣㘷㌷㑥愵〸晥昱㑢㈱戶㡦㌴愶扥戲戵㠵㍡捥改挱〶昹㠳晤戵㌷㠵戱昱㔶㜲っ㈴散愶㝡ㄵ挲敢攱㘷㌱㠴㥢捥㈸㝡愳㈸㥦㤵㐳昸ㄳ㜳㔶㔶㙤搳晦㡣㕥㑢捥㍡挷搱っ㘳㌷改晦昷愲㘲㐳晤慦㌰昶㈶ㄱ昹扥愸㈰㡤㔳挶㑦㌶っ搹㄰㈲昰㙣㈳㜸㈳て挶扡㉣㌲攴ㅤ㤶收昰昱㙡搸㉣㈵㌸晣㕥戹搶慢ㄱ昵戱戴㙤㝢㍢ち㐰挶㠶戴慦㐱〴㜵ㅣ摦㉣户攲搳㙤晥晤ㄸ戸敢㤴㔵昶㕣摦㌵㠳攱㌹〴㝤㠷昹敤㤹〹㥢㘷㕣昹㙡慢㔰扢ㄱ㤰攸㝢〰㘳㑥捦㐰㘰㥦ㄶ挱㙢ㄵ㡢㘴㘴㘱㜳㤱っ㝥㠷㌴㤸〸㉦㔱㍢昸㔷㤸昷搵㡣㉡㍥㕤㥤㠱慦㌳㘰搵㤶㔰㜶愱挷戹昵㠶〶㐱㠷㍢㕡敦㠱㍦㐸㔴㐷ㄱㅣ㤳㕢㜸晦〳㠴㙢㉢っ㥡晢㐶㝢昳搹戳㍢㥦㕢㔱㝢〱㌸摤摣㕢㥡㐹㠶敦攴ㄷ挹㐵扤挴ㅣ㤷昶㡦攰敦收ㅤ戴㥣㙤〸㜴ㅥ㝤搰㑤㐷搸㐸ㄵ敥戳㑤㐴扦捦㘳愸㌲捥っ㍦摤㠸ち㝣㔰攸攵㈳㉢㉡㕦挲戶挸〰㈸㘷昲㘵㘴㥤愹晡昹昵愸㝡昰㈴挶㤰㕦㜵㠱慣㍦慢昰愸㐱慡㉣㉡捦愱㍦愱ㄶ敥㝥㤱㜵㌸㝡挸㈳〵捡㝡㔲㤲㉢㍣㔲挸昵㍣㠳〱昵昵㍣㠸摡捥敢㜹㝡扤昵㈸㌴〶攴㝥㤳昳て挶捡㐴户昹㙡㠷㤹换㙣ㄹ搹㘰摣㜳㠰㘲㤲㝢挹㠷愱㠶敦ㄳ㔳㐸扦㠸晥扥㜴攴攷㤷㤸晥㜲㐴㤱㠲ㄱ㑤捤扢愰㘰㤴扢㜸㌲戹ぢㅦ戵㥤㜷昱愹昵㜶㌱㐸㤹㈹愱㕡㐳〱㔰㉤攱㡦摣搵ちち〴㈸㝦捡㜹㘶昸㌵慤㘲搰㐰㡤ㅣ扢㡡㐲㝦㔶㈳㘲摥搹㔹扢搰㜸㡣㍦㠵㐵㜰愰改㥢搷㝢昱つ敢ㅡ愳摤㔹㝣挲慦㐹㔵㤸㔳敦敥㙥慥搸ㅣ愵㈶搳㍥㠶㕤扦㡡㜹戸改㠶捦㤱㌳敥挱慦㠰㈰〴挹㑣㠲攴㘱ㄴ㘲㐰㘹挴㝡捡㤷㑤搲㌸攴㉤㔰㍡戲昲愱㈷㍡ㅦ㥡〴〵㍢㜲㐱㙦〹挱㠸㉤昱㔳攱㡥晡㉣摦攵昵〶攵㠹㤸ち㡦ㅦ㡦㍦ㅢ㔳愳㠰ㅢ戸㈰㌴挷挹㌵〴愴昲㜸摣昹摢摦㘹昸㡢搱㠰〴㔶〹㍢㤳扢㘴攷㡦挴㥤て攲㤳㌴搹㈷㐳㠲㘲㝡㈹敥㑣㉥㤴㥤㍦ㅣ㜷晥昳挱摤昵捥㌱搳㠵㌳㙢攴㠸ㄴ㐳㕦ㅥ㝤ㄲ㥦愷て愰扢㘶搲㜸攸㌵挳㙡ㄲ愲㡣㥢㔷愵昹搰㠷㥢㌰ㅥ㍥㄰㥦挶挵㉥摣㝦㠱㠶〹晦㍦ㄱ㈷㜰攱㙢捡〸っ㝣晦扤㠲㐸扢愷换㈷づ捥㥢㌳ㅥ㉡㝡捣ㄳ㍥づ㤴㤵㉤㐵㈲戰㠵㜲㈱㝣㌷㠸㐸愴搸捤つ㜸挴ㄱ㐲㤵ㄷ㘸扡搳㥣㌲慡㤴㔳ㅥ㡢㌱㥢㜹慣㐱㌳晡㠷㠰ㅣ攸〴攴㉣攸ㅦ㐶ㅥ㐶愱㜶戱㘲㤰挲㑥㑡戲挷搹昰〴戳㡦㈲㉢㉡㤴㙣愴㠳晣挷㤰つ挴晦㤷㡥攱ㄵ改㉣㔲㤵搵昸㘵㐹㌲搲㍦捥〱㥦㐰㤶㠵敦㕡㠹㠸戰愸㝦ㄲ㌵挹㤷㔲㜰挸㤷㝥㥡つ㑦㌲晢っ戲愲挶挵㙥ㅡ㙡摣㔳㤷㙡晢戳ㄸ慡㄰ㄴ㥣㐳晦㕣㔴攰㠳㐲㌸㔰㥣㉢づ㜶㐸ㄹ㑡㙤㔳㔰昳ち㘱㈳ㅢ散愸攱戰㙣㔰ㄴ挲㑢㌶㔴愳〶敡㌲晤㘹㘴ち攱挱㍤改㥦攷ㄳ挱㈰㕦昸㑣㔴㤰㉦㈴っ攴昰愵㤶ㄷㄲ㉥戲㘱戱攵㠵㠴㤵㙣㌰㤳㉦晣〲㈷㤵ㅢ㐳愱㔹㕤㜱㠳ㄲ摥㕦㐴愱㍦㍢挰戵摤㡦㥦扡慡㤴捦㔷捥㥦晦攷㐰㙥㜸㑦敥扤昷昴㍤晢搲捦㕥㝥敡㤷ㅦ㌸晣挷㝦㍤晦晣㉦㝦晦搴愵㝦扤戸㜰昸㈷㉦扣昰攳㤳㕦扥昴昲㑥昳㉢敡㜷晥㌹晤㤵㐷挶㉥㍣昲㤰㜹㜶摦戱㐷摥昷攰㝤㘳戳㔷㡣㘴戳㍤㍤㌷て晤昴㥡㕢〶ㅦ㝢攸㝢捡㡦㝥㜳戵愳挸敤攲〵捤换攰戶攵㌲扥㡣〲㤶挱ㄵ扦慥换攰㜶㈵愰捥㐷㠰㥡㐰㐵〱捥て㉥㐰㌶㤴㥡ㅢ㝡晦〳㉡㘲扣㕥</t>
  </si>
  <si>
    <t>Performance ratio</t>
  </si>
  <si>
    <t>Module efficiency</t>
  </si>
  <si>
    <t>Lifetime</t>
  </si>
  <si>
    <t>㜸〱敤㕣㕢㡣㈴㔵ㄹ敥慡敥敡改敡㤹搹ㄹ㜶㤶换慥㕣〶㄰ㄱ㘶ㅤ㜶ㄶ㔶㐴㕤搷戹散つ㘶㜷㠶㥤搹〵愳搸㕢搳㝤㙡愶搸慥慡愱慡㝡㜶〶㐹㐰㐴㠹㜷㈱㐱㠲愲㄰愲㈴扥㜸㜹㔱㔱㕥㌴㈶ㅡ〳㠹て昸㘰攲〳ㄲ愳てㅡ戳㠹㠹昱挱㐴扦敦㔴㔵㜷㜵昷㜴捤搰㠰づ㘶捥搲㘷㑥㥤㕢㥤昳摦捦晦㥦㈲愳㘴㌲㤹㝦㈳昱㉦㔳㡥㠵换攷搶晣㐰搸愳㤳㙥戵㉡捡㠱攵㍡晥攸戸攷ㄹ㙢搳㤶ㅦ㘴搱㈱㕦戲搰敥㙢㈵摦扡㕦ㄴ㑡㉢挲昳搱㐹换㘴ち〵㕤㐵㍢㈷攱㙦㌰㝥搰㌹慡㉦㠷㙣㝥㜲㘲㘶攱㕥捣㍡ㄷ戸㥥搸㍢㝣㈶ㅣ㝢㜰㙣㙣㜴㙣昴㤶㕢挷摥㍢扡㙦敦昰㘴慤ㅡ搴㍣㜱搰ㄱ戵挰㌳慡㝢㠷㘷㙢ぢ㔵慢㝣㠷㔸㥢㜷捦〹攷愰㔸搸㜷昳㠲㜱换晢挶㙥㌹㜰挰扣敤戶昷昵攱搵㤹㤳㤳ㄳ戳㥥㌰晤㌷㘹㑥㡤㑢扥㘵㑡㤴㉤敥㑤〸捦㜲ㄶ㐷㈷㈷昰㕦㘲晤㜸扡㜵㜴㙥㐹㠸㠰慦ㄶ㥥㜰捡挲搷㌱戰搷ㅥ昷晤㥡扤㑣攰改昶ㄱ㙣戵㙣昸㠱㘶㑦㡡㙡㔵户攳㔹ぢ昶っ㘰㔷㌵搶晡散㌹攱昸㔶㘰慤㔸挱㕡摥㥥挷㐴㤵㝥晢戴㉦㑥ㄹ捥愲㌸㘹搸㐲戳㡦搶慣㑡㉥㑣㤹散昵昱ㄴ挹㠵挹敤㡦㡥晢昶攴㤲攱挹ㄵ昹〴㑣㑡摦㈳㕥戹戹敦戵㥤攷攵搲攵ㅢ㌸攷㜵㥤晢愱攵㡣攱搵㝢㡥㜴敥ㄹ㙤扥㜹〵㌷㜵敥㥦㠰㔱昳㤸ㅢ㍡㡦㤱愰㙣敥慤昴㐶昴㉤㈱㡡捤攸㜹㘶㍤捣ち捣㠸㐰扤挸慣㤷㔹ㅦ㌲㈵昷㜷㜰㐹㜲㈰㥢搴㤲愱㤶ㄶ搴㔲㔹㉤㔵搴㤲㔰㑢愶㕡㕡㔴㑢㑢㙡挹㔲㑢昷慡愵㜳攸ㄳ愷㐲㑦㡦ㅡ愵㝦㉣㍦昱昱摣㘳慢㈷扥扤昶昳㑦㝤昱戱㍦㝤愸㙦〷㍡摤ㄹ㉤㙡捡㌳捥㠳搴ㅡ㔴扣㝦㜴ㅦ晦㙤捣ㄵ㘰ち昳㠰㜹慢㌹㌶㔶㌹戰捦戸搹搰戸慤ㄴ攴㌷ㄱ捡㈰晡昶㤹㜷㔹㑥挵㍤㉦㜱㜷昹㠴攱㡢〶攰㐶愲戶〹户收㔴晣㜷慣摦㌸ㄷㄸ㠱搸搳摡搶㤸愴㙤搸ㅣ搸㑡昸昲㝤㔷戶づ㍢㘳㔴㙢㘲㝣搵ち㥢慦㘸㘹戶㘷㍤㜷愱㜳敢ㄱ㑦摣㔷㙦㙤㕢搱㌸㠴摡㡡㥣扢㙤㤷㘱㔳戸慥攱挹㈵搷ㄷ㡥㕣摥㠸㍤㙢㤵捦〹㙦㑥㔰㈴㡡㡡摣敡挵㙣㡡戸㝥㘴挶挱㐶挱慤㤵㙢㤲戵收攱搵〰捣㉣㉡㔸敦戲昰㠲戵㜹㘳愱㉡㉥㘹敡ㄲ扥ㄳつ扢㥢慡㡦戸攵㥡㍦改㍡㠱攷㔶㥢㕢挶㉢㉢〶㈴㑤攵㠴㕢ㄱ戹㕣㐶ち〵〸摣㙣㔶㔱㌲㌷㜶收〵㠹㠸〴㡡挹挸㤷㌵㤳摤攸㈹散づ扢愸ち搲愴晡捥つ㈶攳㝡愵㡣㐹攱挰挴㥥愸㍦昸搲㜷㙦㌰㙤ㅤ㜳㙦㙤㘷㔵ㅤ㡡㜶㝦㜸㐵㌸挱㌱挳愹㔴㠵㤷慡晤ㄴ慥㐸ㅦ㐰愶㕤㠰㐰攸〸㍤慡㍡㘵㔵㔹搳捥㕢㤵㘰㈹扦㈴慣挵愵〰㜵搰㤰㠵〲㐱摢㤶昴㡢㔰愵敦㘴㌶㠴慣㔸捣攴㜷戱㔳扥㠸㤴搱㈸㥤㔲㜸戹㐹㤰㜳㕣ㄳ㉦昷㤹㐷慣㙡㈰㐲愱㍣㘰〲㈳愱㔶㤳攸敢㈷㠹㝡㐶㌹㔴ㄸ扢捣㐹㔰愹㘱㌹挱㕡㠳㙦摢戸㈴㈴愲㙤㔹戰攵㘴〱㐵㐱戳㍣㐸攱㌵㄰㑤㡢㌴㐸敦㥣㈰㈲戲㐱㡡㘶挷捣捤㐴挶晥㈹㌲〲晤㤳㐴挸摥晢㍡换〸ㄲ㝢㍢㤱㜲㔰㐷㝥摣㤶㘶敢搹昲愱㌴扢ㄸ㠰搳㉦㘱㜶㈹戳换㤸敤㐶愶晣〹ㄲ㡥㔲づ攵收愴扦〳捦晡攵捣慥㐰〶昹愴㔳收㐴愲㡡㌶搴㘶散㐸昶敢㠷㥤㉣㡤攲㔰ㄴ搱㌲慥摢㤹晤戶㐴㜴㘴㜵㙥つ㕤㥢㤳㍡昶㕤㥤㘹㌳戹ㅤ㔲㘴㑡搷攴㕥㌷攸㥡〴〴扢㜶愹户慥挲㔰㝤㤸搹搵挸㡡晡㌵捣愱㕣㘸昰㙥捥愲愷㐹昹戶㌰㡢㐲㘳愸㑢〵ㅦㄱ㌲㡦〰㈹㐲慥敤昸戲㙤㐳搳ㅣㅣ㌱摦昶㌶昴摥捥晣ㅤ㈱扤㐵㙦㙥敢ㅤ晡㡢㕥愷ㄵ㝤㉤搸㑢昹㝤㐷ㅤ㜳ㅤ㥡昵㜷㌱扢ㅥ㔹㡢㡥攱改晢昵㝡ち愴㔹㙣㈷㌰户㤳㕥ㄷ㘹攵捥慦㉤ぢ愹㠱晡捣㜹挳㕢ㄴ〱㍣ㄸ挷愷㘰ぢ扢㥥㈷慡㌸搴㔶㘴〵捦㉦㤷㌶㔷晡㐷㍣搷㘶晤戶㡤散扦㉤ㄴ㐳㉥愷㘶㌳㉤㌶㜲㡡慤㤹昰㌹㈵㈸㠷㍡昸收捥㐲㈲㌱愸㤹扣㌸㉥晤㝣戹㉤㐹扡㤰㈴㌷〰慣晡㡤挸㈰㈵㤴摦㜶㤴㈸㝢搹敤㍤戲㕢戳挵㑡て㕦捡改愴挵㠷搸㈶㐷㝡㐳㠷敤〴晣〷㝥扦㍤㘷搹㜵㘱搱㙢捦ち慦っ摦㠲㔵ㄵ挵搰㉤㑢㔱戳㉤㉢摥㈶戲㈲㥢㙤㍢㑦愷昸搷㈴㥤戴㐸㠹㔴㙥㑦㙤㑣㌹㡢㌷㠸㡡㙥㐸ち㤵ㄴ搷㔰㕤〲㤱昲搸㜷㕢挴㜴㈱㘲㙥〲攰昴㝤捣挶㤸敤㐷愶扤っ㐹戳㔹挰㌳ㅣ搶戳㐲㤷㜶愹㤴㈹㄰つ搲㐵昸㔲㐷㘱㜵㠰慦㜹㉦戳㕢㤱戵㤸㍦㜴㐰愶㄰愲㐴㜹㠲㄰㘵ㄸ挳㍣㘳㠹昳愴㠱ㅤ㈶〲㑢㤳㌵㍦㜰㙤㐶㤶晡捤㈹昷愴ㅢ㑣㔹晥㌲㈲㔱㐳㘶㔴戸㙢㐹㌸愰㉥て戶㑦㑢㥤扢扣㉣㉡扡㌹攷搶㈰摡㡥㑦㙤㠵㠳㌹挰〱㕢㔲㥥捤㔵〵愹扢昳㌱愶㔰〰㘹改㙦愵㌷㜶㔳摥㙦ㅥ晡〶ㅡ㄰㥤户㠲慡攸㌵㐳愶㘳戹㘰〲㡡㠸ㅣ㔴㝡捣昹㈵㑦㠸愹㝥昳愸㘷㔵慡㤶㈳㠸っ搸㤸っ搶㑤㡢㐵㐴〹㘶㕤挶〰㕤愷摦㥣昷っ挷㕦㌶ㄸ㔰㕣摢搹昴㈴挳㈲㥡㌹㘱㌹㍥㕥㈳戱挸昲㠰㌹户攴㥥㐷挴戶㘶㍢㐷㡤㘵㝦㑢㘰㠵㐴ㅦ㈶㠹ㅡ㐵㔵㔴㔵㈹愸㠵㙥昱挳〳㜹㈶㐳摥换㌱㤳戸捡㘸昴㤹愷㘸㙦摡昵㔱㡣㠶㜶㍡搷搴㠷攸㔱扤㌲㥢㉡㠵挹愹晡㙤ㅣ昳㝥㘴户ㅦ㍤㝤扣ㄱ㤹㝢㐳㌱㙢㡤㕥晥ㄴㄹ㉦挹愲ㅥ〸愱㡦㙥㐷㐸㉡慣㈳攵㠰〳㠱㜱㍥戵㤲㕦搱㤴㝤㐸㝤㍢ㅡ挵㈳㠸㈴昵㤹搳挶㠲愸㈲ㅥ㙤ㅢ挱㡥昰㠱㘶慣㙤㔴晤愸㙤搲戵㙤㠳愴㐵戲㥣㉢ㅢ愴攰昱㕡攰㥥戰ㅣ摤㐴㈶改㉦慡㌲㔶㔱㘵慣捡慡㍥昳ㄴ㐳㠳戲捣戹摣㐵挳戳㠲㈵摢㉡ㄷ昸挰昰摤㤶愰㐹㌰㌹㈵㙦㥣㘲㤹㌱摣㘲捤㥦㠶挹收㡦〲摤愳㤰愳〴ㅤ搱て捡㔵㤵㍣晥㈹㕤㍡㤶㈰㘰愴愷㔴晦㈰㘶搳攴敤〸㠸ㅣ㤹㉥挴㜷㌰㉥㍣㠸㥡㔰〸ㄱ敢㈹㈴〲慦㘰㐲挸搳挵㥤㌷㑦㍢㔶〰散ㄱ㘳㐷慣㘰捡〷捡㤱愱㈸㡦户㝢㈴㔶ㄳ㠳㐶敡㕡攱慡昶愶㈶㌵㜱㘵㝢㝢㔲㙦扣㜳㥤收㔰愳㈴ㄴ挹㐶㥤愴㘶㔹㘷㡤㕢㐹搵㈸㔲㜱挷摡㐶㐹㜳㥢㌶攰㑥㈹昲〶ㄴ㤳愴㤹㡣晥㈱㐹㈸〸昴㐶㍡㡡㍥晢㜴昲㐸㐴㙣㘸〳ㄴ愹愷挲扡晥㈸㈴㜸ㅣ搷㑥㉡愲ㄸ㍤㠱扦㜷㐴挵㤹㕡搰搴㘲慣づ㐵㉤攳搵敡㡣〳㉢愱㙣㜸㤵㉤挲搲搸㕢愸㘱㈴㜷㜶慢晤㐳昰㈶ㄸ㌱㘲㐳㠶㐵㔲晣挰㘰㐳㌰㔷㈲愲㑡敢慣㥦愰慥㔷ㄷ昸㜴㐲ㄸ㡥挴挰㕣㔰㤹ㄲ㉢搲っ㙢㔸昲㐳㜲㐰晤戴㈸攵愸㙥㡥㉦昸㔰改〱攵㜸㔴㤲っ慥㥢愷攸㤶挲㈵〶㠸摤愸㌴㕢づ㄰摡慤㑦挰㤳挱搶挱づ㈰ㄲ㠶㑥㘸㥤㔱㠲收㔳〸户㜹ㄳ攴㥤㉥㌱ち㐱㙡捡昴户㐳捡搷㥥㘲晡捥愱㑣㕣㠸㤸㠸攱慥ㄴ敢〱挸㑤㐶㈶挹㐵㐳㜱挰㍣㤴㙣㔲㘸昵挵㜵㌴㌱晡㘹昲㜹〱㙥昱㌰㤶㌵㐰戶愹攲㥥㕢㘰㐱㥢㔶搷㜶㤸挷㥤㜲戵㔶ㄱ㔲ㄵ挷戲㕡㙡攴㉤㠱㉦㜹〵㌰攴愶ㄴ戸㐴㐰㌹㡥愳ㄴ户㑣㈴㜵㙦㜷敢㠷㌰㕣ち㌹捣ㄱ慡㍥〶㈰㔳摣㜲㌲㈰搶㜶㑦㠱昶攱捥挶〵〶㜹㜹づ㈲慤慤㡡戲㙣ㅡ昷昱敡㔱㘴挹㙤㠹㙥搳敥戴㑢㥢㍤㔱㜵捣ち慢戶〴㡥戰捦㔰攰攵昳㌰㐶扡攴づ㑥㤲戹㄰㐵㜷㉦㍣㈸ㅦ㌳ㄷ㠰ち㠹〱㠵㌱㕥㥥㠲㌲㠰㉡ㄸ㠹〶户摡戰扡ㄵ㐶㝦㘹㜹敢攳挸ㄴ㠶㠱㘹搰愲㘷㘸攰㑣愲扣戱㠱㜳ㄵ㝡愵㐴㐸㤳挱㔴挶㈸㠷攰戰〷搲挰㑤㍣㐸捦扢㔰㐲挱㉥㜹㌱㉣扥㥢㌸㘲攳〸攴㝡㤷戴㔴捥ㅡ〱慥扦㌸扢㕢慡挷㉢ㄵ㥡扢昰捦㙤〹慣攲敡㐶㘸㡥敥㙡戹㤴㈵昷㐴晢敥摡㤶㠶攸戲攰晥愹搱㘳㐶㔰㕥㥡ぢ搶挲㡢㕢摤㤲㠴昶㈲晣ㄱ敢扥㥤㌶㜳捥攱㐵搴ㄵ挲扥㜸捥㜱捦㍢㜲㕤㥡捦㕢㝦愰㄰㕣愱散攱㈲㡢㤹㝦攳㥦㑣㙡㐶晢㈹㘶摣捣戲㌹㐱挳㐱挲㜹㘴ち愵挱㌰捡㈹㜴〲摢扤㝥㙢㠰㜴戲慢㠵㑥愴㈰搸㈶ㄴ㘷昱㑤㈳ㄴ攵㈷㐰㉢㠹㈵㍣㤲〳收捦㠳昵㤵ㄷ㔰㐳㠴攳㌹ㄲ㈳摡搵㈸愵愰㑥ち昲攸㡡〷㉦㠴晣晦㘰㈹收收㜵搹改扦挰捣捡㡦㕢㔱㜴㈵㔱昴愳㌶ㄴ㈹扣〶㈲昹昷昶愸挰〷㡤攱搹搷ㄵ〸攷㥥戶て愰㙦昹㠵摦晦攱〱㜴ㅡㄸ㘶㤲㌶ㅡ㐲㙤搷愱㕣㌷ㄱ戲㙤㈶〲㠳昷搲㐴㌸挱㌱㡣攲㠷㈶㐲攴〳㤹㐱挵挶㈶〲㘳㝢㈹㠶㘰㈲搴㥡㜰㙢昰〴㜶㠹㑤晦搸㌱㕣扣ㄵ㍥攲昹㔰㕡晥㈴㍣㔲㤷戶㔷捦ㅡ㥥㘱敦㤶昵㐷㍤〱㘵收捤攳㈶户ㅣ挲ㄱ㝢搶㙤㤱㠳搶昱㔵挴㕥昶㙤㝦捡收敥慦〳㔳㘱ち摤昷㑡㐱挹扦〱㑦㠹挲㜳㐳收ㄳ扢扥㝢昴て昷㍦㜲㠸户搵㈲㕡搵㙥㐴戹㥢㤰㍤敤〹〴㜵ㄳㄷ㐵㉥收㠷㌹㈷昰㠹㤲戵㕣ㄵㄳ㠶㈷慤㈰㕦户攳㘲㐸㜸〹挲っ㠹㙦㉢㤸㤸戸昷㄰㥡㤸愳㉤敥㑥昹㘱㤳㜴ㄱ㡥㈶ㄶ㉥㝤㝡㜱搸㔰改愸挸扡戴㌶戵敦㐳ㄵ扤捥㠵㌴㕢㠹㍣㜵㌲㈹捡昷㕡㜵摤〱敡扡昰㈰挳戰㝦㉣愵㄰㝦㈰㠵㈴て㌲扣㄰㈰愵搴㈹ㄴ戴㥢㤰愵㐴搶㕡㐳扣昴〷㙣ぢ〱㔱扦昴搷攵㐷㉣㠰㈲戰ㄸ晢攲扢㍤搱搲ㄶ㡤㔵ㄳ㐳戵搲愶㤹㐳㐱ㅥ㕥㔸㌱ㄶ搷捥愳㄰㈷㙤㍦㑡㥢㜶㐷昱㈵晤㜶ㄸ㜸ぢㄹ㕢戳改㙢㉢摡㠷㥤ㅡ㙥㝥㐰捦攴愵挲㜰㜶戲ㅡ〷㔲ㄹ愳ぢ扢ㄶ挳㉡收〳㘱戱㍥愸㌷㙡㠲捥㜲㜶攳㔴㡡攰ㅦ扦ㄴ㘲晢㐸㘳敡㡢㕢㕢愸攳㥣ㅥ㙣㤰㍦搸㕦㔷愶㌰㌶摥㑡㡥㠱㠴摤㔴慦㐲㜸㍤晣㌴㠶㜰搳ㄹ㐵㙦ㄴ攵戳㜲〰㝦㘲捥捡慡㙤晡㥦搱㙢挹㔹㘷㌸㥡㘱散㈶晤㝦㌷㉡㌶搴晦ち㘳㙦ㄲ㤱ㅦ㠹ち搲㌸㘵晣㘴挳㤰つ㈱〲捦㌶㠲㌷昲㘰慣换㈲㐳摥㘱㘹づㅦ慦㠶捤㔲㠲挳敦㤵㙢扤ㅡ㔱ㅦ㑢摢戶户愳〰㘴㙣㐸㝢ㅥ㈲愸攳昸㘶戹ㄵ㥦㙥昳ㅦ挵挰㕤㈷慣戲攷晡慥ㄹっ捦㈱攸㍢捣㙦捦㑣搸㍣攳捡户㕡㠵摡戵㠰㐴摦㍤ㄸ㜳㜲〶〲晢愴〸摥慣㔸㈴㈳ぢ㥢㡢㘴昰㍢愴挱㐴㜸㠹摡挱扦挸扣戳㘶㔴昱改敡っ㝣㥤〱慢戶㠴戲ぢ㍤捥慤㌷㌴〸㍡摣搱扡〳晥㈰㔱ㅤ㐵㜰㑣㙥攱愳昷㄰慥慤㌰㘸敥ㅢ敤捤㘷捦敥㝣㙥㐵敤㌹攰㜴㜳㙦㘹㈶ㄹ扥㤳㕦㈴ㄷ昵ㄲ㜳㕣摡㍦㠴扦㥢㜷搰㜲戶㈱搰㜹昴㐱㌷ㅤ㘱㈳㔵戸捦㌶ㄱ晤㍥㡢愱捡㌸㌳晣㜴㈳㉡昰㐱愱㤷㡦慣愸㝣ㄳ摢㈲〳愰㥣挹㤷㤱㜵愶敡愷搷愳敡挱摢㌱㠶晣慡ぢ㘴晤㔹㠵㐷つ㔲㘵㔱昹ㅡ晡ㄳ㙡攱敥ㄷ㔹㠷愳㠷㍣㔲愰慣㈷㈵戹挲㈳㠵㕣捦㤳ㄸ㔰㕦捦扤愸敤扣㥥㈷搶㕢㡦㐲㘳㐰敥㌷㌹晦㘰慣㑣㜴㥢慦㜶㤸戹捣㤶㤱つ挶㍤〷㈸㈶戹㤷㝣ㄸ㙡㜸㠱㤸㐲晡㑤昴昷搵㐳㉦扦挴昴搷㐳㡡ㄴ㡣㘸㙡摥〵〵愳摣挵㤷㤲扢昰㔱摢㜹ㄷ㕦㔸㙦ㄷ㠳㤴㤹ㄲ慡㌵ㄴ〰搵ㄲ晥挸㕤慤愰㐰㠰昲愷㥣㘵㠶㕦搳㉡〶つ搴挸戱慢㈸昴㘷㌵㈲收〳㥤戵ぢ㡤挷昸㔳㔸〴〷㥡扥㜹㍤㡣㙦㔸搷ㄸ敤捥攲ㄳ㝥㑤慡挲㥣晡晥敥收㡡捤㔱㙡㌲敤㔱散晡つ捣挳㑤㌷㝣㡥㥣㜱て㝥〵〴㈱㐸㘶ㄲ㈴昷愳㄰〳㑡㈳搶㔳扥㙣㤲挶㈱㙦㠱搲㤱㤵て㍤搱昹搰㈴㈸搸㤱ぢ㝡㑢〸㐶㙣㠹㥦ち㜷搴㘷昹㉥慦㌷㈸㥦㡥愹昰搸戱昸戳㌱㌵ち戸㠱ぢ㐲㜳㥣㕣㐳㐰㉡㡦挴㥤㝦昰挳㠶扦ㄸつ㐸㘰㤵戰㌳戹㑢㜶晥㔴摣㜹㍦㍥㐹㤳㝤㌲㈴㈸愶㔷攳捥攴㐲搹昹攱戸昳㕦昶敦慥㜷㡥㤹㉥㥣㔹㈳㐷愴ㄸ晡昲攸㤳昸㍣㝤〰摤㌵㤳挶㐳慦ㄹ㔶㤳㄰㘵摣扣㉡捤㠷㍥摣㠴昱昰㠱昸㌴㉥㜶攱晥ぢ㌴㑣昸晦㠹㌸㡥ぢ㕦㔳㐶㘰攰晢敦ㄵ㐴摡㍤㕤㍥㜱㜰摥㥣昱㔰搱㘳ㅥ昷㜱愰慣㙣㈹ㄲ㠱㉤㤴ぢ攱扢㐱㐴㈲挵㙥㙥挰㈳㡥㄰慡扣㐰搳㥤收㤴㔱愵㥣昲㔰㡣搹捣㐳つ㥡搱㍦〹攴㐰㈷㈰㘷㐱㝦ㄸ㜹ㄸ㠵摡挵㡡㐱ち㍢㈹挹ㅥ㘱挳愷㤹㝤〶㔹㔱愱㘴㈳ㅤ攴ㅦ㐵㌶㄰晦㕦㍡㠶㔷愴戳㐸㔵㔶攳㤷㈵挹㐸晦㉣〷㝣づ㔹ㄶ扥㙢㈵㈲挲愲晥㜹搴㈴㕦㑡挱㈱㕦晡㐵㌶㝣㠹搹㤷㤱ㄵ㌵㉥㜶搳㔰攳㥥扡㔴摢㕦挱㔰㠵愰攰ㅣ晡㘳㔱㠱てち攱㐰㜱慥㌸搸㈱㘵㈸戵㑤㐱捤㉢㠴㡤㙣戰愳㠶㠳戲㐱㔱〸㉦搹㔰㡤ㅡ愸换昴㈷㤰㈹㠴〷昷愴㝦㤵㑦〴㠳㝣攱㤳㔱㐱扥㤰㌰㤰挳㤷㕡㕥㐸戸挸㠶挵㤶ㄷㄲ㔶戲挱㑣扥昰敢㥣㔴㙥っ㠵㘶㜵挵つ㑡㜸㝦〳㠵晥散〰搷㜶ㄷ㝥敡慡㔲㍥㕢㌹㝢昶㥦〳戹攱㍤戹扢㍦摣昷搴慢扦㝥敤昱㔷㍥㜶昰捦晦㝡晡改㔷晥昸昸㑢晦㝡㜱攱攰㉦㥦㝢敥ㄷ户㍦昳搲㙢㍢捤㘷搵ㅦ晥㜳晡搹〷挶捥㍤㜰㥦㜹晡挶愳て㝣攴摥㍢挷㘶㉦ㅡ挹㘶㝢㝡慥ㅦ晡搵㘵敦ㅥ㝣攸扥ㅦ㉢㍦晢摤愵㡥㈲户㡢ㄷ㌴㉦㠳摢㤶换㜸〶〵㉣㠳㉢㝥㑢㤷挱敤㑡㐰㥤㡤〰㌵㠱㡡〲㥣ㅦ㕣㠰㙣㈸㌵㌷昴晥〷㡡㘵扣收</t>
  </si>
  <si>
    <t>Recycling</t>
  </si>
  <si>
    <t>metal</t>
  </si>
  <si>
    <t>glass</t>
  </si>
  <si>
    <t>End of life</t>
  </si>
  <si>
    <t>all</t>
  </si>
  <si>
    <t>CF</t>
  </si>
  <si>
    <t>Energy consumption for sonication, kWh (0.483)</t>
  </si>
  <si>
    <t>Recycling level of substrate (100%)</t>
  </si>
  <si>
    <t>Recycling level of gold (100%)</t>
  </si>
  <si>
    <t>PEC</t>
  </si>
  <si>
    <t>Energy consumption of Spiro-OMeTAD spin coating, kWh (0.112)</t>
  </si>
  <si>
    <t>Energy consumption of drying of PL, kWh (0.852)</t>
  </si>
  <si>
    <t>Utilization efficiency of gold (82.0%)</t>
  </si>
  <si>
    <t>Energy consumption of thermal evaporation, kWh (2.65)</t>
  </si>
  <si>
    <t>bis(trifluoromethanesulfonyl)imide</t>
  </si>
  <si>
    <t>Titanium tetrachloride</t>
  </si>
  <si>
    <t>acetone</t>
  </si>
  <si>
    <t>acetic anhydride</t>
  </si>
  <si>
    <t>GHG emission factor</t>
  </si>
  <si>
    <t>Energy consumption of spin coating of PL, kWh (0.339)</t>
  </si>
  <si>
    <t>HTFSI</t>
  </si>
  <si>
    <t>ETL spin coating</t>
  </si>
  <si>
    <t>ETL calcining</t>
  </si>
  <si>
    <t>PL 1st-step spin coating</t>
  </si>
  <si>
    <t>PL 2nd-step spin coating</t>
  </si>
  <si>
    <t>PL drying</t>
  </si>
  <si>
    <t>HTL spin coating</t>
  </si>
  <si>
    <r>
      <t>BL-TiO</t>
    </r>
    <r>
      <rPr>
        <sz val="11"/>
        <color theme="1"/>
        <rFont val="Times New Roman"/>
        <family val="1"/>
      </rPr>
      <t>₂</t>
    </r>
    <r>
      <rPr>
        <sz val="11"/>
        <color theme="1"/>
        <rFont val="Calibri"/>
        <family val="2"/>
        <scheme val="minor"/>
      </rPr>
      <t xml:space="preserve"> ink</t>
    </r>
  </si>
  <si>
    <r>
      <t>TiO</t>
    </r>
    <r>
      <rPr>
        <sz val="11"/>
        <color theme="1"/>
        <rFont val="Times New Roman"/>
        <family val="1"/>
      </rPr>
      <t>₂</t>
    </r>
  </si>
  <si>
    <r>
      <t>PbI</t>
    </r>
    <r>
      <rPr>
        <sz val="11"/>
        <color theme="1"/>
        <rFont val="Times New Roman"/>
        <family val="1"/>
      </rPr>
      <t>₂</t>
    </r>
  </si>
  <si>
    <r>
      <t>PbBr</t>
    </r>
    <r>
      <rPr>
        <sz val="11"/>
        <color theme="1"/>
        <rFont val="Times New Roman"/>
        <family val="1"/>
      </rPr>
      <t>₂</t>
    </r>
  </si>
  <si>
    <r>
      <t>UV/O</t>
    </r>
    <r>
      <rPr>
        <b/>
        <sz val="11"/>
        <color theme="1"/>
        <rFont val="Times New Roman"/>
        <family val="1"/>
      </rPr>
      <t>₃</t>
    </r>
    <r>
      <rPr>
        <b/>
        <sz val="11"/>
        <color theme="1"/>
        <rFont val="Calibri"/>
        <family val="2"/>
        <scheme val="minor"/>
      </rPr>
      <t xml:space="preserve"> cleaning</t>
    </r>
  </si>
  <si>
    <t>80% active area</t>
  </si>
  <si>
    <t>Cu</t>
  </si>
  <si>
    <t>Ar</t>
  </si>
  <si>
    <t>O₂</t>
  </si>
  <si>
    <t>Tem</t>
  </si>
  <si>
    <t>Sputtering</t>
  </si>
  <si>
    <t>BL-TiO₂ ink</t>
  </si>
  <si>
    <t>TiO₂</t>
  </si>
  <si>
    <t>PbI₂</t>
  </si>
  <si>
    <t>PbBr₂</t>
  </si>
  <si>
    <t>Acetone</t>
  </si>
  <si>
    <t>Electrode sputtering</t>
  </si>
  <si>
    <t>㜸〱捤㔸㑤㙣ㅢ挷ㄵ摥㔹㜲㤷㕣㡡戴攵晦㔸㑥ㅣ㌶搰㈱慥㕣㕡戴慣晡㈷㌵ㄲ㤱㤴㈸㌵戶㈴㥢戴っ戴㈸㠸ㄵ㜷㔶㕣㙢㝦㤴摤愵㈴扡㐵㠱ㄶ㈹㤰㐳搲㑢て㐵㙥㑤㡢愰㉥㔰〴㈸㜲㈹㠲昴㤰ㄶ㈸晡㠳扡㍦㐰㠰㕥㡢ㄶ〵っ搴㠷ㄶ〸㝡㉡搲昷捤㤲ㄲ㐹㔱㠹慤慡㠰挷摥搱捣扣㤹㌷㙦摥扣昷扤㌷㤴㤸㈴㐹ㅦ㔳挱㕦㤴㌸ㅡ㑦㔷㕡㐱挸㥤㕣搱戳㙤㕥て㉤捦つ㜲㔳扥慦户慥㔹㐱ㄸ愳〹㙡捤㈲㝡愰搴〲敢㉥㑦搶搶戹ㅦ搰㈴㐵㤲㤲㐹㑤㈶㝡攷ㅢ敥㌴㌴慣搲攲㔴愵㘹㤶㔴㉤ㄶㄶ㤶敦㄰敢㑡攸昹晣㙣㜶㈹㘲㜰㌵㥦捦攵㜳ㄷ㉥收㍦㥦ㅢ㍦㥢㉤㌶敤戰改昳慢㉥㙦㠶扥㙥㥦捤㉥㌶㤷㙤慢晥㌲㙦㔵扤㔵敥㕥攵换攳ㄳ换晡㠵㑢昹ぢ㤳㤳收攵换㤷搲㉡㜱㕥㉣ㄶ㘶戹扤㐶晣昶㡢㙢㠲戸捥ㄷぢ㡢㍥㌷昷㡢愷〲㙤攴㑢扣㙥㐱㙤㥣晢㤶扢㤲㉢ㄶ攸㝦㤷㔶愸㜷㌱户㔰愹㜰㌷戰㐲㙢摤ち㕢搰㥣收㉣搴㤷㤷㜴扢挹㔵㐷㠸㤴㜴㤶㜴㝦㕥㜷㜸挶戹ㄵ昰㥢扡扢挲搱㔳㥣㜲搳㌲攲㜴㥤戱㌳㠳㌶㙡㉢㈹户㔰㉣ㄴㅢ扡ㅦ㐶㉣㘹㠳㜳㠳㘶㡢㥤㜲㕤愲㠸㌵㘲ㄴ敡㘱㐳㙤㠳挱㥥㐲捡㈴㐴搵愸㔲㔳㔴ㅤ改㕡㤹ㄵ㑢戳攷㔹晣㈳㌲扢敥㠵㐳㌴㔳慥改㜲㙤㔹慥搵攵㥡㈱搷戸㕣㌳攵摡㡡㕣㙢挸㌵㑢慥摤㤱㙢慢㌴愷㔳㤲㠹㠴摣㉥慦戸昷敤㝢㕦㝦敤攵敦晥攴摢攷㍦晣敤捤㌷ㄸ㉣㑤㤸㕣㥡ㅡ㕡㠶㉡昵〰㔵〳〴挹㌳昶㑦ㄲ〴挲ㅣ晦攰挶挳搷㕦㝢㜷攱捤敦㍣㜰晥㍥㜲晤㑥㝡㤸㤶捣㤳㠶㜲昳㍣摣㈷㜳㔲愰㤹㐷扦ㄱ㠸慦㌸搱㠵㤶㜸㔰搷㜰摢㜳慥挱㌷㔵㙡㤱ㄵ愴㥤愲攷㠶㝣㌳㉣改愱㥥㜰ㄶ㜵㥦扢愱㐶㤳挶挴慡愸㠵㤵ㄹ㌱搶㔹㥤㙡昷㠸挳戰㘸㜶㜱ㄹㄲ〳ㄱ㈷㐶㜰㄰㡢㐷㜵㔲ㅤ㠴ぢ戳㝡搰〸昵㘵㥢㡦昶ㄹづ昴㐶戶㝡㉢戴散㈰㐷㉣换扥搷㕣㠳㐶昷㡢て摣㕤㠳㜹愹㠷愹ㄲ㈸㠶扦戴挱㑢摡ㄱ晡㤳ㄲ㐴つ㐴扡摣㡦㐱搹愶愵㑦㔰㠷㐴㉣㜹㡥㙥戹晢㜴戹改愷㠸改㡤戶㉦㤴㝣㝤㠳晣㝡㥢昵昹摣㌸晥㝤㍡戰ㄱ慥㤹㤳收㐵㌳㥦㌷㈶挷昵〹㕤㠱㈳㍤慥㕦ㅥ愵㌵㘹攷戶攵ㅡ摥㠶㜰搴挳づ㜹愱㜰扥㙡㙢㡤㡢愱戴㔹搵晤ㄵ㑥捥敦捦㤵㡥㥡㐵捦昷戹慤㠷摣㄰〳〰晢ㄳ扤㠳挱㡣敦㌹ㄸ㝦扡愰〷㝣ㅢ〴挶捣㘸愳㠲搷㜴㡤攰搴㘰㘲㈵㈴搶㈳晤戴㙤㈶㍢㤶㔵〸ㄸ㜹㈰㈴㍤摤扦㑣ㄸ晦搴愶ㄵ㤱㥦改㈳ㄳ㌴㝡换扢㔳㘷㝣晥捡ㄶ㜵㠷㐴㔳ㄴ昱搶㌹攸㍢㑥ㄹ㤱㈲戹〸挸扣㠰扢㐲扣㌱㘷搱慡慦㜲扦挲ㄱ㉦戹㈱㡥㝡っ㈴㑥晥㔸攷挱搸〲㔴㑦搸㙣㍣搷㍤㙡㑥㙦㠶㥣扣搹㈰㜹㈹㘶㠵慤㉡㍣改㜸捦㤴㘸㑦㈲㥣散ㄹ㥥昱敡捤〰㕥敢㝢㜶㉦㘵捡㔸搷㘹㑦攳扡㘷昰㜸㕣㡥㐹㜱㈹㡥㈲㔱㉣㠸㤱㉢㡦昷㌹慡〸㍣攰ㅤ㜴㈳㝣㤷攵〰攲㈷ㅥ㘹㔱慦㜹㘱摤㈰挸搸㑡㈵搸㔳扤扥㤲扢㐹摡㈳㉤搹ㅣ㡥㈴昷㈳㑡㤷愰摢㔶㠳㑤〶攲㘹㜴愲㉥㥤挱㙥㌱晢昹摤㡦㈲搸㙥㔹挶晦㜷戲㉣ㅦ㘹㥦㝥㝡㥤㌰㝢㔶㜷つ㥢晢㥦慣㉦㐸愴㥤㐴㌵㠲敡ㄴ㔵㈹㐹昹ㅢ愱摢慥㥡㐴㈴㘴㥢慣愵㙣㔸㐶搸㔰ㅢ摣㕡㘹㠴㌴㐶愹㕡㌲〹㌵ㅦ㈳㠸㕦愲敦㌷昴㍤愰㑦搲㥥㐱㜵㥡慡㔴㉡㈵〹晣㔴㔳㕡㤶晡敡㘷愸㑡㤴戹换㈹ㅦ㑢㌱㠶攸㈴㈲㍤㘲敢㑥愰ㅤ愵搱㤴昶〹㌴㠶挰っ㜰搳㥥㐷㜵〶搵㘷愹㑡㐹散㐳㍡ㄳ捥㠵搰㜳㠰扥㙤改捥㘲搶攷㌰慢㑢扡㜳愲㉦挵㠱晢㠳㔴戸ㄵ愵愰挱搴㌵㑦㌷㘶昴㍡攵㥥㠹㜶收㤹㉣㝡捥ㅡ挵㑥㝦ㄸ㌳㡢攴㌹攴㤱敢㤶挱晤㈴〶㉡㤴收挶㈹昱っ㔴㠱㍢〱〵挵㤸愴㈸㐳挹㐱㝢捤㜵㜸㡤戶敦户㍢㡤㥥摢挱晦ㅦ㌷㉥扤㠸㌴㌹㤵ㄲ〹换㌸㌵戵㍣㔵ち敥昹戱㝤昵㈰㉤㍡敥㔴ㅡ摥挶㉣㕤㌴て愲挴㉥㈸晡㔶㜸㘲攷㌰〵㜹摤㌹㈹挶换㍥㈷㜸昶慢㠴㔲攲㡣㔸㌱㌲㤰㈲ㄶ㡤〸㔷改〲㠹㌱㜳挹攲ㅢ〸㉤捦敥㈴㔱㘶㕡㙣〶愱㈷㜲㤲搳㍢改㈵㙦摥ぢ㑢㔶戰㘶敢慤搱〱攴㠸㜲扢挱㕤㐲㔶㥦〰昶搳㈶㜹㙢㙢摣ㄸ㈰㘳挵㙢晡㜵㍥㔷㝡ㄲ戰㤹㙥㉡㉡㑣挰㌲㑢㌲㔵㘶㔴昶〶ぢっ收㈲㝤昵攸㍢攵扦摣㝤昵㐵㤵挰㥥㤱㠳㤰㡢㈸㠰㡡扤挰㌷ㅣ㌳搳㤳㌴ㅣ挳ㄳ攳㍡㍤换慣㌵㥢ㄷ㜴㥦っ摢昳〳捤改㌴㈳挳敢㑡昶㈳㙦㜹ㄲ㤴㑤㌱㌰㡡㝥戹摤搱扦㑢㜰㘱㠳㌰㘶攰〵㍢摡ㄷ愶挴戹㠱㥤㝢扣㉢攵㍥㈱摢㘳ち〲㘴㑥慣㈳攵慦搵愴㈴挴㐲㘱捡敦㠸搵㐰昹〰晣㜱ㄷ㑦㐱戱㉡戵敡㝡ㅢ慥㤰㕣〹㤰㠹㠱愱㤶㐸攰ㄸ㐸愲㐵㤹散㤸㡤愴㈰戶㡣つ搲㔵㤴㌱㙦扤㔵攷っち㕥敤挷㘹ㅡ㡦搳慡捦挵ぢ㌴㈹㍡愴挲㡣㜳摢昳㔷㤷㍤㙦ㄵ敦㤸〳愲ㄷ㌴㌸て昱㕡ㅣ㜲愲㈷㉦摡㘴晢戱㔸捦㡢戰慤㜷㄰㤱慦㐷戱㘸㤲㕡戱ㄹ扦㉥㝡散搷㜴㝥㍣摥㝥晣攷㙦扣晢捥㤷晦㌴晤摥㠳晢攷㕡㝦㝣敥〷散㔷㙤挲㕦㙦㍤㙣㑥㜹愳㜳慦㕦㕣㝣晦搰㤹昵扢ち挲摢㈳愵ㄶ㜸慣ㅣ㌴户戰慢㙡㠵㌶ㅦ㌲㈳搳㐰㍢㘹ㄲㅡ㔱摡㘷㈴捣㙡㠳㑥㕤捡㤸㘵摦㌲㙣换攵㌰ㅤ㑡愸昱戲扥挶㔷㈸挵㕢昴昰㡡昷摣㡣㔹昵㜵㌷㐰慣㜱敢慤挳㍤㍤攱㉤㡡㔹戰摣㠰戶ㄱ㜸㠹昶㐱ㄳ㜰㑥㌷搷㜴摣戲扥ㄶ㍣〹敥㐴㜶搲㈹ㄱ㜸挹㑣㤶㔹㔲㑥敥搱㈳㤸㝡㤹昸㘵扢㍣昰㑡戶㍣㕢捥㜲挷ち昰ㅢ㐹搶ㄴ攱㥡㤲㐲㔹〰㥤㝣ㅥ摢㐷昸㠶㑣攵搱㌳㐰〸㥥ㄶ㍦㥤戴㔳昳搸愰ㄸ扥㤵愲㡡㡣敢ち慤㘱㔹㔴昴㘹㉦戴ㅢ攸㌰攴㌸㐸㍡晡愲昸ㄷ㘸㐸扢㡡〹挸㙣〰捤扢攲㌳㐳摡〳㡣㘶㍦㈷㡢〵㌲㔰㕢㘲散〳㙡挱戹〷㌸㈷㐳㤲〴〷ㄵ㉥愰挱㈱㈲㘷昸ㄹ捤ㅦ攸っ敦户〹散攰㉦慥晣晥搵㤵挲㌷㉦晦晢㤷敥扤户捦㌰㘴㔳㜰〸㐹㥤愶敡㔰捦〵㑣㉦ㄶ慡㠳㌴捥㤰㝤㐱敢摡っ㔵っ戹㤷㔰㑣戹摤㐰㘷ㄸ㜹っ搲ㅡ㜵㤶慡㐳挵㐲㉤昲昳づ㕣愸㜳㌴㝣㠰㠶扢ㄲ昴㘱愴㍤㔸愳㝤ㄱㄵ攲てㄳ慡㐷敦ㅡ㔵㥤㌲㡣㉢〰扥㘹搷愹捡挴㠶愱㙥戱㄰㥢㘹㘰㍤っ攵㡢愱㐵っ㈱搱㘴㐲㕡昴㝡㜸㐱㙡挱慢㐲㡤㑣㡣㘱㙦攸㔶愵戳㑢㤹㈹摢捥㜶攰㉢㔰㙦㘱愸昷㈷戳㈵ㅡ㍡㐲㑦慤愶捤㙢ㄳ㌵挷摡攴㐶㙥搳づ㌶搹㡦摡㉡晦搷摢㙦㘴摦㝡昸㠷愹㥦㥥㥡晦搶搷㈶㍦㍡捤敥戵〹晤㍦㕡つ㜷挴㔲㜰慡ㄷ〶㘱敦㡥㌷捤㔸晦〳㜲㥡ㅥ㠴㉤㥣㍢㐶改慡㈲㄰㈵㉥㕦搹ㅢ慦㑥晣㠳て㈸㍦㈴愹晦〷㍥戰㠹摥昰昵㉣㡤㘸㕦愲㡡攱㠶㠴㌵㐳攳ㅡ㜴慣㐱慢散晢扢㘹昰慤㌶愱晦〷㍢㠶㉢㠴昲搸昷㘸〶㈴ㄶ㥢攸㌴愲㘰愷晥㌸㠹戴㝥〶捡敡㝢ㅣつつ㈱㉡㔶摥㝣敦愵晦㑣㝣㘵㡡㘱㍤㤶㜷〶㠶晥ぢ戳㐰㈱㥡</t>
  </si>
  <si>
    <t>㜸〱敤㝣㜹㝣㕣搵㜹昶㥣㤱收㑡㜷㉣㔹㘳㙣捣㘲〳㑡㤰㑢挰㐶捣㡣㐶ㅡつ挱㤱㘴搹㤶〵昲㠲㘵㘳户㉣攲捥捣扤昶攰㔹散㤹㤱㉤ㄱ〸㔰㐸㥡愴㑤挲㤶㝥挰㤷〵捡㤷㕦㍥㐲挲搲搰㠴㔰㤲㐰㐸㐳㑡㈹㈹㈱㑤㈱捤搷慣捤㔲㑣〲㘴㘹㤲㕦ㄲ㝦捦昳摥㝢㐷㜷ㄶ㐹戶敢晣敡㍦㝡愵㜹攷㥣昷扣㘷㝢捥昶扥攷㥣㍢㍥攵昳昹づ攱攱㌷㥦㘶㍡㤶㡦㑦㤷捡㘶慥㝢戸㤰捤㥡愹㜲愶㤰㉦㜵てㄵ㡢挶昴㔸愶㔴㙥㠲㠰㌶㤱㐱㜸㈹㌰㔱捡㕣㙤戶㑥散㌷㡢㈵〸〵㝣扥搶㔶摤㡦昰㔶攷ㄳ㜲㍤㍡㘳改捤㈴㤰昲改ㅡ㐹ぢ〹㐵㜵㥤㈴〸搲戶〰㘴摢昰㥡捤挹慢㤰昱㜸戹㔰㌴㔷㜵㕥㘲㈷扦㍡ㄲ改㡥㜴挷攲㤱扥敥昰慡捥攱挹㙣㜹戲㘸慥捥㥢㤳攵愲㤱㕤搵戹㘵㌲㤹捤愴㉥㌲愷户ㄵ昶㤸昹搵㘶㌲摣㤳㌴㘲晤㤱㔸㙦慦㤵㐸昴户戵㈱攵㑤挳㙢戶ㄴ㑤慢㜴慣搲㙣㘷㥡㥢㠷搷㜴㙦㌲换挷㉡捤㠵㐸ㄳ㐹慥㉤攴㡣㑣晥ㄸ㈵ㅡ㈰晣㍤㙢捤㔴㠶敤㘴㥡挵㑣㝥㔷㌷㡡㕤〵㌴㝣昱敥昵㐰㍣㘵㤴捡挳㘶㌶扢搵戴搸㐴㙤㌹㘲㘶ㄶ捤㝣捡㉣㉤捣慤㥢㑡㤹㔹㈷戸搴㥡扢挴㈸㙥㌲㜲㘶㌳ㅤㅤ㌹扢摤㐶搳㘶扥㥣㈹㑦户攷戶㤷捣慤㐶㝥㤷㐹㤱㐰㙥㘴㌲㤳㙥㙥㔶捤捤扥愶戳ㅡㄵ㐶摡愶㝢㝤㌱㌵扣摢㈸㤶挵挷㔶㡢㌴㤲昵昴㄰㈹㜸㔵戱搸㡢㍡㙢㘲戱㤹挶㌳戹㡢捣㘲摥捣㌲ㄳ㌶摥捡ㅡ㈱挱挴㠶扥〲㡥㕢ㅢ㌶㡣㕡攰っつ㔶㠵戹攸ㅤ㈴㈱㄰㙤ㄱ㐸昳扡㉤㙢戶改㈷㤰户ㄸ㐴㌵ㅦ挴搸慡㡤攳㥦㌰晣ㄳ㐹晦㐴捡㍦㤱昶㑦㤸晥〹换㍦戱换㍦戱摢㍦㤱昱㑦㕣攵㥦搸㠳㤸敥搳摡搲攲㜷ㅥ搵昱搴昹㕦戹㘹搷㥡㍦㑤晣攷㤷昲晦昷㈳㘷〷㌸㥣㝡ㅢ㔵愰ㄶ㥢愱㔲㘹㌲户㤷攳搸㘹㌷ㄹ㜴戹戵愵昲ㄶ愳㤸㉢ㅤ摢〶㐶昳捥搷挲㐳愵摣ㅦ扥㠵㤱挹㌱㘹㘱敤㐴挰晣㤶戱挲慥㑤㠵㘲づㄳ捤㠸㔹搸㘸ㅡ昹搵㤱㜰㌴摥ㅤ敤㡢昶㠷挳攱㐸㝦㑦㌸ㄱ㘵搰㜸㌹扤搶摣扦ㅡ㌳㔵㘴搵㔸㈱㘵㄰昴搵㘱㝤㈹搲搰㑦〲搱㑥〶昹愳扤挵㑣捥㈸㑥㜷㥡㜹戳戸㙢扡㌳㠵〹搶㘹愰捥㉦㝣扡㌳㔷㐸㑦㘶捤捥㠸㝥ち㘳㥤ち愲搴扦愳ㅦ戱㉦㝤㙦昴摣攵慦㜴㕤扢改㥥挹㈷慦㜹捦愷晣㠳㡡搳愹㑣慥换㈹㝣ㅡ㠸㜶㍡挸攲攱捤搱㑥㌳㤷㈹㜱挰㜷㕡㐶ち㔳愹㝥〶㐵㍡㐱㤴晡㤶㥢摥昶㔷㈶㠷ち㕤愳㝦ㄱ摦昲昸愲戳昷㕦慤㌸㌳戳㘳㘹㙦〴㘹㔰敤摥扥敥㜸㙦㈲㥡攸㑦挴㈳攱㐴㕦㝦㉣㍥㐷戵捦㐴ㅡ㝡ㄷ㔳㕢〱搲挱㌲㜹敢昷㐷っ㍥ぢ㐴愹ㄷ㥤昲㥣㝥昵㐵ㅦ扢昲㌷扦ㄸ晤挰挱㙦愵晥户晥攰户ㄴ㘷㈰㈹捦搹㜰っ搴㌷㐳戸㍢搲搷ㄷ㐳ㅢ㔴㥥敡㜶〸昷㝡摢攱ㅣ收戸ㄲ㐴㕢〵㜲㥡㠳戴㘹㔹㤹㔴〶昳摢㜴㔵昱捥愵㜰㌷㠸㔲捦㍢挵摢㜱昳㍦㍣㙥摤晡㠳昵㜷㥤扤散㠹ㅤ敢晦㉤愶㌸㤲愴㜸㘱㌸㤶㍢㕤挴敥ㅦ昱㜰㜸㤵搳ㅤ㝡晢扢ㄳ㝡㠴挹㐵㐱戴ㅥ㤰愵愳昹㔲㈱㉢晤愳㉡搳ㄸ愵㝡㐱㤴㝡挶挹昴晦慤晢收慡昷㑣㍣㍤昶挸愱㍦晢戳昳ㅦ㘸㝥㕥㜱戹㤴㑣攳㜰㥣㕢㡦㐹㙦㜵㤳㔴㈱搰捦昴ㄳ㈰摡昹㈰㑢戲ㄹ换㉣㘷㜲㘶㔵ㄹ摥㑣㤹ぢ㐰㤴㝡捡㈹挳〷㍦㌹昵晣㤵㌷昷㡣扤晢攷慦㜷㝦昸昱㐵ㅦ㔷㕣慤愵っ㙦㠱㈳㕣㕦㠶㌰扡㐹㔵㌱愲㍤摥㠶ㄸ㘰ㄶ㠳㈰摡㄰挸㘹㝢捤愲挵攱㠵㈵愶戳㐸㔰慡捡戳㠶挲挳㈰㑡㍤敥㤴攷㑦捣㥦㐷敦㝦㙡㘸昸昶愷ㅦ摤昳昵户㝥㌹搰戶づ挱ㄷ㍢㤳昳摡愲㜱〰㉢摣捣攲ㄹ敤づ昳㙦㝥慤〱㑡㠳搵㙢挵慤㐸㈴摤ㅢ㌶㝡㡣〰愷昷挳㕤慢㤶㐰戶捤摡㤱挹愷ぢ〷散挵换㕡㥦挹㤶捤愲㜸㍡㉣㝣搹ぢ戰昸摢慤㜵㔳搰㕣㔲昶㍡户挴ㅡ㌶㡢㘵慣昸攵改㤹愹㜱昹ㅡ愳㘴捥㜸㔷㍡㘹慦㈹㑣收搳愵㘵㡤〳挷换㐶搹㍣戵㌶㙣㈶㤱扡㘸攳搰〶捣㤲ㄴ改昴摡㘸㤷ㄸ搹㐹㜳㘸㉡㘳〷㥦㔶ㄳっ扤愰㤰㥣㍤㜴㝤搱摣㔷〹慤㉢搱㄰昴捡晤㤲㜶㕤㉤敤㈰扢㕣㥤挳扢ぢ㈵㌳㉦挵㕢㤹摢㤲㐹敤㌱㡢攳㈶戵㔲㌳㉤㔵㍤㤱㐱㡥㜲戲㜲㜳ㅥㄵ㠵扡㤱㝥愳㤷㑢愰捤㝣摡㑣愳扣攸㘸攵改㙤㐶㌲㙢㉥慤ㄲ戱昳㐴挰㈹㔵散昵㠵搴㘴㘹戸㤰㉦ㄷぢ搹敡㤰愱昴㝥昶搶昴挶㐲摡㙣㤶挷㘷㔳攵㙢㙡㔲捡昷愶㐶ぢ㌳搳㉥㔱昷昰㜶ㄲ昴㥡戹㠵㍤㥤㠸敡㔰㐳㥤愵㤲㌲ㅣ㥥㑥㐶昹戳攷㉣㠹户ㄳ㔲㍡㍣愷㜴㠳㑥捡㐸㈷㔷て扣敥慤㘸ㅦ戴㐳搶攴愸昴㜷捤㥥攴㑣扦㥣愷愴㥥㔶愱ㄱ㐲改㌹㐰㤳㘴㉢㝤敦て㉢散昷㉦㜶㙡扦㙥㍦搴摥つ㐶㍥㥤㌵㡢㜳㥡㔰㡡㈵搲搷㤳㡣㤰㙣㈰ㄹ㈵戹㄰㈴昰㌷㤸攳㘶㐵㤴㜳慥㥡㔲搳㠱〳㤹㜴㜹户戶摢捣散摡㕤〶て愶㔷㙢㉢攱㝥ㄳ㉣戸㘷昰晤㐵搸㕥摦愷㌵愷㡦㤱㙣㈴搹〴ㄲっ晡戴捤昸昶㘹㐱㝤ぢ扦㉥㈶㔳㄰敢摣㌶扤搷っ慡〰搵搹㈳㔷扡㘹敢改愲攳挳〸㉢〵㜲㌰㈵㑡㑤㑤㡤㠰搸㘰㤴㜶㤷㌹〶攷っㄴ昵㝡㉢ㄳㅤ〷㘹摢〶戲㘹㠳㤹挵〸㍥㔶昶㕢㠰㡡晡扣㜶〲㠵㤶收挶愷昳愹摤挵㐲ㅥ〶敦㕡愳㙣っ愵㘰っ㤵㤴愱攵挶ち挳㤳㘵㉤户㈱㠳慦戶摣㔶㜳慦㘹㤴㠷㌱㐳㤷摢㜳㘳㌰愴㘴ちㅤ㑤㑦〵㜲戶つ戴搶㉣愵㜴ㅡ㑢愳㤸㤱愶㌴戸㌰挵戶攵㌸挷㤸㔳㘵㈶摤㤲㠳㔶㡥㥥愴㐳㘸愵挴戲㕤㡣搹㉥㍣㌷㜶搰昱㈱㠵㤰㌸㍤愹㉣㄰㠶㥤㤲㉣搴㔸㍣愱㈹㌶㍢戴㜶昰㙣㉦㘷戲愵㙥〷摥敥戵〵ㄸ搳愶㤸晣㠴㕤搳搰户戴㌹ㅢ慢㜶㡣搳摡摡㥣㑡摡挹愲㈸㈳挵挲攴㕥敡攳挷㉡ㅤ愶攵搳户㠳㝣昸戵㡦扤㜹挵〷ㅦ㍣攴㝣㕦㠷搱㈳㡦㑥㠳㑣㘷㔷愷ㄷ㕦昲攸㍢昱ㄵ㥣㉢㉣㐰换慤攱㈴㍢㡢㘱ㄸ㠰㝣㕢づ戵摤㔶㌴挵搲㙤ㄵて挶㔲㝢㙥㐷愱戸㈷㔹㈸散㘱攳㉦ㄴ㕦㘹户㘹㤶挵㝣㜴慣㘵扡㤵㔲㑤㑤㔵㜶愲挷捥愴攱愹㕤〶搲㍥㤴捤㜶扡㈹㤶戴换挱㙡挲㘲愲㕤〱挷㘲㉣㐴戰ㅡ㈶㝡㈶㜲㤹㈹㌳摤㍤㤵㉤㑤愹㝢㔰㜱㕡つㅦ㝦昱㠶㑦㍥㜰改㔷搷㍤昶攳攷捥㥢㝥晥㡤昷慡扢㥤㠰㍡㥢㤲㠶捡ㅣ晡㑥㤵攵挶㘹愲㑡摦愹㕢挹敤㘵敥㝦昴㤵攳㑥㕦愹搶㔵捥㤹㘷㠱慥搱㔶㘶㕤㥢晥㘷戵㙦戴㘱㙡慦昶〶〶㡢晡㄰㠶ㅤ㔷㜷戸慢ㅦ㍤〵扦㥥㈶㌱㐱戰㐶换挴㠵㈵㝡㤷敤㔵摣㍣攰㠰搳㜷㤳㘴㐰〲摣ㅥ㤸㝢昵挲㜰愵〱搳捣慤㥥昶摣㕡搳㌲戰㙢㉡㉢㡥㌲晥㍢ㄷ愴㘶散㌳㝢㔶愳戹㉢挱戲愳ㄲ㕡慤ㅥ㕢扤愱㠷㙤挶昴㠸㤹愷〶㔳㍡㤶敢捣戱㕣慦昴慢㔰て昷〹扣ㅦㅤ攱昰敢㐴㑤慥㘵㍦㤵㠵㠹〹㕦㉢㙢㐸㡥捥敤愴晡㌵㉥て㙥㜰慥㌰挵㕤㈵慥㜳㍡搷ㄵ慤〴搲㠴捥愲㜳㈵㔱㝦敥㉣づ㜵慢挶扢㥤㠰扡㑤㈸敥㍤戱愳改〷㐸愶㐸愶㐹慥㈶㜹㉢㠸扡〹㔱搹昳㝦㠶扤慡㈷挱㜸慡愲㥤㕥㑢㤹户㤱㕣〷㐲敤昴㝡㝣户㘱㕤愳〱㌹挹㕤ㄹっ㠳ㅢ㈸㈰㥡慡㔲摣攴㤲愱㜰㈳㤹㌷㠱愸㌳㐰愸愷昹昴户㠳捣慡ㄱ㥣㑥㠹㍡㡤攰㥤攰〶昵㌹挲㔴㈷㈴㉡㘸改㕣㜷㙤愴昶捤㠶搴㕥ㄷ愹摡敤戵㌳ㄱ㔷㌶〳㙦㠱㐳攵ㅤ㔴攰慥㝥昴摢攰搷㙦㈷㜹㍦㠸㘷㍥昸㕦戶㔷㜵攱㕢㐰戸㠳㐲㜷㠲㈸㙥愷㜱㑥搰敦〲㜱ㅦ㘵㈲て㜶㌵改㉥㉢挰慥〷攰㐳攰〶昵㌹挲ㄴ㌷改㘶〰㘰㜷戱〱戸搴愹㘷㕤㔷昹ㄳ㈷愰㙥㍦敦ㅣ挴ㄵ〰㍥ち㠷摡〹戱挶ㄳ攲㝤捣攳㘳㈴昷㠳㜸〰昸㠴敤㔵摣挵ㄳ〰ㅥ愰搰㠳㈰敡㕣㄰〱攰㈱㌸摣㐷㙤㐶ㅥㄵ〰㔶㠱㕤て挰㈳攰〶昵㌹挲㔴㌷㈴ㅡ〱戰㙥㌶〰搶㍡〱㜵㍢㠶ㄱ愴㈴〰㝣ㄶづ戵㘶㔶〰㍥㡦㘰晤〹ㄲ㡥ㄷて〰㑦搹㕥ㄵ挵户〰昰㐵ち晤ㅤ㠸㡡㠱〸〰㕦㠲挳㝤㔴挲ぢ㐰て搸昵〰搰㘰っ敡㜳㠴㈹㙥㐹㌶〲攰扣搹〰攸㜶〲敡㜶㉦晢㤱㤲〰昰〲ㅣ㙡搵慣〰晣㌳㠲昵慦㤳晣ぢ㠸〷㠰㤷㙣慦㑡攰㕢〰昸〶㠵晥ㄵ㐴㜱攷㔲〰昸㈶ㅣ敥愳捥昴〲㜰㍥搸昵〰㝣ㅢ摣愰㍥㐷㤸扡〰ㄲ㡤〰㌸㘵㌶〰㑥㜶〲敡戶㑥〷㤰㤲〰昰㘳㌸搴搲㔹〱㜸ㄹ挱晡㐱㤲㔷㐰㍣〰晣搴昶慡㐱㝣ぢ〰慦挲愱扦〶愲搶㠰〸〰慦挳攱㍥慡摤ぢ挰㄰搸昵〰晣ㄲ摣愰㍥㐷㤸ㅡ㠶㐴㈳〰㥡㘶〳挰敦〴搴敥搵〶戸昳㔱㙢㠰捡挹㕢㘵ㄷ换愳㜱㡡昵㘳㙤捦㘷捡愵〵搶搰㘴戹戰㍥㔳㠶㑡搰㘶㠱挰㈹㔱㑥㤵敤ぢ㑦愴㤵搶㈵ㄹ昳〰㤵㠱㌳敡㠳㜰㈸㌹㍣㔹㉡ㄷ挴戶㍥扤㍥㝣㙤㘱㔳愱扣㌶㔳摡㥢㌵愶扢ㅡ〴摢㈱㍢㜶㥢㜹散㐰ㄶ戱ㄱ㌹㥦㔰㘱敦㕥㌳摤愰㡣攳㠵挹㘲捡ㅣ㕤㝢㍣散㘱㉡㝢㤳挰〷㍢ㄴ慡㤹㕡㌱扢㐹攰挱扤つつ改㠷敤慡㡥㙥ぢ㑣㍢㠴昸捤搳愶㔱昴改愲捥㈰㘳昴㜳㥤扡㈱扡㝢㠰㥢㘳㜳昷ㄳ捦搶㈸户㡢㠲ㄶ摡搶收戵㍢㝢敦㌸㘶挹愴捤愰攳摢㤸挹㉦㜴㥣㥢㈷换㔵㈱挶搴㘲㈷〴㔶昶收㍣摡㍦㘵ㄴ搳挷㐳搳愰㘲㜸散㜶㔱ㅡ晥㡥づ㙤㍢ㄹ㥦敦㔵昷戲挷慢搷㘱挴晢ㅤ慣戹〷搹㜰搳愳㌲㈶攱昰散㉣㜷㐰扥㥤㜰㔷搸慤昴昱攸㑢㕡挱㍥昹㕡㈸ㄲ㈶㝡㌹㉥〴㘴捤挵搵㕥戱㐴㜴㙢㈸㠹㤳戰挹戲戹戰攲㤲搱慥㕢㕢㑤ㅥ㤰敤㌷摢㉡慥㉤愹㌲捥㔱㉡改昱〴攰昸㘹㈱㈰搲散戴㤲㤲㜶搲收攸扣搵㤵攰㐰㍡捡㔶㐵晢㔹昲晣㘴㐰摤㜵㈷㥦晢〶㝣慥㈳挸挷ㄷ攰摥㜲慤愹㔱㍤攱㝡㡦〱㌸㤲ㄶ扢愷㔳昶㌴㈷㌳㔸㥢换攳づ㝣扢㈵㤳ㅦ㡥搹㜸愷愰㠳㐳㈷㡢㡢㍡攵㑣捡挸㘶愷ㄷ㕡愳昹㔴㜶㌲㙤㡥ㄹ㐹㌳敢㑥摣㍣攱㍢㍥摡㑢慥㌹搹㙤㌵〷㉥づ㈸愳戸敢攴ㅥ㍡ㅣ昵㕣攷搳㥢搰㔲戲敥㈲㡤愰ㅥ㜰挶摤㠵〰晢㠸捦㕣㠲㠸㜴挲捣㠹愱㕣戱挱搴㔶挷攲㥣挶㑤攸捡戱㡤㡣㌸㡦搸㔸〱㤷ㄴ昶㤸㘹て㙢㐳挶㘶ㅤ㌷攳㑡㥡㐹搳戴愳㕤㘵㐶㤲敦戸㘷散昵攷〶㍥扤挹㍣攵戳摦晣摥㠰㍢㕡戸挶㜰㜰㡣〱捣摡敤㙢捦攰㄰〵㐰㈶㐱慡㕡ㅤ㥣挱㙣敤㘱㕢愶㥣㌵ㄷ㔸ㄲ㉥敥㔶づ〹愲搹㘲㙤摢㡤慤攰戵敤搶㐸㌱㤳捥㘶昲㈶㌵ㄱㅣ昱昲㕡搳㤸戹ぢ㠷㤱㕢ち愵っ敦㠶戴㕢摢㡡㐶扥戴㤷㍢晥愹改ㄳ慡㝣搲㔸〱㙢㑤㈶㡦〱㘴攷㐹㜷㠷㌵扥扢㜰〰㜷昳㈶㜳昹ㄱ㘳㙦改戸㘸㈸昴㘶攷戱㐷㤵㕦昹晤慡搵摦㝡戴㙢㤵㙣搰㑢㡡㌴㜳㥡㐸㥣收摡〸搷ㅣ㘳㤶㉤攵ㅣ〷㜳捣戲㕣㔵昷㥢ㅡㅥ㐸㔵㉥㌷㜲ㅥ搶㕢㄰愹慤ㄵ攴挲㤱敤愳㌳㤷〸晥㑢搷て〳㥢㤰昲ㅣ换㠱㜴㡤捡㠹攵㠹㄰㕥㘸㜷ㄷ昲搸㝢㜴㘹㜵晡㙡扢㘰搰ㄲㄹ昶㐶慣愰ㄴ愷㜳㍤づ㤴摡㌰昸㌱晤攲㈰づ昳敥㐲摢㐳扤づ搷㤸㑡㑥搸㜰㈱㤷㌳搸扤搸㌵挷㌱㜷㥢慤愲㘴㘳㌶搱㉤㄰改㠳づ换㤸〲换㤸ㄲㄶ㤶㘴摥㐲㄰㌷搳㉡散㌲㡡㤹昲敥㕣㈶搵㑡て㙦ちㅣㄷ晤ㄲ㈶㔱㌳挰㜴ㅦ改㥣搰㔸㙢㜷ㅣ敤㜳㉡㌴㜷㌷㡣〸㐲挷收㐷敦昵换㍡慥㡥昲㠸ㄷ摡慣㑥ㄵ㔷て㈲戵〰捦㐷㌱昵摢㐵昱㈸㘱攰挸㐴愴戶㔰㠰攲ぢ㐰改攰愷㜹㉢挸㥣㐷㙦㉤㄰〸㡥ㄵ㡣昴㝡㕣㈶㈹ㄴ㕢㥣敢戲慤㘸㕡㑥㉢挵㄰㡦㕢㠷㜱㑤〱搷ㅦ昶㐳ㄷ㉥戶㤲㌱㡥㠳捣㘶ㅥ搴㙡㜶ㅢ㔲挱昴〵〲ぢ㕡ㅢ攵㌵敡愶搵攵ㅣ㑢㜹㙦〶㡦搶愵㝦昰攲㝥摡戸愸㔶ㄳ愸摥㠶㝡攸敤慣搳㌸扣慣㑦㡤挰㐲ち㜴㠰〴戶㈳戰㜶㤴捣㝡㌴挹挴〳㌹ㅥ㤹戶收㔸ㅤ愸ㅣㅡづ㔲㜱昴ち㐸戴〵慤㍣扡搴㐳㐸昶ㅦ㥦㝤㜶㌵摣搸㙥〲㜱昳㕦〲㜷㌰㐸昰昴㐵捣晦〴收㙦挰㝢〴愷㈱搴㤴昴㡡愹㈹捡敥㡣㘵搹㙥㜹つ挹挵㤶㘳㔱㝡散挶ㅡ㥥㈸㔹ㄸ攷挷㤱㔵㠸晡〱㌶㜷搴ㅣ敤ち㉣摤㥥㝤㍣攸㔳㈹㈴挸ㄵ搷愷㉤〶攰㑢㌱㔷攴攵㕥㘵㈷攰㈹ㄷ㌳挹㐹慥㡡っ昷㜱捥㙦㈶㜱㠶㐷ㅡ㉥㑥晥晡ㄲ㐴㔴㈶㕣㥣㔳㤱戶㈸㔵晡㔲戶摦扣㘳㙣ㄷ㘳攰愳㥦挴㐴ㅣ㡦攲㤹㡡摢㉦㤸㠴搳㜱㑦㠶㠰㝥ち〵㜹摥搲㐰攰㔴ち㉣〳〹㕣〵㠱摡㐹愵晡㠰〲㘶戳づ愱㘶戹㉤捤戳晣㔶ㅣ㡢换㈵㠰㠰㡣挰〵㥥挳㝢捤㍥户㙦㐵ㅣ戸㜲㈵㙤ㅣ搳戳㤹づ摡㥤㡢㍤㥥昳㠸摦摦㡣㌹㑡慢㍤慥慤换㤶㐹㡣㥢㜲㠸愲摡㔱〴㙤㌹㈲㜷㜳㉢〵改㑦ㅣ收㕤搴捤㠸㠸晤ㅣ㑥㘷昲挰㑣㍦ㅤ挹昸㠲㡡慤攵㘲戳㡣ㅣ㝢㔰㥤㠱㔰扤ㄳ㐴昱㔰㠰㕢㍥摡ㅢ攰㙢摢搵㠹㙢愰攷㥡晢捥摢戳㘳户㑦㝦㈳搳㜰捣晥㌳攱㘶ㄷ攱昹挱〸㍥敥攳㤹㉢㘱戰㜶㌹㔲搳〸愶搱捡㔶㜴㔵扡搹っ㈰㜵㌵攴㘸〴昹昴ㄵ㄰㥦搱挲捦㜲ㄲ攳ㄹ〵㌵昱㕢㙥㕣扤敦昹㡥㠱挱攴㡦㡣ㄵ挶挱㑢〶摤㠴㔹㌰ㄶ敤㕡挸戰昷㉡㡤搷㙣ㄶ㡦㙣ㄸ愹扤㘴㡢㐰扢敢㌶㜹扡㉥㡦㌷愴敢㥥㡤㔸敡㍡昸散慥敢搳〹㠹扥ㄲ㘴晥慥㝢〳愲㐱搰愷慦〲愵㐳㍥㌷挲攱愲て愷摢㜵捦㐵愰摥㑤挱㥢ㅡぢ㥣㐷㠱㌰〵摥づ〱捥扢㝡〴扥捡㔴挹㐳ㄱ㌷㕤捦㔴ㄹ㘵戴ㅥ㐶攳〱㠶㠱㡦㜷㜰摦〶慦㍤戸㘳㄰㌹㤲挱㝤㍢㘲ち㐲扤㑣晢晤昰㔵つ敥㌸戸昳㈳挴戳ㄱ〸晡昴㝥㈶攲㜸ㄴて㐸摣㥡㜸〶㜷〲〲晡昹ㄴ扣戳戱挰㥢㈹㜰〱〵敥㠲〰〷戸戶ㅡ扥㤳摣㠱㔳㝢㥢戹挱〸ㄹ㠰㍣㐶〸捦㔷摣ㄲ昰愸捣ㄹ㈱㠳捣㘰㠸ㄹ㝣ㄴ㑣〳ㅦ㉦㤶昷挱㙢㘳戹〶㈲㐷㠲攵挷㄰㔳戰ㅣ㘶摡昷挳㔷㠵攵㍡㜰攷挷昲ㄳ㉣つ㍥晡㝡㈶攲㜸搴〳㜰戸㌵昱㘰㌹〲〱㝤〳〵ㅦ㙣㉣㌰㑡㠱ぢ㈹昰㄰〴〴换㡢攰㕢攱㘲㌹昷㐵散〶挸㙥㐴㙣㈰晢㠸㈷㍢て戲㥢㤸摤㘶㘶挷㐳ㄶ〳ㅦ㉦戲㥦㠷搷㐶㜶ぢ㐴ㄶ摢㤷戶攷㕦㝦㥥㐰㌴㠱昵㘲㈶晣㈴㝣㔵戰㡥㠳㍢㍦慣㑦㈱ㅡ〴㝤晡㌶㈶攲㜸ㄴ㑦㜰ㅡ挰扡ㅤ〲晡㈵ㄴ攴改㑥〳㠱ㅤㄴ搸㐹〱ㅥ昸〸慣㝦っ摦改㉥慣戳摣㌱㙦㠰攷愵㠸〶㍣㥦昱攴挳〳㔱愷愷㕥挶㝣㉥㘷㍥㉦㠰㘹攰攳挵昳㥦攱戵昱扣〲㈲㐷搲㔳㜹扡㈳㤰㑥㌰㙤ㅥ昳㔴㐱㙡㠰㍢㍦愴㉦戱㌴昸攸㐹㈶攲㜸搴㌷攰㘸㠰㔸ち〲㝡㥡㠲㍣㉦㙡㈰㘰㔲挰愲〰㡦㤰〴搲㕤昰㉤㜷㈱㙤㜸㘱扥〱愰ㄹ㐴〲愰摦昶攴攲㔹ㅣ慦㘲㉥㝢㤸换㡦㈱㘰攰攳〵昴㘵㜸㙤㐰戳㄰㌹ㄲ㐰て㈲愶〰㥡㘳摡慦挰㔷〵㘸〱摣昹〱晤㈹㑢㠳㡦扥㤷㠹㌸ㅥ挵㌳愶〶㜸敤㠳㠰㕥愴㈰捦㥦ㅡ〸㤴㈸㐰㍢㕣扤づ〱〱㜴ㄲ扥捡搰挷㝤捥㌹慥晥㌷㐰昶〰㘲〳㔹ㅥ㔸戹搹㜹㤰㥤㘲㜶搳㈰〱ㄶ晤昰㡥㌱㘸〴㠴㍣㘷㑢㜲㠹㘴㤱㜵昱愴㤱挵㕢㙣㥢戱户㔹㈶敢㜸㌰㘸㥢敤ㅤ收㜹㜵㍥愹挲愵㤷户愳㘶戵ㄸ㔴敢㠷㑥摤攴捥捣搱敤㐰〷〳敦昸晤愱㐳㠷㤷ぢ㥢慥晡ㄶぢ㡤戸愰晥㔶〴㔰扦㔲昸愶㡣㝥つ愹昳挰ち㙦挰つ㌴㠱㍢挷㐶㔰捤收㉤搳㕢㍣㘳戶㜲㠳㘲㘵ㄶ㈶挷㘱散〷㕤换散戹㕦换㌴慡㑢搶攲㜲慦㜳ㅣ㡢㈰ㄲ愰戹㕦㙢っ搴敤㌰㜰㕢〲挷㔲搸㙢ㄸ㉦㑦㘷戱扦㐳㈷㡤〳摢㐵㠳搶づ㐶愱ぢ㐵㙣㔸㌷搷摥扢慢挴㕤㠷愴ㄶ㉣愹戹㠳㉦搱ㄸ挲慤㡣挰昵㘸愲㔹攳㐳挰搳㉡㡣挳㐷扢〱晣㈵ㅢ㌳愹㘲愱㔴戰捡㥤攳搸愷散攴㕢ㄹㄶ㜶慣㠷〲㙦㐳㡡つ昳㘴挵㥡昳㝣攱㜳㍦慦㉢〵昷攴ぢ〷昲㔲㥡㐰㠹㉦愷㌰㌷扤愵㠵搹〴昱㤱攷㑣㘰ㅢ攲戶〷㈳敢㌷挲搱摥ㄴ攲扥〱㥦㄰昷づ挴挱㡤〲㜱㜰戳㠰㑦〷捤㝢愶愲㠹昷ㄸ㤲㄰㌷〵搸㌹戵㥢攰㔸㌸扣㘶挲戳戳愸扤ㅤ扣㌶昰挴㜲摢㡡㤷㍡戴㜷㠰戳〸㥣敡㌷㘰㐳摣㔵㘰㉡㌳敦㠹敡敦〲㑢㠹つ㑢晥扢改㠳㠳㐲㡡㌶㉣㍢㡦㥡〴戸㙣㌲㌰㝤摡㕦㠰㌳㙢㍢愸ㄲ挴搸ㄶ搵㔸搲扣ㄵ㉣摦ぢ〷戰愴㈹㑢㠵㑤㝢ㅦㅣ㉢㠶搷っ㙦㥤㠸愷ㄲ㔱搳敡㑦㐵愳挹㔸㉣㙣㈵ㄳ晤㔶㝦㌸ㅡ㡢挴㘳扤㜱㌳ㅣ㑤㘹㌷㝢㐴㉤㈳㥡㡥昵㕢㌱ㄳ㉦晣挵ㄳ㐹㈳㤹㑡㥡㘹ㄳ敦摤ㄹ㠶ㄱ㡢㠵㘸㈴㌳㜹晤ㄶ㌸昴㕢㐱㐲戴㡤㠵㜵ㅢ㔹户㤳㐵㑢㔹㔸ㄴ㄰搱〰㙤挸㜹㈷㌳挷㠰㘵㝤㔴㔲愵㔴㕡㤹捤㉤㉤㜵㘷搴搵ㄳㅢ㙣㕢㤹〴㌹〵㙡ㅡ㘹㈰〳㤸收㥥愷摣㐸㈸㤵㘷㐴㌰戲㠰㜹〷换㝤㈷㐸㌰㐴昳㤶㍣敤㉥㌸㑥㐰挳攳晡㥣㝢㌵㕢㐶㌱扢㠸捥扥愳戳㙢㠴㍡㐱㈴㡤㉢㄰㐹㕥〵戵㕦ち扤〷㝣攵㔸挱㘸晢㉢㔰㐴㑥愷昶戴㜸㉦〲㌹㉤㥥㐹㈱挶慢㥡ㄶ扢ㅡ㜲㔷㠰换愹㔱晦〸㠳捦㙡㈸㈳㘶㈸搳晢愸ㄳ㑣ぢ㑦搱っ㤵摥户ㄳ〵㜰㝢㥦捥㔹㠰〳㕥㕤〲㙥㝤㐷愳㌱㉡昵扡ㅦづ㜴㌴ㅡ㥥㝣㐲㌴㍥挵㜱㥥敢〸㍢㡥㡥〸ㅣ㝦㤸㐱ㅢ㐵捡㌲摣〴㜸㘹〲㐱㥦ㄶ慢昰㘹㈴挸㕢戲晡挳㘰㈹戱㌶挹晡㙢晡攰㤰㘱㐸㙢㔳㠰搸攸〵㠲挳㔰㠰戸愸㈱㄰晤〸ㄶ㈰㍥〵〷㠰㐸攰㑢㐶摣愷攱戰㐷㥣搹㙦㈵攲愹㐸㉡搵㘷㐶㘳㔶㕦搲㐸ㄸ扤扤昱戰㘱愶㔳㝤㐶㌸搲愳㍤㕡ㄱ㡤㐷㝡挲㍤ㄸ㤱㜸挹㌶ㅣ戳㝡ㄲ挹㐸㌴摥摦㥢㌶ㄲ㘶ㅡ〳㉦搱ㄳ愲攵㉡㘳改㌳㜰攸㡦㠱㠴㘸戰ち敢㙦挹㝡㥣慣ぢ㕣ㄶ〵㜴㡡㉡摡愴ㅣ㜵㙡〸搵攰㠸㤰㐲㍦挱昰㈷㐱㠲愱㐱㔰攱戱㘷敢㌵摤㜸挸つ㤴㙥摣㐵攸捥㈴昹㝢昰搵㌰〹㝤捦㌸づ㐱㜳ㅤ㍣㠲㘶㙦㐳㌴㝢ㅡ愲戹ㅥ㤱愴㄰捦挱〱㌴㐷昰㈵㘸㝥〵づㅢ捤㔸戲て㠸昴㐷挲挹㌰㈶愵㔴㈴㤹攸㌵晢㝡㝡㝢晡搲〸㐹㈴㈲摡㍦㔵㐴㝢愲愹晥㐴ㅦ愰㡥挵搲戱摥㐸㥦搱㥦㠴戸㤵㡡㈶㌸慦昵挶㐳戴㕤〵扡攷攱搰扦ちㄲㅡ㜵㔹㉦㤰昵㌵戲㉥㜴㔹ㄴ搰㈹慡㘸㠷ち㥡㘷㝢搱㝣㤱攱㉦㠱〴㐳㥢㐰㘷㐵㜳戳ㅢ㈸㘸慥㈴㜴攷㤰㝣〷㝣㜵㌱〹㝤摦㜵ㅣ㠲收㌸㍣㠲收㘹つ搱㕣搶㄰捤㙤㠸㈴㠵昸〱ㅣ㐰㤳㠶愵愰昹㐳㌸㙣㌴㈳攸㡥㔱戳愷㉦ㄹ改改㠹㈵㈳㤶搱㙢㈵㝢㡤㔴㕦戲㍦㙥〰攸戴昶愳㡡㘸戴㌷㘶挵捤㘴愴㍦搶搷㠳㝦换㐸挶㝢ㄲ㔶㍣㤵㑥挵昱摦㤷づ搱㘴ㄵ㌴㝦っ㠷晥ㅦ㈰愱ㅤ㉥敢㘵戲づ㤲戵搳㘵㔱㐰愷愸扡ㄴ㐴搰㕣攴愰挹㉡敢慦㌲晣㌵㤰㘰攸㌲搰㔹搱愴㠱㉡㠱㠲㘶㤴㔱㈳㈴扦〶㕦㠹㠵㐹摦㙦攸㠳㐳搰㌴攰ㄲ㌴〳つ搱㙣㙡㠸㈶敤㑣挹攷昷㜰〰捤ㄴ扥〴捤㐳㜰㌸㙢㙢捣挲摡㥡㠸㈴㝡㘳挹ㄸ㍡愸搱ㄳ㡦昶挷㔲㠹扥㐸㝦㈴摡摢㘷㘸㡣㘰㡢㈶晡㝡晡㝢捤㠴ㄱ改挵ち㥢挴㠲ㅡ戵攲扤搱㤸㘱昵㐶慣扥㜰摣っ愵㥤攴㜵㠵㌸扡ㅦ㈴㘴扡慣㈶戲㥡挹戲㕣ㄶ〵㐴㔴㘵挰ㄲ㌴㝦晤㍢捦㐸㙦㘵㌸㝦愵㈵ㄸ扡ち〲戳愲戹挷つㄴ㌴ㄳ㠴㡥㌷㌷昵㐵㠸慡挴扣愴敦〴晡㕣㌴ぢ㜰〹㥡慦㈰挳捡〲㔲㤹㌷㕦〶户㝥〱搹敢收戳ㄴ㐹〱捤㝤昰挳攵搳㑥〲戵㈱㡡愶攲㐶捡㡣㈷搳ㄸ搵搰㑦㡣晥㐸㍡ㅥ㡥㘰挴㘳㤲挴㥣㙡㘹㈷㔷㐴㘳㘱〳㜳㐲㉣〱㉤〵晡㑡愲户㍦㤹ち昷昱㡤敥㥥㠸搹ㅦ㡥㐷㐳㐵㈷㜹晤ㄴ挴搱㑦〵〹㤵㕣搶㌲戲㤶㤳㔵㜶㔹ㄵ㈹㜵〰㉣㐱昳㍢㕥㌴㍢ㄹ攵つ㈰挱搰ㄴ〴㘶㐵㜳摡つㄴ㌴〷〹摤〰挹搹㠸慡摥㡡㐰晣㘳昰挳挷㝥挹㑦挸㕤敢㤵搸ㅦっ慥㜰ㄸ㝣㥤㥢攲㉡㐴㙡㙦ち摣〸晦㥢㘷扦戵攷搱㕥㔷挲㌴慡㝡ㅦ㝡ㅤ摥㙦㥥㐶㉡扥㈶ㅣ〸摡愷ㄱ捤晥昳㡦㉥㉤敡㕣㙤㐸㡡㥦挰ぢ㠰敡扦㤰づ㌱㤹戱ㄶ㤹攲ㄹ昸攸摤挴散㕤〸㥣戹㡤㝡㌹昹㠴㔶㍤㠷㉣ㅢ扥昲昶㡦㑥㐰敤㉢㙦愱㜷扢㐰挶〴㐸㐵㡤㤹㘰慡㝦㐰っ搶㐰㌲敤㐳㘰攰ㄶ戰ㅢ㕥搶愹晤挵ㄵ敦慦搱搰㌴㌹㌱㌷㕡㠲㤹㠰㔷㔷户ㄵ㠶㉡扦㠸戳挸㌵ㅦ㔶扡慦捤慥㤸攱戸户攲摣㘸㥢㡢㤵㜸㜸ぢㄴ㠶ㄵ〲㔶昲㈵摢ㄳ㘷㝣㥥㈳愴㘵㌳㕣散〲攲㘲㤶㤹㜶㔳㉣挱捥㙥昶㌷愹摡㠳㔶戹昴攲扣攳㐸㤵㥢愹攱扤昷搱昴㐲搴㘰㔹㠳㤳摦㌵㤹戲摣㥣攰㌱愸搲摦〷㜰戴㝥挲戴扡㙢㕤㔷㍣昰㌴愰㍢散㉣㄰搷搳搴捣㤰㘳〰㌷戲搹搶户㈲㤴搰㉢晤㘶收㜱㠱㥤挷㜰㔷㕣㍤㠵㍣㤸て㌸㄰㝥ぢ㠵㙦㠳㠸换㔲㌴㍢攸㘱㘲ㅤ㜷挰ㄳ㠰愳挶㔶㝣㤵〳㤱捦愰㔰摦㜲攷扢㜳戰攳捥摡ㄸ戵㙦㤶㉣㝢愸戸慣扤晤收挱愷㝥昱愶换摥昷㠵搷〶搴㍤㠸㌱搳㉤㑢㐸搱敥㤶㥦㐳㈱ㅡ㜶换捦㍡〱㜵敦搴摣㡢㤴昰敦搳搷愲㔶敥愴愰㍥攲㜲慢收〲慡昱㌲昵慣㠷㙣㝢㤳愲㉥㉥㕤昸㌳㐸扤搲㠵㌷㄰㥥㠷ㄱ㌴㔳挰㤹㜱昳挸㙣〵晣愴㕢挰㥡㔷㔹㐲㝦敤㘶扡挹捥㤴㝡慦㘴晡戰㌷搳㉤捣昴㌳〸戲ㅢ㤰捡戰戶ㄵ㍣改㈴晤敡ㄳ㤰㜵ㅢ㈸愸㙦愳㌰㔵㔵㕢昸㔱ち㕦㘲ぢて㜷昵慢晢ㅣ㘱㜰搰摡㍢㈹㑣㔵户搲摡㡦㍢ㅥ㘹敤㈷攰㌹戲搶㝥戲㌶㐶㙤㙢摦㍦㤱晤㥢戰㌱㌶搳摡㝦㡦ㄸ㌳㘰捥戴昶晦㜱㌰晢㜸敤㝢户昷㍡〱戵慦挵㠴㥥㐱㑡搲㠲㔷愰㔶㘸㐱慡扤〲收㍤㠸㔱㘹挱㉢㔹攵攷ㄱ㘴攳㐳㕤㔸㑢㠲㈷㘰挶搴〷ㅤ㝣散愱㤳愶㌰㌵㔵㕢㤸摡戰㘶搹挲挳㕤㌱㜵愷㈳っづ挰摣㑤㘱㙡扡ㄵ㌰愹昱扡㉤搳昱㈲㍣㐷〶收㑢戵㌱㙡挱㝣晦㉦戵㠹㍢挶晥㙥〰㈷㡥㜸㕥ㅤ㔰㔴㝡ㅢ㠱㜹扢㠳㔹ㅤ㤸户㌹〱戵慦搸㠴愸㌰ぢ㤸㜹搴ち㘰㔲敢ㄵ㌰㙦㐱㡣ち㤸㝢㔹㘵慡㥤㌶㍥㔴㠵戵㈲㜸〲㘶㔴扤挷挱挷〶戳㑣攱晦愸〸㔳ㄹ搶昶摢挲挳㕤㔱昵㉥㐷ㄸㅣ㠰㌹㐵㘱㉡扡ㄵ㌰愹昰㔶挰愴㍥㝢ㄸ㘰戶づ㈲㌱㍣愱挱㡥搷摣ㄸ㤷慢㌷摣㍡ㄴ昸昶㜵戵㘰㡡攰捤㜷つ昶昰㈹㙤ㅣ㔴扦㐶㡣㐶㘰摥攴㘰㔶〷收㡤㑥㐰敤敢㍡㈱敡换〲收摢㔰㉢㠰㐹愵㔷挰扣〱㌱㉡㘰㕥捦㉡㔳㐱戵挱愴㈶慣晤㈹扣〲㘶㥦扡搶挱挷〶昳㈶ち㔳㑦戵㠵㝤㜰㘹敦戰㠵㠷扢晡搴戴㈳っづ挰㝣㈷扥ㄴ昵摣ち㤸搴㜷㉢㘰㔲㥤㍤っ㌰㍤㤳㍡㜵摦慡ㄸつ挱昴㉤㜱づ晦㕦ㅦ㔰㔴㜹ㅢ㠱㔹㜶㌰慢〳戳攴〴搴扥晡ㄳ愲扡㉣㘰扥ㄷづ㠰㐹㥤㔷挰摣㠷ㄸㄵ㌰㙦〶㔷㔱昳戴昱愱㈲慣摤ち〲㌰㠷扢㝡㔴慥ち㥦摢㈹㑣㍤搶ㄶ愶㉡慣晤愵㉤扣づ挲ㄹ㐷搸㐶晥づち㔳捤慤㠰㐹㜵户〲㘶㈷攳〱昵挳㕦㈱愹晡㔶挵㘸っ收㡦〶ㅥㄸ昹捥搵㑢ㅥ昸搹㠰愲挶摢〸捣戴㠳㔹ㅤ㤸㈹㈷愰昶㌵愲㄰戵㘵〱昳㐳㜰攸ㅦ㈶戹ㅢ㈴ㄸ愰㐶㍣摦㉤㉥捦捦ㅥ㜵愰挶〱㡢㥢㜶ぢ㉣㥢㑤㈵㔶㕥ㄹ挹捡扥㜵ㅢ慥㍤ㄶ昱挳㐳㘳戸挹㡢换㡥昸ㄵ㐱㘷㤷ㄷ㌷㝣㜹ㄹ挷扤㔸愷㡢㡦㤱㌵㙢㜳ㄱ㌷敤㕡慣搱ㄲ敥ぢ愷㕢昱㤳ㅥ㘵晣㄰㔴晥㜸㌸㐲挲㐹〲㐷㄰ㅥ晢㕥㔷挳㑤晣㜵〸㙥愸扣挹㑤攸敥ㄹ㍣摣㡢昱㝥摥㤶㍣扡〳㈴敤ㅥㄴ愷〳㥡慣晣昲㘴攷㝥㉡户㈵扦扡〲敤㉥收攲ぢて㕦㝦㐸捡㡢㠹㐲扦ㄷ戲昲〶㉥㈷ㅢ㜴㘶捣㄰ㅦ㈱㡢〷㠵㐲㝣〱摡〷戵㤵攲㜱ち㤵㈳㕦捤敦收㉣㔸挰㥡㡥摦昹搸攰敦㝡㉥ㅦ㔲㌴〱搸㝢戴㡦㠲㜸づ㕥搳㥥换㘹捤㙡愷㕢㌲摦昵扥㤹㤲摤㠷㈸㝡〹愹㠹摡㈶㈵扢㥦慣㤹㤲愹㍥昸㔹㍡昷㘹愶㝡㍢㤷㘶捤㔱摢㤲㥢㌰昸攳慢慤戹㠹慣㤹摦㔵摥㕤昹挱㔵㥣㕢攲㠷㔹昴㑦㈰ㄱ㈶捡㡦愲づ捣㔴昵〷㐰挸攱㈷戴ㄶ㔴㠶捡㠳㜰攸て㤱㍣っㄲ㔴挴㠴ㄵ搶搹〶㝥戵搱慤㔹ㄵ收㡦㔰㠰慡攲っ收㥦㈲换㔳㌳敡㤶慣㔹〵挹㑤昰〸㤲㡦挲㌱㉢㤲㈳㙥㝥㔵㐸㍥㠶㈸㌵㐸㍥㑥㤶㈷㍦慡㤵㕥㈴搵㌶㌰愴摥㥦㠳〳晦㌶ㅡ㍢㕤敥攷扤摣㉢攰㤱戲㍤〱挷慣㘵ㅢ㘸㔸戶㉦㈰㑡㑤搹扥㐸㤶愷㙣㔷挲㕦㔵戶㌴ㄸ㔲戶㉦挱㠱㝦扢㙣㔴戹㠴晢戴㤷㥢㠷㐷捡昶㘵㌸摣扢㈹搵摤㉦摥戰㘰捦㐰扥愶㘰捦㤲攵㈹ㄸ㌵㥥慡㠲㤵挱㤰㈲㍣〷〷晥敤㠲㑤戹摣慦㜸戹㙦㠳㐷ち昶㑦㜰捣ち摡㜹つ换昶㔵㐴愹㈹摢搷挸昲㤴敤㝡昸慢捡㜶ㄳㄸ㔲戶慦挳㠱㝦扢㙣敦㜴戹晦攲攵扥ㄷㅥ㈹摢㡢㜰捣㕡戶戳ㅡ㤶敤ㅢ㠸㔲㔳戶㙦㤲攵㈹摢捤昰㔷㤵敤㜶㌰愴㙣晦〶〷晥敤戲摤攱㜲扦攵攵㝥〸ㅥ㔹攲㍢㤱㍤㤷昸ぢ㈰摦敡搷ㄴㄷ㉣〹㌸挳〹㔸㉤〱㑡摤敤〶㥣敥〴搰㐰搵扦〷㙥㠰戳摦㘱㑦换搰挱㡥昶挸晢晢挸㐷㜱㕥㘵ㅡ晡扦挳㠱㝦扢㤶㥣收㘴ㄲ晥〱㠳㌹挳㠹捣てㅤ〷㍤ㅤ㥣㤱攸㘸攵晣搵昱㠰搷愷㌸〳㐹戵㑦慥挱攳㈱㌷攰愴ㅡ㍣㌸㔳㐹㡣愵㕥㍣㕥㘶慡㡦㠰㐸㘱づ搲挷㐹㐹ち昳ちㅣ昸户ぢ晣ㄸ㕣㈲昳ㄳ〶㜳㈲ㄱ㤹㥦㍡づ㈹昰攷ㅣ㡦㕤㘰㑥ㄶ㤵攲㉢㡥㜸㠹晦㉡搹ㅣ散ㄲ晦㌵挷㈱昱㌹戰㉢㌱㍡㌸愰㉢㍥挵㠱㈹昱㕦㈷㥢㘳㔲攲晦捣㜱㐸晣攷ㅣ㡦㥤㍦挷摤㑣㝣づㅥ㠹晦㜳戲㌹㙥㈴晥㉦ㅣ㠷挴攷ㄸ愹挴攸攰搸愸昸ㄴ㍢戸挴晦㈵搹散摢ㄲ晦㍦ㅤ㠷挴㘷㍦慥挴攸㘰晦㥤昱㝤て扥ㅤ〴㜳㑡愵慥㑣㕦㜹攵慦㍡㥡㍢㑦㙤摥㌹搸㜶攷户㥦昹敥慤㕦扢㙣昵て㝦晢㠱て㝣敤晢户㍥晢摢挷㤳慢㥦晥慢扦晡攲㠵ㅦ㝥昶扢㈷㔸㜷晢㍦昵慢戱扢慦㠹散戹㘶㥦戵晤㥣㤱㙢晥昸慡㡢㈳㕢ㄶ慤㙣㙡㙡㘹㌹㙢昱㤷㑦㝥㔳攸晡㝤㡦慡㈷㕦㍡㈹慦愴戳㈱〳晤㔷挸㠹㡦摣挷㘱愷㤳㈵敢搷㜰攸扦〱㘹昷㉢改㜳㤰搰摤敤て㡡㠷搸昷㐴昴户㤴㙡敡㘰搷昸㠳㤶㔸㝡ㅢ㡢昱㍢攴挴㐷㑡捣㕥㈷挵昸㍤ㅣ晡㈱㄰㤴㔸㍡ㅤ㈴慡㑢捣捥㈷愲ち㈳〴㜶㠰㜴慤㍡㈹㜶㌱㤱挲慢ㄹ㤴㤲づ㔴㈷挵㡥㈴㔲晣㤵㙦㐸㐹㌷愹㤳㘲㜷ㄱ愹ㄶ㕢㑡㍡㐳㥤ㄴ㍢㠵㐸昱〷摢戱ㄹ捦ㄶ愱扦扤㔹戱ㄹ㘴ㄴ晥昲户昶㍣戶〶㝣摣㉤㔱㙣ㅡ〹昸㠵ㄳ挰昷攴昴㌶㈴愰搸ㅥㄲ昴戳敡㌸㈱攲收愴㑢戰㐴收昵㙡ㄹ㐵〰㈵攰㌵㙦扡㈱愶㑢搴㈴攸愷㌵㜱〸㤴〴晣愴㈶㠰搸㐸挰㉢㌵〱㠴㐳〲づ搶〴㄰〱〹㜸戹㈶㠰㌵㤳昱戴ㄴづ挵昲㠸敦㈴晡㠴攵㐵㤵㍢㤹㑡㠲扣㕣摥ㄲ㕡昰晦〱ㅤ㈶攵戰</t>
  </si>
  <si>
    <t>UV/O₃ cleaning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</si>
</sst>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E+00"/>
    <numFmt numFmtId="165" formatCode="0.000%"/>
    <numFmt numFmtId="166" formatCode="0.0%"/>
    <numFmt numFmtId="167" formatCode="0.000"/>
    <numFmt numFmtId="168" formatCode="0.0000"/>
    <numFmt numFmtId="169" formatCode="0.0"/>
  </numFmts>
  <fonts count="13">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sz val="11"/>
      <color rgb="FF9C0006"/>
      <name val="Calibri"/>
      <family val="2"/>
      <scheme val="minor"/>
    </font>
    <font>
      <sz val="11"/>
      <name val="Calibri"/>
      <family val="2"/>
      <scheme val="minor"/>
    </font>
    <font>
      <sz val="11"/>
      <color rgb="FF006100"/>
      <name val="Calibri"/>
      <family val="2"/>
      <scheme val="minor"/>
    </font>
    <font>
      <sz val="9"/>
      <name val="Calibri"/>
      <family val="3"/>
      <charset val="134"/>
      <scheme val="minor"/>
    </font>
    <font>
      <sz val="11"/>
      <color rgb="FF9C5700"/>
      <name val="Calibri"/>
      <family val="2"/>
      <scheme val="minor"/>
    </font>
    <font>
      <b/>
      <sz val="11"/>
      <color theme="0"/>
      <name val="Calibri"/>
      <family val="2"/>
      <scheme val="minor"/>
    </font>
    <font>
      <sz val="11"/>
      <color theme="1"/>
      <name val="Times New Roman"/>
      <family val="1"/>
    </font>
    <font>
      <b/>
      <sz val="11"/>
      <color theme="1"/>
      <name val="Times New Roman"/>
      <family val="1"/>
    </font>
    <font>
      <sz val="11"/>
      <color theme="0"/>
      <name val="Calibri"/>
      <family val="2"/>
      <scheme val="minor"/>
    </font>
  </fonts>
  <fills count="13">
    <fill>
      <patternFill patternType="none"/>
    </fill>
    <fill>
      <patternFill patternType="gray125"/>
    </fill>
    <fill>
      <patternFill patternType="solid">
        <fgColor rgb="FFFFC7CE"/>
      </patternFill>
    </fill>
    <fill>
      <patternFill patternType="solid">
        <fgColor rgb="FFC6EFCE"/>
      </patternFill>
    </fill>
    <fill>
      <patternFill patternType="solid">
        <fgColor rgb="FF00FF00"/>
        <bgColor indexed="64"/>
      </patternFill>
    </fill>
    <fill>
      <patternFill patternType="solid">
        <fgColor rgb="FF00FFFF"/>
        <bgColor indexed="64"/>
      </patternFill>
    </fill>
    <fill>
      <patternFill patternType="solid">
        <fgColor rgb="FFFFEB9C"/>
      </patternFill>
    </fill>
    <fill>
      <patternFill patternType="solid">
        <fgColor rgb="FFA5A5A5"/>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theme="9"/>
      </patternFill>
    </fill>
  </fills>
  <borders count="11">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0">
    <xf numFmtId="0" fontId="0" fillId="0" borderId="0"/>
    <xf numFmtId="0" fontId="4" fillId="2" borderId="0" applyNumberFormat="0" applyBorder="0" applyAlignment="0" applyProtection="0"/>
    <xf numFmtId="0" fontId="6" fillId="3" borderId="0" applyNumberFormat="0" applyBorder="0" applyAlignment="0" applyProtection="0"/>
    <xf numFmtId="0" fontId="8" fillId="6" borderId="0" applyNumberFormat="0" applyBorder="0" applyAlignment="0" applyProtection="0"/>
    <xf numFmtId="0" fontId="9" fillId="7" borderId="2" applyNumberFormat="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cellStyleXfs>
  <cellXfs count="121">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xf>
    <xf numFmtId="0" fontId="1" fillId="0" borderId="0" xfId="0" applyFont="1" applyAlignment="1">
      <alignment horizontal="center"/>
    </xf>
    <xf numFmtId="164" fontId="0" fillId="0" borderId="0" xfId="0" applyNumberFormat="1" applyAlignment="1">
      <alignment horizontal="center"/>
    </xf>
    <xf numFmtId="164" fontId="0" fillId="0" borderId="0" xfId="0" applyNumberFormat="1"/>
    <xf numFmtId="0" fontId="2" fillId="0" borderId="0" xfId="0" applyFont="1"/>
    <xf numFmtId="0" fontId="3" fillId="0" borderId="0" xfId="0" applyFont="1" applyAlignment="1">
      <alignment horizontal="center"/>
    </xf>
    <xf numFmtId="0" fontId="1" fillId="0" borderId="0" xfId="0" applyFont="1"/>
    <xf numFmtId="0" fontId="4" fillId="2" borderId="0" xfId="1" applyAlignment="1">
      <alignment horizontal="center"/>
    </xf>
    <xf numFmtId="9" fontId="1" fillId="0" borderId="0" xfId="0" applyNumberFormat="1" applyFont="1" applyAlignment="1">
      <alignment horizontal="center"/>
    </xf>
    <xf numFmtId="164" fontId="1" fillId="0" borderId="0" xfId="0" applyNumberFormat="1" applyFont="1" applyAlignment="1">
      <alignment horizontal="center"/>
    </xf>
    <xf numFmtId="0" fontId="5" fillId="0" borderId="0" xfId="0" applyFont="1" applyAlignment="1">
      <alignment horizontal="center"/>
    </xf>
    <xf numFmtId="9" fontId="5" fillId="0" borderId="0" xfId="0" applyNumberFormat="1" applyFont="1" applyAlignment="1">
      <alignment horizontal="center"/>
    </xf>
    <xf numFmtId="164" fontId="5" fillId="0" borderId="0" xfId="0" applyNumberFormat="1" applyFont="1" applyAlignment="1">
      <alignment horizontal="center"/>
    </xf>
    <xf numFmtId="9" fontId="0" fillId="0" borderId="0" xfId="0" applyNumberFormat="1" applyAlignment="1">
      <alignment horizontal="center"/>
    </xf>
    <xf numFmtId="164" fontId="1" fillId="0" borderId="0" xfId="0" applyNumberFormat="1" applyFont="1"/>
    <xf numFmtId="0" fontId="6" fillId="3" borderId="0" xfId="2" applyAlignment="1">
      <alignment horizontal="center"/>
    </xf>
    <xf numFmtId="0" fontId="4" fillId="2" borderId="0" xfId="1"/>
    <xf numFmtId="0" fontId="6" fillId="3" borderId="0" xfId="2"/>
    <xf numFmtId="0" fontId="0" fillId="4" borderId="0" xfId="0" applyFill="1"/>
    <xf numFmtId="9" fontId="0" fillId="4" borderId="0" xfId="0" applyNumberFormat="1" applyFill="1"/>
    <xf numFmtId="10" fontId="0" fillId="4" borderId="0" xfId="0" applyNumberFormat="1" applyFill="1"/>
    <xf numFmtId="0" fontId="0" fillId="5" borderId="0" xfId="0" applyFill="1"/>
    <xf numFmtId="10" fontId="0" fillId="0" borderId="0" xfId="0" applyNumberFormat="1"/>
    <xf numFmtId="0" fontId="0" fillId="0" borderId="0" xfId="0" quotePrefix="1"/>
    <xf numFmtId="1" fontId="0" fillId="0" borderId="0" xfId="0" applyNumberFormat="1" applyAlignment="1">
      <alignment horizontal="center" vertical="center"/>
    </xf>
    <xf numFmtId="0" fontId="3" fillId="2" borderId="0" xfId="1" applyFont="1" applyAlignment="1">
      <alignment horizontal="center"/>
    </xf>
    <xf numFmtId="0" fontId="3" fillId="3" borderId="0" xfId="2" applyFont="1" applyAlignment="1">
      <alignment horizontal="center"/>
    </xf>
    <xf numFmtId="0" fontId="4" fillId="2" borderId="1" xfId="1" applyBorder="1"/>
    <xf numFmtId="9" fontId="4" fillId="2" borderId="1" xfId="1" applyNumberFormat="1" applyBorder="1"/>
    <xf numFmtId="0" fontId="6" fillId="3" borderId="1" xfId="2" applyBorder="1"/>
    <xf numFmtId="9" fontId="6" fillId="3" borderId="1" xfId="2" applyNumberFormat="1" applyBorder="1"/>
    <xf numFmtId="2" fontId="0" fillId="0" borderId="0" xfId="0" applyNumberFormat="1"/>
    <xf numFmtId="165" fontId="0" fillId="0" borderId="0" xfId="0" applyNumberFormat="1"/>
    <xf numFmtId="0" fontId="9" fillId="7" borderId="2" xfId="4"/>
    <xf numFmtId="166" fontId="6" fillId="3" borderId="1" xfId="2" applyNumberFormat="1" applyBorder="1"/>
    <xf numFmtId="0" fontId="8" fillId="6" borderId="1" xfId="3" applyBorder="1"/>
    <xf numFmtId="9" fontId="8" fillId="6" borderId="1" xfId="3" applyNumberFormat="1" applyBorder="1"/>
    <xf numFmtId="166" fontId="4" fillId="2" borderId="1" xfId="1" applyNumberFormat="1" applyBorder="1"/>
    <xf numFmtId="9" fontId="6" fillId="3" borderId="0" xfId="2" applyNumberFormat="1"/>
    <xf numFmtId="0" fontId="3" fillId="3" borderId="0" xfId="2" applyFont="1"/>
    <xf numFmtId="0" fontId="3" fillId="0" borderId="0" xfId="0" applyFont="1"/>
    <xf numFmtId="0" fontId="5" fillId="0" borderId="0" xfId="0" applyFont="1"/>
    <xf numFmtId="167" fontId="8" fillId="6" borderId="1" xfId="3" applyNumberFormat="1" applyBorder="1"/>
    <xf numFmtId="168" fontId="6" fillId="3" borderId="1" xfId="2" applyNumberFormat="1" applyBorder="1"/>
    <xf numFmtId="168" fontId="4" fillId="2" borderId="1" xfId="1" applyNumberFormat="1" applyBorder="1"/>
    <xf numFmtId="167" fontId="0" fillId="0" borderId="0" xfId="0" applyNumberFormat="1"/>
    <xf numFmtId="169" fontId="0" fillId="0" borderId="0" xfId="0" applyNumberFormat="1"/>
    <xf numFmtId="2" fontId="6" fillId="3" borderId="1" xfId="2" applyNumberFormat="1" applyBorder="1"/>
    <xf numFmtId="2" fontId="4" fillId="2" borderId="1" xfId="1" applyNumberFormat="1" applyBorder="1"/>
    <xf numFmtId="167" fontId="6" fillId="3" borderId="1" xfId="2" applyNumberFormat="1" applyBorder="1"/>
    <xf numFmtId="167" fontId="4" fillId="2" borderId="1" xfId="1" applyNumberFormat="1" applyBorder="1"/>
    <xf numFmtId="0" fontId="5" fillId="0" borderId="0" xfId="1" applyFont="1" applyFill="1" applyAlignment="1">
      <alignment horizontal="center"/>
    </xf>
    <xf numFmtId="0" fontId="3" fillId="0" borderId="0" xfId="1" applyFont="1" applyFill="1" applyAlignment="1">
      <alignment horizontal="center"/>
    </xf>
    <xf numFmtId="0" fontId="3" fillId="0" borderId="0" xfId="0" applyFont="1" applyFill="1" applyAlignment="1">
      <alignment horizontal="center" vertical="center" wrapText="1"/>
    </xf>
    <xf numFmtId="164" fontId="5" fillId="0" borderId="0" xfId="0" applyNumberFormat="1" applyFont="1" applyFill="1" applyAlignment="1">
      <alignment horizontal="center" vertical="center"/>
    </xf>
    <xf numFmtId="164" fontId="5" fillId="0" borderId="0" xfId="2" applyNumberFormat="1" applyFont="1" applyFill="1" applyAlignment="1">
      <alignment horizontal="center" vertical="center"/>
    </xf>
    <xf numFmtId="0" fontId="5" fillId="0" borderId="0" xfId="0" applyFont="1" applyFill="1" applyAlignment="1">
      <alignment vertical="center" wrapText="1"/>
    </xf>
    <xf numFmtId="0" fontId="12" fillId="11" borderId="0" xfId="8" applyAlignment="1">
      <alignment horizontal="center" vertical="center"/>
    </xf>
    <xf numFmtId="164" fontId="12" fillId="11" borderId="0" xfId="8" applyNumberFormat="1" applyAlignment="1">
      <alignment horizontal="center" vertical="center"/>
    </xf>
    <xf numFmtId="0" fontId="12" fillId="11" borderId="0" xfId="8" applyAlignment="1">
      <alignment horizontal="center"/>
    </xf>
    <xf numFmtId="0" fontId="12" fillId="11" borderId="0" xfId="8" applyAlignment="1">
      <alignment vertical="center" wrapText="1"/>
    </xf>
    <xf numFmtId="164" fontId="0" fillId="0" borderId="0" xfId="0" applyNumberFormat="1" applyFill="1"/>
    <xf numFmtId="2" fontId="0" fillId="0" borderId="0" xfId="0" applyNumberFormat="1" applyFill="1"/>
    <xf numFmtId="0" fontId="4" fillId="0" borderId="0" xfId="1" applyFill="1"/>
    <xf numFmtId="2" fontId="4" fillId="0" borderId="0" xfId="1" applyNumberFormat="1" applyFill="1"/>
    <xf numFmtId="164" fontId="2" fillId="0" borderId="0" xfId="0" applyNumberFormat="1" applyFont="1" applyFill="1"/>
    <xf numFmtId="164" fontId="4" fillId="0" borderId="0" xfId="1" applyNumberFormat="1" applyFill="1"/>
    <xf numFmtId="0" fontId="0" fillId="0" borderId="0" xfId="0" applyFill="1"/>
    <xf numFmtId="169" fontId="0" fillId="0" borderId="0" xfId="0" applyNumberFormat="1" applyFill="1"/>
    <xf numFmtId="0" fontId="12" fillId="11" borderId="0" xfId="8"/>
    <xf numFmtId="164" fontId="12" fillId="11" borderId="0" xfId="8" applyNumberFormat="1"/>
    <xf numFmtId="0" fontId="12" fillId="8" borderId="0" xfId="5" applyAlignment="1">
      <alignment vertical="center"/>
    </xf>
    <xf numFmtId="164" fontId="12" fillId="8" borderId="0" xfId="5" applyNumberFormat="1" applyAlignment="1">
      <alignment horizontal="center" vertical="center"/>
    </xf>
    <xf numFmtId="0" fontId="12" fillId="8" borderId="0" xfId="5" applyAlignment="1">
      <alignment horizontal="center"/>
    </xf>
    <xf numFmtId="0" fontId="12" fillId="11" borderId="0" xfId="8" applyAlignment="1">
      <alignment vertical="center"/>
    </xf>
    <xf numFmtId="0" fontId="12" fillId="9" borderId="0" xfId="6"/>
    <xf numFmtId="0" fontId="2" fillId="0" borderId="3" xfId="0" applyFont="1" applyBorder="1"/>
    <xf numFmtId="0" fontId="0" fillId="0" borderId="4" xfId="0" applyBorder="1"/>
    <xf numFmtId="0" fontId="0" fillId="0" borderId="5" xfId="0" applyBorder="1"/>
    <xf numFmtId="0" fontId="12" fillId="9" borderId="6" xfId="6" applyBorder="1"/>
    <xf numFmtId="164" fontId="12" fillId="9" borderId="7" xfId="6" applyNumberFormat="1" applyBorder="1"/>
    <xf numFmtId="3" fontId="12" fillId="9" borderId="7" xfId="6" applyNumberFormat="1" applyBorder="1"/>
    <xf numFmtId="167" fontId="12" fillId="9" borderId="7" xfId="6" applyNumberFormat="1" applyBorder="1"/>
    <xf numFmtId="167" fontId="12" fillId="9" borderId="8" xfId="6" applyNumberFormat="1" applyBorder="1"/>
    <xf numFmtId="164" fontId="0" fillId="0" borderId="4" xfId="0" applyNumberFormat="1" applyBorder="1"/>
    <xf numFmtId="3" fontId="0" fillId="0" borderId="4" xfId="0" applyNumberFormat="1" applyBorder="1"/>
    <xf numFmtId="167" fontId="0" fillId="0" borderId="4" xfId="0" applyNumberFormat="1" applyBorder="1"/>
    <xf numFmtId="167" fontId="0" fillId="0" borderId="5" xfId="0" applyNumberFormat="1" applyBorder="1"/>
    <xf numFmtId="0" fontId="1" fillId="0" borderId="6" xfId="0" applyFont="1" applyBorder="1"/>
    <xf numFmtId="164" fontId="0" fillId="0" borderId="7" xfId="0" applyNumberFormat="1" applyBorder="1"/>
    <xf numFmtId="3" fontId="0" fillId="0" borderId="7" xfId="0" applyNumberFormat="1" applyBorder="1"/>
    <xf numFmtId="167" fontId="0" fillId="0" borderId="7" xfId="0" applyNumberFormat="1" applyBorder="1"/>
    <xf numFmtId="167" fontId="0" fillId="0" borderId="8" xfId="0" applyNumberFormat="1" applyBorder="1"/>
    <xf numFmtId="0" fontId="12" fillId="8" borderId="0" xfId="5"/>
    <xf numFmtId="0" fontId="12" fillId="12" borderId="0" xfId="9"/>
    <xf numFmtId="0" fontId="12" fillId="10" borderId="0" xfId="7"/>
    <xf numFmtId="0" fontId="12" fillId="11" borderId="9" xfId="8" applyBorder="1"/>
    <xf numFmtId="164" fontId="12" fillId="11" borderId="0" xfId="8" applyNumberFormat="1" applyBorder="1"/>
    <xf numFmtId="3" fontId="12" fillId="11" borderId="0" xfId="8" applyNumberFormat="1" applyBorder="1"/>
    <xf numFmtId="167" fontId="12" fillId="11" borderId="0" xfId="8" applyNumberFormat="1" applyBorder="1"/>
    <xf numFmtId="167" fontId="12" fillId="11" borderId="10" xfId="8" applyNumberFormat="1" applyBorder="1"/>
    <xf numFmtId="0" fontId="12" fillId="11" borderId="6" xfId="8" applyBorder="1"/>
    <xf numFmtId="164" fontId="12" fillId="11" borderId="7" xfId="8" applyNumberFormat="1" applyBorder="1"/>
    <xf numFmtId="3" fontId="12" fillId="11" borderId="7" xfId="8" applyNumberFormat="1" applyBorder="1"/>
    <xf numFmtId="167" fontId="12" fillId="11" borderId="7" xfId="8" applyNumberFormat="1" applyBorder="1"/>
    <xf numFmtId="167" fontId="12" fillId="11" borderId="8" xfId="8" applyNumberFormat="1" applyBorder="1"/>
    <xf numFmtId="0" fontId="12" fillId="12" borderId="0" xfId="9" applyAlignment="1">
      <alignment horizontal="center"/>
    </xf>
    <xf numFmtId="0" fontId="12" fillId="12" borderId="0" xfId="9" applyAlignment="1">
      <alignment horizontal="center" vertical="center"/>
    </xf>
    <xf numFmtId="164" fontId="12" fillId="12" borderId="0" xfId="9" applyNumberFormat="1" applyAlignment="1">
      <alignment horizontal="center" vertical="center"/>
    </xf>
    <xf numFmtId="0" fontId="2" fillId="0" borderId="0" xfId="0" applyFont="1" applyAlignment="1">
      <alignment horizontal="center" vertical="center"/>
    </xf>
    <xf numFmtId="0" fontId="12" fillId="11" borderId="0" xfId="8" applyAlignment="1">
      <alignment horizontal="center"/>
    </xf>
    <xf numFmtId="164" fontId="12" fillId="11" borderId="0" xfId="8" applyNumberFormat="1" applyAlignment="1">
      <alignment horizontal="center" vertical="center"/>
    </xf>
    <xf numFmtId="0" fontId="2" fillId="0" borderId="0" xfId="0" applyFont="1" applyAlignment="1">
      <alignment horizontal="center"/>
    </xf>
    <xf numFmtId="9" fontId="0" fillId="0" borderId="0" xfId="0" applyNumberFormat="1" applyAlignment="1">
      <alignment horizontal="center"/>
    </xf>
  </cellXfs>
  <cellStyles count="10">
    <cellStyle name="Accent1" xfId="5" builtinId="29"/>
    <cellStyle name="Accent2" xfId="6" builtinId="33"/>
    <cellStyle name="Accent4" xfId="7" builtinId="41"/>
    <cellStyle name="Accent5" xfId="8" builtinId="45"/>
    <cellStyle name="Accent6" xfId="9" builtinId="49"/>
    <cellStyle name="Bad" xfId="1" builtinId="27"/>
    <cellStyle name="Check Cell" xfId="4" builtinId="23"/>
    <cellStyle name="Good" xfId="2"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alcChain" Target="calcChain.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1789667279207107"/>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202264592714198"/>
          <c:y val="0.20821777486147564"/>
          <c:w val="0.45271234875182609"/>
          <c:h val="0.75474518810148727"/>
        </c:manualLayout>
      </c:layout>
      <c:pieChart>
        <c:varyColors val="1"/>
        <c:ser>
          <c:idx val="0"/>
          <c:order val="0"/>
          <c:tx>
            <c:strRef>
              <c:f>'material inventory'!$U$2</c:f>
              <c:strCache>
                <c:ptCount val="1"/>
                <c:pt idx="0">
                  <c:v>Carbon footprint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165-495F-B2B4-E01AA31609B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9165-495F-B2B4-E01AA31609B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165-495F-B2B4-E01AA31609B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9165-495F-B2B4-E01AA31609B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165-495F-B2B4-E01AA31609B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9165-495F-B2B4-E01AA31609B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165-495F-B2B4-E01AA31609B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B34-40C2-9D74-B9D6D4E5EE11}"/>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9165-495F-B2B4-E01AA31609B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165-495F-B2B4-E01AA31609B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9165-495F-B2B4-E01AA31609B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165-495F-B2B4-E01AA31609B6}"/>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9B34-40C2-9D74-B9D6D4E5EE11}"/>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9165-495F-B2B4-E01AA31609B6}"/>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165-495F-B2B4-E01AA31609B6}"/>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9165-495F-B2B4-E01AA31609B6}"/>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165-495F-B2B4-E01AA31609B6}"/>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9B34-40C2-9D74-B9D6D4E5EE11}"/>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61CA-4282-9B50-BCADE7DE9141}"/>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61CA-4282-9B50-BCADE7DE9141}"/>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D2FD-4C05-8E66-7E89A7EE6854}"/>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D2FD-4C05-8E66-7E89A7EE6854}"/>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D2FD-4C05-8E66-7E89A7EE6854}"/>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('material inventory'!$S$3:$S$24,'material inventory'!$S$47)</c:f>
              <c:strCache>
                <c:ptCount val="23"/>
                <c:pt idx="0">
                  <c:v>FTO glass</c:v>
                </c:pt>
                <c:pt idx="1">
                  <c:v>Ethanol</c:v>
                </c:pt>
                <c:pt idx="2">
                  <c:v>Acetone</c:v>
                </c:pt>
                <c:pt idx="3">
                  <c:v>Deionized water</c:v>
                </c:pt>
                <c:pt idx="4">
                  <c:v>BL-TiO₂ ink</c:v>
                </c:pt>
                <c:pt idx="5">
                  <c:v>TiO₂</c:v>
                </c:pt>
                <c:pt idx="6">
                  <c:v>FAI</c:v>
                </c:pt>
                <c:pt idx="7">
                  <c:v>PbI₂</c:v>
                </c:pt>
                <c:pt idx="8">
                  <c:v>MABr</c:v>
                </c:pt>
                <c:pt idx="9">
                  <c:v>PbBr₂</c:v>
                </c:pt>
                <c:pt idx="10">
                  <c:v>DMF</c:v>
                </c:pt>
                <c:pt idx="11">
                  <c:v>DMSO</c:v>
                </c:pt>
                <c:pt idx="12">
                  <c:v>Chlorobenzene</c:v>
                </c:pt>
                <c:pt idx="13">
                  <c:v>spiro-OMeTAD</c:v>
                </c:pt>
                <c:pt idx="14">
                  <c:v>HTFSI</c:v>
                </c:pt>
                <c:pt idx="15">
                  <c:v>Acetonitrile</c:v>
                </c:pt>
                <c:pt idx="16">
                  <c:v>FK209</c:v>
                </c:pt>
                <c:pt idx="17">
                  <c:v>4-tert-Butylpyridine</c:v>
                </c:pt>
                <c:pt idx="18">
                  <c:v>Cu</c:v>
                </c:pt>
                <c:pt idx="19">
                  <c:v>Ar</c:v>
                </c:pt>
                <c:pt idx="20">
                  <c:v>O₂</c:v>
                </c:pt>
                <c:pt idx="21">
                  <c:v>Direct emissions</c:v>
                </c:pt>
                <c:pt idx="22">
                  <c:v>Treatment</c:v>
                </c:pt>
              </c:strCache>
            </c:strRef>
          </c:cat>
          <c:val>
            <c:numRef>
              <c:f>('material inventory'!$U$3:$U$24,'material inventory'!$U$47)</c:f>
              <c:numCache>
                <c:formatCode>0.000E+00</c:formatCode>
                <c:ptCount val="23"/>
                <c:pt idx="0">
                  <c:v>3.4780676817599994</c:v>
                </c:pt>
                <c:pt idx="1">
                  <c:v>7.2422429236363647E-2</c:v>
                </c:pt>
                <c:pt idx="2">
                  <c:v>0.34079009999999993</c:v>
                </c:pt>
                <c:pt idx="3">
                  <c:v>5.6916582000000001E-5</c:v>
                </c:pt>
                <c:pt idx="4">
                  <c:v>1.1382696060619051E-2</c:v>
                </c:pt>
                <c:pt idx="5">
                  <c:v>9.6978672000000016E-3</c:v>
                </c:pt>
                <c:pt idx="6">
                  <c:v>3.3631633504582502E-2</c:v>
                </c:pt>
                <c:pt idx="7">
                  <c:v>5.2897034213452822E-3</c:v>
                </c:pt>
                <c:pt idx="8">
                  <c:v>0.17984551647235406</c:v>
                </c:pt>
                <c:pt idx="9">
                  <c:v>6.2686334877505199E-4</c:v>
                </c:pt>
                <c:pt idx="10">
                  <c:v>4.7032591399933429E-3</c:v>
                </c:pt>
                <c:pt idx="11">
                  <c:v>6.0796461783594257E-4</c:v>
                </c:pt>
                <c:pt idx="12">
                  <c:v>2.4153683486401473E-2</c:v>
                </c:pt>
                <c:pt idx="13">
                  <c:v>5.8990736460538019E-2</c:v>
                </c:pt>
                <c:pt idx="14">
                  <c:v>2.5239247726899154E-3</c:v>
                </c:pt>
                <c:pt idx="15">
                  <c:v>1.0719123332325344E-3</c:v>
                </c:pt>
                <c:pt idx="17">
                  <c:v>1.9758472460220324E-3</c:v>
                </c:pt>
                <c:pt idx="18">
                  <c:v>5.7836011520000005E-3</c:v>
                </c:pt>
                <c:pt idx="19">
                  <c:v>0.23246925575757577</c:v>
                </c:pt>
                <c:pt idx="20">
                  <c:v>1.0245566060606062E-4</c:v>
                </c:pt>
                <c:pt idx="21">
                  <c:v>0</c:v>
                </c:pt>
                <c:pt idx="22">
                  <c:v>5.7228935999999989E-4</c:v>
                </c:pt>
              </c:numCache>
            </c:numRef>
          </c:val>
          <c:extLst>
            <c:ext xmlns:c16="http://schemas.microsoft.com/office/drawing/2014/chart" uri="{C3380CC4-5D6E-409C-BE32-E72D297353CC}">
              <c16:uniqueId val="{00000000-9165-495F-B2B4-E01AA31609B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055008748906384"/>
          <c:y val="0.12551800816564598"/>
          <c:w val="0.34278324584426945"/>
          <c:h val="0.87448185356140828"/>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9173600174978125"/>
          <c:y val="4.6296296296296294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recycling!$C$1</c:f>
              <c:strCache>
                <c:ptCount val="1"/>
                <c:pt idx="0">
                  <c:v>Primary energy consumption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C5F-484F-A75C-CC0A980F976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C5F-484F-A75C-CC0A980F976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C5F-484F-A75C-CC0A980F976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C5F-484F-A75C-CC0A980F976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C5F-484F-A75C-CC0A980F976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C5F-484F-A75C-CC0A980F976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C5F-484F-A75C-CC0A980F976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C5F-484F-A75C-CC0A980F9762}"/>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3C5F-484F-A75C-CC0A980F9762}"/>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3C5F-484F-A75C-CC0A980F9762}"/>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3C5F-484F-A75C-CC0A980F9762}"/>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3C5F-484F-A75C-CC0A980F9762}"/>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3C5F-484F-A75C-CC0A980F9762}"/>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3C5F-484F-A75C-CC0A980F9762}"/>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3C5F-484F-A75C-CC0A980F9762}"/>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3C5F-484F-A75C-CC0A980F9762}"/>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3C5F-484F-A75C-CC0A980F9762}"/>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3C5F-484F-A75C-CC0A980F976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recycling!$A$2:$A$19</c:f>
              <c:strCache>
                <c:ptCount val="18"/>
                <c:pt idx="0">
                  <c:v>FTO glass</c:v>
                </c:pt>
                <c:pt idx="1">
                  <c:v>Ethanol</c:v>
                </c:pt>
                <c:pt idx="2">
                  <c:v>Deionized water</c:v>
                </c:pt>
                <c:pt idx="3">
                  <c:v>BL-TiO₂ ink</c:v>
                </c:pt>
                <c:pt idx="4">
                  <c:v>TiO₂</c:v>
                </c:pt>
                <c:pt idx="5">
                  <c:v>FAI</c:v>
                </c:pt>
                <c:pt idx="6">
                  <c:v>PbI₂</c:v>
                </c:pt>
                <c:pt idx="7">
                  <c:v>MABr</c:v>
                </c:pt>
                <c:pt idx="8">
                  <c:v>PbBr₂</c:v>
                </c:pt>
                <c:pt idx="9">
                  <c:v>DMF</c:v>
                </c:pt>
                <c:pt idx="10">
                  <c:v>DMSO</c:v>
                </c:pt>
                <c:pt idx="11">
                  <c:v>Chlorobenzene</c:v>
                </c:pt>
                <c:pt idx="12">
                  <c:v>spiro-OMeTAD</c:v>
                </c:pt>
                <c:pt idx="13">
                  <c:v>HTFSI</c:v>
                </c:pt>
                <c:pt idx="14">
                  <c:v>Acetonitrile</c:v>
                </c:pt>
                <c:pt idx="15">
                  <c:v>FK209</c:v>
                </c:pt>
                <c:pt idx="16">
                  <c:v>4-tert-Butylpyridine</c:v>
                </c:pt>
                <c:pt idx="17">
                  <c:v>Cu</c:v>
                </c:pt>
              </c:strCache>
            </c:strRef>
          </c:cat>
          <c:val>
            <c:numRef>
              <c:f>recycling!$C$2:$C$19</c:f>
              <c:numCache>
                <c:formatCode>General</c:formatCode>
                <c:ptCount val="18"/>
                <c:pt idx="0">
                  <c:v>0</c:v>
                </c:pt>
                <c:pt idx="1">
                  <c:v>0</c:v>
                </c:pt>
                <c:pt idx="2">
                  <c:v>0</c:v>
                </c:pt>
                <c:pt idx="3">
                  <c:v>0</c:v>
                </c:pt>
                <c:pt idx="4">
                  <c:v>0</c:v>
                </c:pt>
                <c:pt idx="5">
                  <c:v>0.59575957692753112</c:v>
                </c:pt>
                <c:pt idx="6">
                  <c:v>6.2900780904729572E-2</c:v>
                </c:pt>
                <c:pt idx="7">
                  <c:v>3.1681347872173444</c:v>
                </c:pt>
                <c:pt idx="8">
                  <c:v>8.2194376428353123E-3</c:v>
                </c:pt>
                <c:pt idx="9">
                  <c:v>0.12792526254726047</c:v>
                </c:pt>
                <c:pt idx="10">
                  <c:v>2.8054715315643849E-2</c:v>
                </c:pt>
                <c:pt idx="11">
                  <c:v>0.58474354758357783</c:v>
                </c:pt>
                <c:pt idx="12">
                  <c:v>0.95029313625411649</c:v>
                </c:pt>
                <c:pt idx="13">
                  <c:v>3.9592547662353358E-2</c:v>
                </c:pt>
                <c:pt idx="14">
                  <c:v>2.9014695842552819E-2</c:v>
                </c:pt>
                <c:pt idx="15">
                  <c:v>0</c:v>
                </c:pt>
                <c:pt idx="16">
                  <c:v>3.2400038484210532E-2</c:v>
                </c:pt>
                <c:pt idx="17">
                  <c:v>1.4970259912753154E-2</c:v>
                </c:pt>
              </c:numCache>
            </c:numRef>
          </c:val>
          <c:extLst>
            <c:ext xmlns:c16="http://schemas.microsoft.com/office/drawing/2014/chart" uri="{C3380CC4-5D6E-409C-BE32-E72D297353CC}">
              <c16:uniqueId val="{00000000-F25F-4F3A-8A8F-4F4694EC8A2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3777230971128605"/>
          <c:y val="0.12088837853601635"/>
          <c:w val="0.24556102362204724"/>
          <c:h val="0.84144065325167683"/>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1790966754155731"/>
          <c:y val="0"/>
        </c:manualLayout>
      </c:layout>
      <c:overlay val="0"/>
      <c:spPr>
        <a:noFill/>
        <a:ln>
          <a:noFill/>
        </a:ln>
        <a:effectLst/>
      </c:spPr>
      <c:txPr>
        <a:bodyPr rot="0" spcFirstLastPara="1" vertOverflow="ellipsis" vert="horz" wrap="square" anchor="ctr" anchorCtr="1"/>
        <a:lstStyle/>
        <a:p>
          <a:pPr>
            <a:defRPr sz="168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doughnutChart>
        <c:varyColors val="1"/>
        <c:ser>
          <c:idx val="0"/>
          <c:order val="0"/>
          <c:tx>
            <c:strRef>
              <c:f>recycling!$B$1</c:f>
              <c:strCache>
                <c:ptCount val="1"/>
                <c:pt idx="0">
                  <c:v>Carbon footprint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0D0-4CB4-ADEA-3221A6255E5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0D0-4CB4-ADEA-3221A6255E5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0D0-4CB4-ADEA-3221A6255E5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0D0-4CB4-ADEA-3221A6255E5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0D0-4CB4-ADEA-3221A6255E5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0D0-4CB4-ADEA-3221A6255E5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0D0-4CB4-ADEA-3221A6255E5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0D0-4CB4-ADEA-3221A6255E5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C0D0-4CB4-ADEA-3221A6255E5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C0D0-4CB4-ADEA-3221A6255E5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C0D0-4CB4-ADEA-3221A6255E5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C0D0-4CB4-ADEA-3221A6255E59}"/>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C0D0-4CB4-ADEA-3221A6255E59}"/>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C0D0-4CB4-ADEA-3221A6255E59}"/>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C0D0-4CB4-ADEA-3221A6255E59}"/>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C0D0-4CB4-ADEA-3221A6255E59}"/>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C0D0-4CB4-ADEA-3221A6255E59}"/>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C0D0-4CB4-ADEA-3221A6255E59}"/>
              </c:ext>
            </c:extLst>
          </c:dPt>
          <c:dLbls>
            <c:dLbl>
              <c:idx val="0"/>
              <c:delete val="1"/>
              <c:extLst>
                <c:ext xmlns:c15="http://schemas.microsoft.com/office/drawing/2012/chart" uri="{CE6537A1-D6FC-4f65-9D91-7224C49458BB}"/>
                <c:ext xmlns:c16="http://schemas.microsoft.com/office/drawing/2014/chart" uri="{C3380CC4-5D6E-409C-BE32-E72D297353CC}">
                  <c16:uniqueId val="{00000001-C0D0-4CB4-ADEA-3221A6255E59}"/>
                </c:ext>
              </c:extLst>
            </c:dLbl>
            <c:dLbl>
              <c:idx val="1"/>
              <c:delete val="1"/>
              <c:extLst>
                <c:ext xmlns:c15="http://schemas.microsoft.com/office/drawing/2012/chart" uri="{CE6537A1-D6FC-4f65-9D91-7224C49458BB}"/>
                <c:ext xmlns:c16="http://schemas.microsoft.com/office/drawing/2014/chart" uri="{C3380CC4-5D6E-409C-BE32-E72D297353CC}">
                  <c16:uniqueId val="{00000003-C0D0-4CB4-ADEA-3221A6255E59}"/>
                </c:ext>
              </c:extLst>
            </c:dLbl>
            <c:dLbl>
              <c:idx val="2"/>
              <c:delete val="1"/>
              <c:extLst>
                <c:ext xmlns:c15="http://schemas.microsoft.com/office/drawing/2012/chart" uri="{CE6537A1-D6FC-4f65-9D91-7224C49458BB}"/>
                <c:ext xmlns:c16="http://schemas.microsoft.com/office/drawing/2014/chart" uri="{C3380CC4-5D6E-409C-BE32-E72D297353CC}">
                  <c16:uniqueId val="{00000005-C0D0-4CB4-ADEA-3221A6255E59}"/>
                </c:ext>
              </c:extLst>
            </c:dLbl>
            <c:dLbl>
              <c:idx val="3"/>
              <c:delete val="1"/>
              <c:extLst>
                <c:ext xmlns:c15="http://schemas.microsoft.com/office/drawing/2012/chart" uri="{CE6537A1-D6FC-4f65-9D91-7224C49458BB}"/>
                <c:ext xmlns:c16="http://schemas.microsoft.com/office/drawing/2014/chart" uri="{C3380CC4-5D6E-409C-BE32-E72D297353CC}">
                  <c16:uniqueId val="{00000007-C0D0-4CB4-ADEA-3221A6255E59}"/>
                </c:ext>
              </c:extLst>
            </c:dLbl>
            <c:dLbl>
              <c:idx val="6"/>
              <c:delete val="1"/>
              <c:extLst>
                <c:ext xmlns:c15="http://schemas.microsoft.com/office/drawing/2012/chart" uri="{CE6537A1-D6FC-4f65-9D91-7224C49458BB}"/>
                <c:ext xmlns:c16="http://schemas.microsoft.com/office/drawing/2014/chart" uri="{C3380CC4-5D6E-409C-BE32-E72D297353CC}">
                  <c16:uniqueId val="{0000000D-C0D0-4CB4-ADEA-3221A6255E59}"/>
                </c:ext>
              </c:extLst>
            </c:dLbl>
            <c:dLbl>
              <c:idx val="10"/>
              <c:delete val="1"/>
              <c:extLst>
                <c:ext xmlns:c15="http://schemas.microsoft.com/office/drawing/2012/chart" uri="{CE6537A1-D6FC-4f65-9D91-7224C49458BB}"/>
                <c:ext xmlns:c16="http://schemas.microsoft.com/office/drawing/2014/chart" uri="{C3380CC4-5D6E-409C-BE32-E72D297353CC}">
                  <c16:uniqueId val="{00000015-C0D0-4CB4-ADEA-3221A6255E59}"/>
                </c:ext>
              </c:extLst>
            </c:dLbl>
            <c:dLbl>
              <c:idx val="11"/>
              <c:delete val="1"/>
              <c:extLst>
                <c:ext xmlns:c15="http://schemas.microsoft.com/office/drawing/2012/chart" uri="{CE6537A1-D6FC-4f65-9D91-7224C49458BB}"/>
                <c:ext xmlns:c16="http://schemas.microsoft.com/office/drawing/2014/chart" uri="{C3380CC4-5D6E-409C-BE32-E72D297353CC}">
                  <c16:uniqueId val="{00000017-C0D0-4CB4-ADEA-3221A6255E59}"/>
                </c:ext>
              </c:extLst>
            </c:dLbl>
            <c:dLbl>
              <c:idx val="12"/>
              <c:delete val="1"/>
              <c:extLst>
                <c:ext xmlns:c15="http://schemas.microsoft.com/office/drawing/2012/chart" uri="{CE6537A1-D6FC-4f65-9D91-7224C49458BB}"/>
                <c:ext xmlns:c16="http://schemas.microsoft.com/office/drawing/2014/chart" uri="{C3380CC4-5D6E-409C-BE32-E72D297353CC}">
                  <c16:uniqueId val="{00000019-C0D0-4CB4-ADEA-3221A6255E59}"/>
                </c:ext>
              </c:extLst>
            </c:dLbl>
            <c:dLbl>
              <c:idx val="13"/>
              <c:delete val="1"/>
              <c:extLst>
                <c:ext xmlns:c15="http://schemas.microsoft.com/office/drawing/2012/chart" uri="{CE6537A1-D6FC-4f65-9D91-7224C49458BB}"/>
                <c:ext xmlns:c16="http://schemas.microsoft.com/office/drawing/2014/chart" uri="{C3380CC4-5D6E-409C-BE32-E72D297353CC}">
                  <c16:uniqueId val="{0000001B-C0D0-4CB4-ADEA-3221A6255E59}"/>
                </c:ext>
              </c:extLst>
            </c:dLbl>
            <c:dLbl>
              <c:idx val="14"/>
              <c:delete val="1"/>
              <c:extLst>
                <c:ext xmlns:c15="http://schemas.microsoft.com/office/drawing/2012/chart" uri="{CE6537A1-D6FC-4f65-9D91-7224C49458BB}"/>
                <c:ext xmlns:c16="http://schemas.microsoft.com/office/drawing/2014/chart" uri="{C3380CC4-5D6E-409C-BE32-E72D297353CC}">
                  <c16:uniqueId val="{0000001D-C0D0-4CB4-ADEA-3221A6255E59}"/>
                </c:ext>
              </c:extLst>
            </c:dLbl>
            <c:dLbl>
              <c:idx val="15"/>
              <c:delete val="1"/>
              <c:extLst>
                <c:ext xmlns:c15="http://schemas.microsoft.com/office/drawing/2012/chart" uri="{CE6537A1-D6FC-4f65-9D91-7224C49458BB}"/>
                <c:ext xmlns:c16="http://schemas.microsoft.com/office/drawing/2014/chart" uri="{C3380CC4-5D6E-409C-BE32-E72D297353CC}">
                  <c16:uniqueId val="{0000001F-C0D0-4CB4-ADEA-3221A6255E59}"/>
                </c:ext>
              </c:extLst>
            </c:dLbl>
            <c:dLbl>
              <c:idx val="16"/>
              <c:layout>
                <c:manualLayout>
                  <c:x val="1.6666666666666666E-2"/>
                  <c:y val="9.259259259259258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1-C0D0-4CB4-ADEA-3221A6255E59}"/>
                </c:ext>
              </c:extLst>
            </c:dLbl>
            <c:dLbl>
              <c:idx val="17"/>
              <c:layout>
                <c:manualLayout>
                  <c:x val="2.2222222222222119E-2"/>
                  <c:y val="5.092592592592592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23-C0D0-4CB4-ADEA-3221A6255E59}"/>
                </c:ext>
              </c:extLst>
            </c:dLbl>
            <c:spPr>
              <a:noFill/>
              <a:ln>
                <a:solidFill>
                  <a:schemeClr val="accent1"/>
                </a:solidFill>
              </a:ln>
              <a:effectLst/>
            </c:spPr>
            <c:txPr>
              <a:bodyPr rot="0" spcFirstLastPara="1" vertOverflow="ellipsis" vert="horz" wrap="square" anchor="ctr" anchorCtr="1"/>
              <a:lstStyle/>
              <a:p>
                <a:pPr>
                  <a:defRPr sz="14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recycling!$A$2:$A$19</c:f>
              <c:strCache>
                <c:ptCount val="18"/>
                <c:pt idx="0">
                  <c:v>FTO glass</c:v>
                </c:pt>
                <c:pt idx="1">
                  <c:v>Ethanol</c:v>
                </c:pt>
                <c:pt idx="2">
                  <c:v>Deionized water</c:v>
                </c:pt>
                <c:pt idx="3">
                  <c:v>BL-TiO₂ ink</c:v>
                </c:pt>
                <c:pt idx="4">
                  <c:v>TiO₂</c:v>
                </c:pt>
                <c:pt idx="5">
                  <c:v>FAI</c:v>
                </c:pt>
                <c:pt idx="6">
                  <c:v>PbI₂</c:v>
                </c:pt>
                <c:pt idx="7">
                  <c:v>MABr</c:v>
                </c:pt>
                <c:pt idx="8">
                  <c:v>PbBr₂</c:v>
                </c:pt>
                <c:pt idx="9">
                  <c:v>DMF</c:v>
                </c:pt>
                <c:pt idx="10">
                  <c:v>DMSO</c:v>
                </c:pt>
                <c:pt idx="11">
                  <c:v>Chlorobenzene</c:v>
                </c:pt>
                <c:pt idx="12">
                  <c:v>spiro-OMeTAD</c:v>
                </c:pt>
                <c:pt idx="13">
                  <c:v>HTFSI</c:v>
                </c:pt>
                <c:pt idx="14">
                  <c:v>Acetonitrile</c:v>
                </c:pt>
                <c:pt idx="15">
                  <c:v>FK209</c:v>
                </c:pt>
                <c:pt idx="16">
                  <c:v>4-tert-Butylpyridine</c:v>
                </c:pt>
                <c:pt idx="17">
                  <c:v>Cu</c:v>
                </c:pt>
              </c:strCache>
            </c:strRef>
          </c:cat>
          <c:val>
            <c:numRef>
              <c:f>recycling!$B$2:$B$19</c:f>
              <c:numCache>
                <c:formatCode>General</c:formatCode>
                <c:ptCount val="18"/>
                <c:pt idx="0">
                  <c:v>0</c:v>
                </c:pt>
                <c:pt idx="1">
                  <c:v>0</c:v>
                </c:pt>
                <c:pt idx="2">
                  <c:v>0</c:v>
                </c:pt>
                <c:pt idx="3">
                  <c:v>0</c:v>
                </c:pt>
                <c:pt idx="4">
                  <c:v>0</c:v>
                </c:pt>
                <c:pt idx="5">
                  <c:v>3.3631633504582502E-2</c:v>
                </c:pt>
                <c:pt idx="6">
                  <c:v>5.2897034213452822E-3</c:v>
                </c:pt>
                <c:pt idx="7">
                  <c:v>0.17984551647235406</c:v>
                </c:pt>
                <c:pt idx="8">
                  <c:v>6.2686334877505199E-4</c:v>
                </c:pt>
                <c:pt idx="9">
                  <c:v>4.7032591399933429E-3</c:v>
                </c:pt>
                <c:pt idx="10">
                  <c:v>6.0796461783594257E-4</c:v>
                </c:pt>
                <c:pt idx="11">
                  <c:v>2.4153683486401473E-2</c:v>
                </c:pt>
                <c:pt idx="12">
                  <c:v>5.8990736460538019E-2</c:v>
                </c:pt>
                <c:pt idx="13">
                  <c:v>2.5239247726899154E-3</c:v>
                </c:pt>
                <c:pt idx="14">
                  <c:v>1.0719123332325344E-3</c:v>
                </c:pt>
                <c:pt idx="15">
                  <c:v>0</c:v>
                </c:pt>
                <c:pt idx="16">
                  <c:v>1.9758472460220324E-3</c:v>
                </c:pt>
                <c:pt idx="17">
                  <c:v>1.04104820736E-3</c:v>
                </c:pt>
              </c:numCache>
            </c:numRef>
          </c:val>
          <c:extLst>
            <c:ext xmlns:c16="http://schemas.microsoft.com/office/drawing/2014/chart" uri="{C3380CC4-5D6E-409C-BE32-E72D297353CC}">
              <c16:uniqueId val="{00000000-91E3-4F8C-8EB7-56C1BE5B4FD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3499453193350841"/>
          <c:y val="0.11162911927675707"/>
          <c:w val="0.34833880139982504"/>
          <c:h val="0.85069991251093613"/>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sz="14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624300087489067"/>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recycling!$B$42</c:f>
              <c:strCache>
                <c:ptCount val="1"/>
                <c:pt idx="0">
                  <c:v>Carbon footprint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1D2-46F3-8620-628349BDD19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1D2-46F3-8620-628349BDD19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1D2-46F3-8620-628349BDD19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1D2-46F3-8620-628349BDD19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1D2-46F3-8620-628349BDD19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1D2-46F3-8620-628349BDD19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1D2-46F3-8620-628349BDD19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8AFC-4F57-80F6-2FBE1373853A}"/>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8AFC-4F57-80F6-2FBE1373853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recycling!$A$43:$A$51</c:f>
              <c:strCache>
                <c:ptCount val="9"/>
                <c:pt idx="0">
                  <c:v>Sonication</c:v>
                </c:pt>
                <c:pt idx="1">
                  <c:v>Spray pyrolysis</c:v>
                </c:pt>
                <c:pt idx="2">
                  <c:v>ETL spin coating</c:v>
                </c:pt>
                <c:pt idx="3">
                  <c:v>ETL calcining</c:v>
                </c:pt>
                <c:pt idx="4">
                  <c:v>PL 1st-step spin coating</c:v>
                </c:pt>
                <c:pt idx="5">
                  <c:v>PL 2nd-step spin coating</c:v>
                </c:pt>
                <c:pt idx="6">
                  <c:v>PL drying</c:v>
                </c:pt>
                <c:pt idx="7">
                  <c:v>HTL spin coating</c:v>
                </c:pt>
                <c:pt idx="8">
                  <c:v>Thermal evaporation</c:v>
                </c:pt>
              </c:strCache>
            </c:strRef>
          </c:cat>
          <c:val>
            <c:numRef>
              <c:f>recycling!$B$43:$B$51</c:f>
              <c:numCache>
                <c:formatCode>General</c:formatCode>
                <c:ptCount val="9"/>
                <c:pt idx="0">
                  <c:v>2.8396800022717437</c:v>
                </c:pt>
                <c:pt idx="1">
                  <c:v>0</c:v>
                </c:pt>
                <c:pt idx="2">
                  <c:v>0</c:v>
                </c:pt>
                <c:pt idx="3">
                  <c:v>0</c:v>
                </c:pt>
                <c:pt idx="4">
                  <c:v>8.4576274476780081E-2</c:v>
                </c:pt>
                <c:pt idx="5">
                  <c:v>8.2436494732517538</c:v>
                </c:pt>
                <c:pt idx="6">
                  <c:v>15.334272012267418</c:v>
                </c:pt>
                <c:pt idx="7">
                  <c:v>1.5223729405820419</c:v>
                </c:pt>
                <c:pt idx="8">
                  <c:v>5.0088800040071035</c:v>
                </c:pt>
              </c:numCache>
            </c:numRef>
          </c:val>
          <c:extLst>
            <c:ext xmlns:c16="http://schemas.microsoft.com/office/drawing/2014/chart" uri="{C3380CC4-5D6E-409C-BE32-E72D297353CC}">
              <c16:uniqueId val="{00000000-1864-4D80-87E3-E32DDED917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5904965004374449"/>
          <c:y val="0.2201363371245261"/>
          <c:w val="0.32428368328958879"/>
          <c:h val="0.73090769903762032"/>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9173600174978125"/>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recycling!$C$42</c:f>
              <c:strCache>
                <c:ptCount val="1"/>
                <c:pt idx="0">
                  <c:v>Primary energy consumption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788-4341-BBBD-42DDD778238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788-4341-BBBD-42DDD778238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788-4341-BBBD-42DDD778238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788-4341-BBBD-42DDD778238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788-4341-BBBD-42DDD778238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788-4341-BBBD-42DDD778238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788-4341-BBBD-42DDD778238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294-499E-954D-5B2897096104}"/>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294-499E-954D-5B2897096104}"/>
              </c:ext>
            </c:extLst>
          </c:dPt>
          <c:dLbls>
            <c:spPr>
              <a:noFill/>
              <a:ln>
                <a:solidFill>
                  <a:schemeClr val="accent1"/>
                </a:solid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recycling!$A$43:$A$51</c:f>
              <c:strCache>
                <c:ptCount val="9"/>
                <c:pt idx="0">
                  <c:v>Sonication</c:v>
                </c:pt>
                <c:pt idx="1">
                  <c:v>Spray pyrolysis</c:v>
                </c:pt>
                <c:pt idx="2">
                  <c:v>ETL spin coating</c:v>
                </c:pt>
                <c:pt idx="3">
                  <c:v>ETL calcining</c:v>
                </c:pt>
                <c:pt idx="4">
                  <c:v>PL 1st-step spin coating</c:v>
                </c:pt>
                <c:pt idx="5">
                  <c:v>PL 2nd-step spin coating</c:v>
                </c:pt>
                <c:pt idx="6">
                  <c:v>PL drying</c:v>
                </c:pt>
                <c:pt idx="7">
                  <c:v>HTL spin coating</c:v>
                </c:pt>
                <c:pt idx="8">
                  <c:v>Thermal evaporation</c:v>
                </c:pt>
              </c:strCache>
            </c:strRef>
          </c:cat>
          <c:val>
            <c:numRef>
              <c:f>recycling!$C$43:$C$51</c:f>
              <c:numCache>
                <c:formatCode>General</c:formatCode>
                <c:ptCount val="9"/>
                <c:pt idx="0">
                  <c:v>49.96641093677313</c:v>
                </c:pt>
                <c:pt idx="1">
                  <c:v>0</c:v>
                </c:pt>
                <c:pt idx="2">
                  <c:v>0</c:v>
                </c:pt>
                <c:pt idx="3">
                  <c:v>0</c:v>
                </c:pt>
                <c:pt idx="4">
                  <c:v>1.4881863036072136</c:v>
                </c:pt>
                <c:pt idx="5">
                  <c:v>145.05351901259513</c:v>
                </c:pt>
                <c:pt idx="6">
                  <c:v>269.81861905857494</c:v>
                </c:pt>
                <c:pt idx="7">
                  <c:v>26.787353464929854</c:v>
                </c:pt>
                <c:pt idx="8">
                  <c:v>88.135197069030383</c:v>
                </c:pt>
              </c:numCache>
            </c:numRef>
          </c:val>
          <c:extLst>
            <c:ext xmlns:c16="http://schemas.microsoft.com/office/drawing/2014/chart" uri="{C3380CC4-5D6E-409C-BE32-E72D297353CC}">
              <c16:uniqueId val="{00000000-2763-49C4-81F3-5BD19AB85C0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5904965004374449"/>
          <c:y val="0.2201363371245261"/>
          <c:w val="0.32428368328958879"/>
          <c:h val="0.74016695829687951"/>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6A-49E8-989A-4CD6D7AA19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6A-49E8-989A-4CD6D7AA19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6A-49E8-989A-4CD6D7AA19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E6A-49E8-989A-4CD6D7AA196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E6A-49E8-989A-4CD6D7AA196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E6A-49E8-989A-4CD6D7AA196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E6A-49E8-989A-4CD6D7AA19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F8D-44EE-9A43-BFDAFC3C52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F8D-44EE-9A43-BFDAFC3C52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F8D-44EE-9A43-BFDAFC3C52AA}"/>
              </c:ext>
            </c:extLst>
          </c:dPt>
          <c:cat>
            <c:strRef>
              <c:f>recycling!$A$43:$A$52</c:f>
              <c:strCache>
                <c:ptCount val="10"/>
                <c:pt idx="0">
                  <c:v>Sonication</c:v>
                </c:pt>
                <c:pt idx="1">
                  <c:v>Spray pyrolysis</c:v>
                </c:pt>
                <c:pt idx="2">
                  <c:v>ETL spin coating</c:v>
                </c:pt>
                <c:pt idx="3">
                  <c:v>ETL calcining</c:v>
                </c:pt>
                <c:pt idx="4">
                  <c:v>PL 1st-step spin coating</c:v>
                </c:pt>
                <c:pt idx="5">
                  <c:v>PL 2nd-step spin coating</c:v>
                </c:pt>
                <c:pt idx="6">
                  <c:v>PL drying</c:v>
                </c:pt>
                <c:pt idx="7">
                  <c:v>HTL spin coating</c:v>
                </c:pt>
                <c:pt idx="8">
                  <c:v>Thermal evaporation</c:v>
                </c:pt>
                <c:pt idx="9">
                  <c:v>UV/O₃ cleaning</c:v>
                </c:pt>
              </c:strCache>
            </c:strRef>
          </c:cat>
          <c:val>
            <c:numRef>
              <c:f>recycling!$C$43:$C$52</c:f>
              <c:numCache>
                <c:formatCode>General</c:formatCode>
                <c:ptCount val="10"/>
                <c:pt idx="0">
                  <c:v>49.96641093677313</c:v>
                </c:pt>
                <c:pt idx="1">
                  <c:v>0</c:v>
                </c:pt>
                <c:pt idx="2">
                  <c:v>0</c:v>
                </c:pt>
                <c:pt idx="3">
                  <c:v>0</c:v>
                </c:pt>
                <c:pt idx="4">
                  <c:v>1.4881863036072136</c:v>
                </c:pt>
                <c:pt idx="5">
                  <c:v>145.05351901259513</c:v>
                </c:pt>
                <c:pt idx="6">
                  <c:v>269.81861905857494</c:v>
                </c:pt>
                <c:pt idx="7">
                  <c:v>26.787353464929854</c:v>
                </c:pt>
                <c:pt idx="8">
                  <c:v>88.135197069030383</c:v>
                </c:pt>
                <c:pt idx="9">
                  <c:v>0.28730686288644547</c:v>
                </c:pt>
              </c:numCache>
            </c:numRef>
          </c:val>
          <c:extLst>
            <c:ext xmlns:c16="http://schemas.microsoft.com/office/drawing/2014/chart" uri="{C3380CC4-5D6E-409C-BE32-E72D297353CC}">
              <c16:uniqueId val="{00000000-72E5-4596-B558-73BF4548C85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A3-41F3-A3D8-7454C80B64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A3-41F3-A3D8-7454C80B64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6A3-41F3-A3D8-7454C80B645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6A3-41F3-A3D8-7454C80B645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6A3-41F3-A3D8-7454C80B645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6A3-41F3-A3D8-7454C80B645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6A3-41F3-A3D8-7454C80B645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6A3-41F3-A3D8-7454C80B645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6A3-41F3-A3D8-7454C80B645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6A3-41F3-A3D8-7454C80B645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6A3-41F3-A3D8-7454C80B645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6A3-41F3-A3D8-7454C80B645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6A3-41F3-A3D8-7454C80B645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6A3-41F3-A3D8-7454C80B645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6A3-41F3-A3D8-7454C80B645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96A3-41F3-A3D8-7454C80B645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96A3-41F3-A3D8-7454C80B645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96A3-41F3-A3D8-7454C80B6457}"/>
              </c:ext>
            </c:extLst>
          </c:dPt>
          <c:cat>
            <c:strRef>
              <c:f>recycling!$A$2:$A$19</c:f>
              <c:strCache>
                <c:ptCount val="18"/>
                <c:pt idx="0">
                  <c:v>FTO glass</c:v>
                </c:pt>
                <c:pt idx="1">
                  <c:v>Ethanol</c:v>
                </c:pt>
                <c:pt idx="2">
                  <c:v>Deionized water</c:v>
                </c:pt>
                <c:pt idx="3">
                  <c:v>BL-TiO₂ ink</c:v>
                </c:pt>
                <c:pt idx="4">
                  <c:v>TiO₂</c:v>
                </c:pt>
                <c:pt idx="5">
                  <c:v>FAI</c:v>
                </c:pt>
                <c:pt idx="6">
                  <c:v>PbI₂</c:v>
                </c:pt>
                <c:pt idx="7">
                  <c:v>MABr</c:v>
                </c:pt>
                <c:pt idx="8">
                  <c:v>PbBr₂</c:v>
                </c:pt>
                <c:pt idx="9">
                  <c:v>DMF</c:v>
                </c:pt>
                <c:pt idx="10">
                  <c:v>DMSO</c:v>
                </c:pt>
                <c:pt idx="11">
                  <c:v>Chlorobenzene</c:v>
                </c:pt>
                <c:pt idx="12">
                  <c:v>spiro-OMeTAD</c:v>
                </c:pt>
                <c:pt idx="13">
                  <c:v>HTFSI</c:v>
                </c:pt>
                <c:pt idx="14">
                  <c:v>Acetonitrile</c:v>
                </c:pt>
                <c:pt idx="15">
                  <c:v>FK209</c:v>
                </c:pt>
                <c:pt idx="16">
                  <c:v>4-tert-Butylpyridine</c:v>
                </c:pt>
                <c:pt idx="17">
                  <c:v>Cu</c:v>
                </c:pt>
              </c:strCache>
            </c:strRef>
          </c:cat>
          <c:val>
            <c:numRef>
              <c:f>recycling!$C$2:$C$19</c:f>
              <c:numCache>
                <c:formatCode>General</c:formatCode>
                <c:ptCount val="18"/>
                <c:pt idx="0">
                  <c:v>0</c:v>
                </c:pt>
                <c:pt idx="1">
                  <c:v>0</c:v>
                </c:pt>
                <c:pt idx="2">
                  <c:v>0</c:v>
                </c:pt>
                <c:pt idx="3">
                  <c:v>0</c:v>
                </c:pt>
                <c:pt idx="4">
                  <c:v>0</c:v>
                </c:pt>
                <c:pt idx="5">
                  <c:v>0.59575957692753112</c:v>
                </c:pt>
                <c:pt idx="6">
                  <c:v>6.2900780904729572E-2</c:v>
                </c:pt>
                <c:pt idx="7">
                  <c:v>3.1681347872173444</c:v>
                </c:pt>
                <c:pt idx="8">
                  <c:v>8.2194376428353123E-3</c:v>
                </c:pt>
                <c:pt idx="9">
                  <c:v>0.12792526254726047</c:v>
                </c:pt>
                <c:pt idx="10">
                  <c:v>2.8054715315643849E-2</c:v>
                </c:pt>
                <c:pt idx="11">
                  <c:v>0.58474354758357783</c:v>
                </c:pt>
                <c:pt idx="12">
                  <c:v>0.95029313625411649</c:v>
                </c:pt>
                <c:pt idx="13">
                  <c:v>3.9592547662353358E-2</c:v>
                </c:pt>
                <c:pt idx="14">
                  <c:v>2.9014695842552819E-2</c:v>
                </c:pt>
                <c:pt idx="15">
                  <c:v>0</c:v>
                </c:pt>
                <c:pt idx="16">
                  <c:v>3.2400038484210532E-2</c:v>
                </c:pt>
                <c:pt idx="17">
                  <c:v>1.4970259912753154E-2</c:v>
                </c:pt>
              </c:numCache>
            </c:numRef>
          </c:val>
          <c:extLst>
            <c:ext xmlns:c16="http://schemas.microsoft.com/office/drawing/2014/chart" uri="{C3380CC4-5D6E-409C-BE32-E72D297353CC}">
              <c16:uniqueId val="{00000000-A2B8-421A-B3E5-44663B9D29C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SA!$K$10:$K$17</c:f>
              <c:strCache>
                <c:ptCount val="8"/>
                <c:pt idx="0">
                  <c:v>Energy consumption of Spiro-OMeTAD spin coating, kWh (0.112)</c:v>
                </c:pt>
                <c:pt idx="1">
                  <c:v>Energy consumption of spin coating of PL, kWh (0.339)</c:v>
                </c:pt>
                <c:pt idx="2">
                  <c:v>Energy consumption for sonication, kWh (0.483)</c:v>
                </c:pt>
                <c:pt idx="3">
                  <c:v>Energy consumption of drying of PL, kWh (0.852)</c:v>
                </c:pt>
                <c:pt idx="4">
                  <c:v>Energy consumption of thermal evaporation, kWh (2.65)</c:v>
                </c:pt>
                <c:pt idx="5">
                  <c:v>Recycling level of substrate (100%)</c:v>
                </c:pt>
                <c:pt idx="6">
                  <c:v>Utilization efficiency of gold (82.0%)</c:v>
                </c:pt>
                <c:pt idx="7">
                  <c:v>Recycling level of gold (100%)</c:v>
                </c:pt>
              </c:strCache>
            </c:strRef>
          </c:cat>
          <c:val>
            <c:numRef>
              <c:f>SA!$M$10:$M$17</c:f>
              <c:numCache>
                <c:formatCode>General</c:formatCode>
                <c:ptCount val="8"/>
                <c:pt idx="0">
                  <c:v>16.316153181434323</c:v>
                </c:pt>
                <c:pt idx="1">
                  <c:v>16.284020098741951</c:v>
                </c:pt>
                <c:pt idx="2">
                  <c:v>16.263495637044372</c:v>
                </c:pt>
                <c:pt idx="3">
                  <c:v>16.211065571487239</c:v>
                </c:pt>
                <c:pt idx="4">
                  <c:v>15.956277611874203</c:v>
                </c:pt>
                <c:pt idx="5">
                  <c:v>17.668649801514814</c:v>
                </c:pt>
                <c:pt idx="6">
                  <c:v>18.073965981447071</c:v>
                </c:pt>
                <c:pt idx="7">
                  <c:v>19.815845021447071</c:v>
                </c:pt>
              </c:numCache>
            </c:numRef>
          </c:val>
          <c:extLst>
            <c:ext xmlns:c16="http://schemas.microsoft.com/office/drawing/2014/chart" uri="{C3380CC4-5D6E-409C-BE32-E72D297353CC}">
              <c16:uniqueId val="{00000000-A118-4925-B285-9E0CC778C9DB}"/>
            </c:ext>
          </c:extLst>
        </c:ser>
        <c:dLbls>
          <c:showLegendKey val="0"/>
          <c:showVal val="0"/>
          <c:showCatName val="0"/>
          <c:showSerName val="0"/>
          <c:showPercent val="0"/>
          <c:showBubbleSize val="0"/>
        </c:dLbls>
        <c:gapWidth val="182"/>
        <c:axId val="2052328016"/>
        <c:axId val="2046420304"/>
      </c:barChart>
      <c:barChart>
        <c:barDir val="bar"/>
        <c:grouping val="clustered"/>
        <c:varyColors val="0"/>
        <c:ser>
          <c:idx val="1"/>
          <c:order val="1"/>
          <c:spPr>
            <a:solidFill>
              <a:schemeClr val="accent2"/>
            </a:solidFill>
            <a:ln>
              <a:noFill/>
            </a:ln>
            <a:effectLst/>
          </c:spPr>
          <c:invertIfNegative val="0"/>
          <c:cat>
            <c:strRef>
              <c:f>SA!$K$10:$K$17</c:f>
              <c:strCache>
                <c:ptCount val="8"/>
                <c:pt idx="0">
                  <c:v>Energy consumption of Spiro-OMeTAD spin coating, kWh (0.112)</c:v>
                </c:pt>
                <c:pt idx="1">
                  <c:v>Energy consumption of spin coating of PL, kWh (0.339)</c:v>
                </c:pt>
                <c:pt idx="2">
                  <c:v>Energy consumption for sonication, kWh (0.483)</c:v>
                </c:pt>
                <c:pt idx="3">
                  <c:v>Energy consumption of drying of PL, kWh (0.852)</c:v>
                </c:pt>
                <c:pt idx="4">
                  <c:v>Energy consumption of thermal evaporation, kWh (2.65)</c:v>
                </c:pt>
                <c:pt idx="5">
                  <c:v>Recycling level of substrate (100%)</c:v>
                </c:pt>
                <c:pt idx="6">
                  <c:v>Utilization efficiency of gold (82.0%)</c:v>
                </c:pt>
                <c:pt idx="7">
                  <c:v>Recycling level of gold (100%)</c:v>
                </c:pt>
              </c:strCache>
            </c:strRef>
          </c:cat>
          <c:val>
            <c:numRef>
              <c:f>SA!$Q$10:$Q$17</c:f>
              <c:numCache>
                <c:formatCode>General</c:formatCode>
                <c:ptCount val="8"/>
                <c:pt idx="0">
                  <c:v>16.348020701459816</c:v>
                </c:pt>
                <c:pt idx="1">
                  <c:v>16.380153784152192</c:v>
                </c:pt>
                <c:pt idx="2">
                  <c:v>16.400678245849768</c:v>
                </c:pt>
                <c:pt idx="3">
                  <c:v>16.453108311406901</c:v>
                </c:pt>
                <c:pt idx="4">
                  <c:v>16.707896271019941</c:v>
                </c:pt>
                <c:pt idx="5">
                  <c:v>16.33208694144707</c:v>
                </c:pt>
                <c:pt idx="6">
                  <c:v>14.590207901447069</c:v>
                </c:pt>
                <c:pt idx="7">
                  <c:v>16.33208694144707</c:v>
                </c:pt>
              </c:numCache>
            </c:numRef>
          </c:val>
          <c:extLst>
            <c:ext xmlns:c16="http://schemas.microsoft.com/office/drawing/2014/chart" uri="{C3380CC4-5D6E-409C-BE32-E72D297353CC}">
              <c16:uniqueId val="{00000001-A118-4925-B285-9E0CC778C9DB}"/>
            </c:ext>
          </c:extLst>
        </c:ser>
        <c:dLbls>
          <c:showLegendKey val="0"/>
          <c:showVal val="0"/>
          <c:showCatName val="0"/>
          <c:showSerName val="0"/>
          <c:showPercent val="0"/>
          <c:showBubbleSize val="0"/>
        </c:dLbls>
        <c:gapWidth val="182"/>
        <c:axId val="2104852592"/>
        <c:axId val="2046415312"/>
      </c:barChart>
      <c:catAx>
        <c:axId val="205232801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420304"/>
        <c:crossesAt val="16.592185120000003"/>
        <c:auto val="1"/>
        <c:lblAlgn val="ctr"/>
        <c:lblOffset val="100"/>
        <c:noMultiLvlLbl val="0"/>
      </c:catAx>
      <c:valAx>
        <c:axId val="2046420304"/>
        <c:scaling>
          <c:orientation val="minMax"/>
          <c:max val="21"/>
          <c:min val="1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328016"/>
        <c:crosses val="autoZero"/>
        <c:crossBetween val="between"/>
      </c:valAx>
      <c:valAx>
        <c:axId val="2046415312"/>
        <c:scaling>
          <c:orientation val="minMax"/>
          <c:max val="21"/>
          <c:min val="14"/>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852592"/>
        <c:crosses val="max"/>
        <c:crossBetween val="between"/>
      </c:valAx>
      <c:catAx>
        <c:axId val="2104852592"/>
        <c:scaling>
          <c:orientation val="minMax"/>
        </c:scaling>
        <c:delete val="1"/>
        <c:axPos val="l"/>
        <c:numFmt formatCode="General" sourceLinked="1"/>
        <c:majorTickMark val="out"/>
        <c:minorTickMark val="none"/>
        <c:tickLblPos val="nextTo"/>
        <c:crossAx val="2046415312"/>
        <c:crossesAt val="16.592185120000003"/>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SA!$K$20:$K$27</c:f>
              <c:strCache>
                <c:ptCount val="8"/>
                <c:pt idx="0">
                  <c:v>Energy consumption of Spiro-OMeTAD spin coating, kWh (0.112)</c:v>
                </c:pt>
                <c:pt idx="1">
                  <c:v>Energy consumption of spin coating of PL, kWh (0.339)</c:v>
                </c:pt>
                <c:pt idx="2">
                  <c:v>Energy consumption for sonication, kWh (0.483)</c:v>
                </c:pt>
                <c:pt idx="3">
                  <c:v>Energy consumption of drying of PL, kWh (0.852)</c:v>
                </c:pt>
                <c:pt idx="4">
                  <c:v>Energy consumption of thermal evaporation, kWh (2.65)</c:v>
                </c:pt>
                <c:pt idx="5">
                  <c:v>Recycling level of substrate (100%)</c:v>
                </c:pt>
                <c:pt idx="6">
                  <c:v>Utilization efficiency of gold (82.0%)</c:v>
                </c:pt>
                <c:pt idx="7">
                  <c:v>Recycling level of gold (100%)</c:v>
                </c:pt>
              </c:strCache>
            </c:strRef>
          </c:cat>
          <c:val>
            <c:numRef>
              <c:f>SA!$M$20:$M$27</c:f>
              <c:numCache>
                <c:formatCode>General</c:formatCode>
                <c:ptCount val="8"/>
                <c:pt idx="0">
                  <c:v>268.50786950571626</c:v>
                </c:pt>
                <c:pt idx="1">
                  <c:v>267.9424625538104</c:v>
                </c:pt>
                <c:pt idx="2">
                  <c:v>267.58131845073649</c:v>
                </c:pt>
                <c:pt idx="3">
                  <c:v>266.65877006536431</c:v>
                </c:pt>
                <c:pt idx="4">
                  <c:v>262.17557481745524</c:v>
                </c:pt>
                <c:pt idx="5">
                  <c:v>299.71163536775333</c:v>
                </c:pt>
                <c:pt idx="6">
                  <c:v>294.72471622188192</c:v>
                </c:pt>
                <c:pt idx="7">
                  <c:v>320.66119585445784</c:v>
                </c:pt>
              </c:numCache>
            </c:numRef>
          </c:val>
          <c:extLst>
            <c:ext xmlns:c16="http://schemas.microsoft.com/office/drawing/2014/chart" uri="{C3380CC4-5D6E-409C-BE32-E72D297353CC}">
              <c16:uniqueId val="{00000000-B7C1-4C93-8890-AB075F73D30F}"/>
            </c:ext>
          </c:extLst>
        </c:ser>
        <c:dLbls>
          <c:showLegendKey val="0"/>
          <c:showVal val="0"/>
          <c:showCatName val="0"/>
          <c:showSerName val="0"/>
          <c:showPercent val="0"/>
          <c:showBubbleSize val="0"/>
        </c:dLbls>
        <c:gapWidth val="182"/>
        <c:axId val="2104857792"/>
        <c:axId val="2046410736"/>
      </c:barChart>
      <c:barChart>
        <c:barDir val="bar"/>
        <c:grouping val="clustered"/>
        <c:varyColors val="0"/>
        <c:ser>
          <c:idx val="1"/>
          <c:order val="1"/>
          <c:spPr>
            <a:solidFill>
              <a:schemeClr val="accent2"/>
            </a:solidFill>
            <a:ln>
              <a:noFill/>
            </a:ln>
            <a:effectLst/>
          </c:spPr>
          <c:invertIfNegative val="0"/>
          <c:cat>
            <c:strRef>
              <c:f>SA!$K$20:$K$27</c:f>
              <c:strCache>
                <c:ptCount val="8"/>
                <c:pt idx="0">
                  <c:v>Energy consumption of Spiro-OMeTAD spin coating, kWh (0.112)</c:v>
                </c:pt>
                <c:pt idx="1">
                  <c:v>Energy consumption of spin coating of PL, kWh (0.339)</c:v>
                </c:pt>
                <c:pt idx="2">
                  <c:v>Energy consumption for sonication, kWh (0.483)</c:v>
                </c:pt>
                <c:pt idx="3">
                  <c:v>Energy consumption of drying of PL, kWh (0.852)</c:v>
                </c:pt>
                <c:pt idx="4">
                  <c:v>Energy consumption of thermal evaporation, kWh (2.65)</c:v>
                </c:pt>
                <c:pt idx="5">
                  <c:v>Recycling level of substrate (100%)</c:v>
                </c:pt>
                <c:pt idx="6">
                  <c:v>Utilization efficiency of gold (82.0%)</c:v>
                </c:pt>
                <c:pt idx="7">
                  <c:v>Recycling level of gold (100%)</c:v>
                </c:pt>
              </c:strCache>
            </c:strRef>
          </c:cat>
          <c:val>
            <c:numRef>
              <c:f>SA!$Q$20:$Q$27</c:f>
              <c:numCache>
                <c:formatCode>General</c:formatCode>
                <c:ptCount val="8"/>
                <c:pt idx="0">
                  <c:v>269.06860367289556</c:v>
                </c:pt>
                <c:pt idx="1">
                  <c:v>269.63401062480142</c:v>
                </c:pt>
                <c:pt idx="2">
                  <c:v>269.99515472787533</c:v>
                </c:pt>
                <c:pt idx="3">
                  <c:v>270.91770311324757</c:v>
                </c:pt>
                <c:pt idx="4">
                  <c:v>275.40089836115658</c:v>
                </c:pt>
                <c:pt idx="5">
                  <c:v>268.78823658930594</c:v>
                </c:pt>
                <c:pt idx="6">
                  <c:v>242.85175695672987</c:v>
                </c:pt>
                <c:pt idx="7">
                  <c:v>268.78823658930594</c:v>
                </c:pt>
              </c:numCache>
            </c:numRef>
          </c:val>
          <c:extLst>
            <c:ext xmlns:c16="http://schemas.microsoft.com/office/drawing/2014/chart" uri="{C3380CC4-5D6E-409C-BE32-E72D297353CC}">
              <c16:uniqueId val="{00000001-B7C1-4C93-8890-AB075F73D30F}"/>
            </c:ext>
          </c:extLst>
        </c:ser>
        <c:dLbls>
          <c:showLegendKey val="0"/>
          <c:showVal val="0"/>
          <c:showCatName val="0"/>
          <c:showSerName val="0"/>
          <c:showPercent val="0"/>
          <c:showBubbleSize val="0"/>
        </c:dLbls>
        <c:gapWidth val="182"/>
        <c:axId val="1696867728"/>
        <c:axId val="1934857088"/>
      </c:barChart>
      <c:catAx>
        <c:axId val="2104857792"/>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410736"/>
        <c:crossesAt val="274.92007269999993"/>
        <c:auto val="1"/>
        <c:lblAlgn val="ctr"/>
        <c:lblOffset val="100"/>
        <c:noMultiLvlLbl val="0"/>
      </c:catAx>
      <c:valAx>
        <c:axId val="2046410736"/>
        <c:scaling>
          <c:orientation val="minMax"/>
          <c:max val="335"/>
          <c:min val="24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857792"/>
        <c:crosses val="autoZero"/>
        <c:crossBetween val="between"/>
      </c:valAx>
      <c:valAx>
        <c:axId val="1934857088"/>
        <c:scaling>
          <c:orientation val="minMax"/>
          <c:max val="335"/>
          <c:min val="245"/>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867728"/>
        <c:crosses val="max"/>
        <c:crossBetween val="between"/>
      </c:valAx>
      <c:catAx>
        <c:axId val="1696867728"/>
        <c:scaling>
          <c:orientation val="minMax"/>
        </c:scaling>
        <c:delete val="1"/>
        <c:axPos val="l"/>
        <c:numFmt formatCode="General" sourceLinked="1"/>
        <c:majorTickMark val="out"/>
        <c:minorTickMark val="none"/>
        <c:tickLblPos val="nextTo"/>
        <c:crossAx val="1934857088"/>
        <c:crossesAt val="274.92007269999993"/>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'results (2)'!$A$2</c:f>
              <c:strCache>
                <c:ptCount val="1"/>
                <c:pt idx="0">
                  <c:v>FTO glass</c:v>
                </c:pt>
              </c:strCache>
            </c:strRef>
          </c:tx>
          <c:spPr>
            <a:solidFill>
              <a:schemeClr val="accent1"/>
            </a:solidFill>
            <a:ln>
              <a:noFill/>
            </a:ln>
            <a:effectLst/>
          </c:spPr>
          <c:invertIfNegative val="0"/>
          <c:cat>
            <c:strRef>
              <c:f>'results (2)'!$D$1:$X$1</c:f>
              <c:strCache>
                <c:ptCount val="5"/>
                <c:pt idx="3">
                  <c:v>Carbon footprint</c:v>
                </c:pt>
                <c:pt idx="4">
                  <c:v>Primary energy consumption</c:v>
                </c:pt>
              </c:strCache>
            </c:strRef>
          </c:cat>
          <c:val>
            <c:numRef>
              <c:f>'results (2)'!$D$2:$X$2</c:f>
              <c:numCache>
                <c:formatCode>General</c:formatCode>
                <c:ptCount val="21"/>
                <c:pt idx="3">
                  <c:v>0.34780676817599987</c:v>
                </c:pt>
                <c:pt idx="4">
                  <c:v>8.5029036949120105</c:v>
                </c:pt>
              </c:numCache>
            </c:numRef>
          </c:val>
          <c:extLst>
            <c:ext xmlns:c16="http://schemas.microsoft.com/office/drawing/2014/chart" uri="{C3380CC4-5D6E-409C-BE32-E72D297353CC}">
              <c16:uniqueId val="{00000000-8D09-49D9-9E8B-7A4EEF57B0D1}"/>
            </c:ext>
          </c:extLst>
        </c:ser>
        <c:ser>
          <c:idx val="1"/>
          <c:order val="1"/>
          <c:tx>
            <c:strRef>
              <c:f>'results (2)'!$A$3</c:f>
              <c:strCache>
                <c:ptCount val="1"/>
                <c:pt idx="0">
                  <c:v>Ethanol</c:v>
                </c:pt>
              </c:strCache>
            </c:strRef>
          </c:tx>
          <c:spPr>
            <a:solidFill>
              <a:schemeClr val="accent2"/>
            </a:solidFill>
            <a:ln>
              <a:noFill/>
            </a:ln>
            <a:effectLst/>
          </c:spPr>
          <c:invertIfNegative val="0"/>
          <c:cat>
            <c:strRef>
              <c:f>'results (2)'!$D$1:$X$1</c:f>
              <c:strCache>
                <c:ptCount val="5"/>
                <c:pt idx="3">
                  <c:v>Carbon footprint</c:v>
                </c:pt>
                <c:pt idx="4">
                  <c:v>Primary energy consumption</c:v>
                </c:pt>
              </c:strCache>
            </c:strRef>
          </c:cat>
          <c:val>
            <c:numRef>
              <c:f>'results (2)'!$D$3:$X$3</c:f>
              <c:numCache>
                <c:formatCode>General</c:formatCode>
                <c:ptCount val="21"/>
                <c:pt idx="3">
                  <c:v>7.2156912392727255E-3</c:v>
                </c:pt>
                <c:pt idx="4">
                  <c:v>0.21438001693484721</c:v>
                </c:pt>
              </c:numCache>
            </c:numRef>
          </c:val>
          <c:extLst>
            <c:ext xmlns:c16="http://schemas.microsoft.com/office/drawing/2014/chart" uri="{C3380CC4-5D6E-409C-BE32-E72D297353CC}">
              <c16:uniqueId val="{00000001-8D09-49D9-9E8B-7A4EEF57B0D1}"/>
            </c:ext>
          </c:extLst>
        </c:ser>
        <c:ser>
          <c:idx val="2"/>
          <c:order val="2"/>
          <c:tx>
            <c:strRef>
              <c:f>'results (2)'!$A$4</c:f>
              <c:strCache>
                <c:ptCount val="1"/>
                <c:pt idx="0">
                  <c:v>Acetone</c:v>
                </c:pt>
              </c:strCache>
            </c:strRef>
          </c:tx>
          <c:spPr>
            <a:solidFill>
              <a:schemeClr val="accent3"/>
            </a:solidFill>
            <a:ln>
              <a:noFill/>
            </a:ln>
            <a:effectLst/>
          </c:spPr>
          <c:invertIfNegative val="0"/>
          <c:cat>
            <c:strRef>
              <c:f>'results (2)'!$D$1:$X$1</c:f>
              <c:strCache>
                <c:ptCount val="5"/>
                <c:pt idx="3">
                  <c:v>Carbon footprint</c:v>
                </c:pt>
                <c:pt idx="4">
                  <c:v>Primary energy consumption</c:v>
                </c:pt>
              </c:strCache>
            </c:strRef>
          </c:cat>
          <c:val>
            <c:numRef>
              <c:f>'results (2)'!$D$4:$X$4</c:f>
              <c:numCache>
                <c:formatCode>General</c:formatCode>
                <c:ptCount val="21"/>
                <c:pt idx="3">
                  <c:v>3.4079009999999986E-2</c:v>
                </c:pt>
                <c:pt idx="4">
                  <c:v>0.99018946488503967</c:v>
                </c:pt>
              </c:numCache>
            </c:numRef>
          </c:val>
          <c:extLst>
            <c:ext xmlns:c16="http://schemas.microsoft.com/office/drawing/2014/chart" uri="{C3380CC4-5D6E-409C-BE32-E72D297353CC}">
              <c16:uniqueId val="{00000002-8D09-49D9-9E8B-7A4EEF57B0D1}"/>
            </c:ext>
          </c:extLst>
        </c:ser>
        <c:ser>
          <c:idx val="3"/>
          <c:order val="3"/>
          <c:tx>
            <c:strRef>
              <c:f>'results (2)'!$A$5</c:f>
              <c:strCache>
                <c:ptCount val="1"/>
                <c:pt idx="0">
                  <c:v>Deionized water</c:v>
                </c:pt>
              </c:strCache>
            </c:strRef>
          </c:tx>
          <c:spPr>
            <a:solidFill>
              <a:schemeClr val="accent4"/>
            </a:solidFill>
            <a:ln>
              <a:noFill/>
            </a:ln>
            <a:effectLst/>
          </c:spPr>
          <c:invertIfNegative val="0"/>
          <c:cat>
            <c:strRef>
              <c:f>'results (2)'!$D$1:$X$1</c:f>
              <c:strCache>
                <c:ptCount val="5"/>
                <c:pt idx="3">
                  <c:v>Carbon footprint</c:v>
                </c:pt>
                <c:pt idx="4">
                  <c:v>Primary energy consumption</c:v>
                </c:pt>
              </c:strCache>
            </c:strRef>
          </c:cat>
          <c:val>
            <c:numRef>
              <c:f>'results (2)'!$D$5:$X$5</c:f>
              <c:numCache>
                <c:formatCode>General</c:formatCode>
                <c:ptCount val="21"/>
                <c:pt idx="3">
                  <c:v>5.6916581999999992E-6</c:v>
                </c:pt>
                <c:pt idx="4">
                  <c:v>7.8310930304559991E-5</c:v>
                </c:pt>
              </c:numCache>
            </c:numRef>
          </c:val>
          <c:extLst>
            <c:ext xmlns:c16="http://schemas.microsoft.com/office/drawing/2014/chart" uri="{C3380CC4-5D6E-409C-BE32-E72D297353CC}">
              <c16:uniqueId val="{00000003-8D09-49D9-9E8B-7A4EEF57B0D1}"/>
            </c:ext>
          </c:extLst>
        </c:ser>
        <c:ser>
          <c:idx val="4"/>
          <c:order val="4"/>
          <c:tx>
            <c:strRef>
              <c:f>'results (2)'!$A$6</c:f>
              <c:strCache>
                <c:ptCount val="1"/>
                <c:pt idx="0">
                  <c:v>BL-TiO₂ ink</c:v>
                </c:pt>
              </c:strCache>
            </c:strRef>
          </c:tx>
          <c:spPr>
            <a:solidFill>
              <a:schemeClr val="accent5"/>
            </a:solidFill>
            <a:ln>
              <a:noFill/>
            </a:ln>
            <a:effectLst/>
          </c:spPr>
          <c:invertIfNegative val="0"/>
          <c:cat>
            <c:strRef>
              <c:f>'results (2)'!$D$1:$X$1</c:f>
              <c:strCache>
                <c:ptCount val="5"/>
                <c:pt idx="3">
                  <c:v>Carbon footprint</c:v>
                </c:pt>
                <c:pt idx="4">
                  <c:v>Primary energy consumption</c:v>
                </c:pt>
              </c:strCache>
            </c:strRef>
          </c:cat>
          <c:val>
            <c:numRef>
              <c:f>'results (2)'!$D$6:$X$6</c:f>
              <c:numCache>
                <c:formatCode>General</c:formatCode>
                <c:ptCount val="21"/>
                <c:pt idx="3">
                  <c:v>1.1382696060619048E-3</c:v>
                </c:pt>
                <c:pt idx="4">
                  <c:v>3.0850478127392843E-2</c:v>
                </c:pt>
              </c:numCache>
            </c:numRef>
          </c:val>
          <c:extLst>
            <c:ext xmlns:c16="http://schemas.microsoft.com/office/drawing/2014/chart" uri="{C3380CC4-5D6E-409C-BE32-E72D297353CC}">
              <c16:uniqueId val="{00000004-8D09-49D9-9E8B-7A4EEF57B0D1}"/>
            </c:ext>
          </c:extLst>
        </c:ser>
        <c:ser>
          <c:idx val="5"/>
          <c:order val="5"/>
          <c:tx>
            <c:strRef>
              <c:f>'results (2)'!$A$7</c:f>
              <c:strCache>
                <c:ptCount val="1"/>
                <c:pt idx="0">
                  <c:v>TiO₂</c:v>
                </c:pt>
              </c:strCache>
            </c:strRef>
          </c:tx>
          <c:spPr>
            <a:solidFill>
              <a:schemeClr val="accent6"/>
            </a:solidFill>
            <a:ln>
              <a:noFill/>
            </a:ln>
            <a:effectLst/>
          </c:spPr>
          <c:invertIfNegative val="0"/>
          <c:cat>
            <c:strRef>
              <c:f>'results (2)'!$D$1:$X$1</c:f>
              <c:strCache>
                <c:ptCount val="5"/>
                <c:pt idx="3">
                  <c:v>Carbon footprint</c:v>
                </c:pt>
                <c:pt idx="4">
                  <c:v>Primary energy consumption</c:v>
                </c:pt>
              </c:strCache>
            </c:strRef>
          </c:cat>
          <c:val>
            <c:numRef>
              <c:f>'results (2)'!$D$7:$X$7</c:f>
              <c:numCache>
                <c:formatCode>General</c:formatCode>
                <c:ptCount val="21"/>
                <c:pt idx="3">
                  <c:v>7.2734003999999988E-4</c:v>
                </c:pt>
                <c:pt idx="4">
                  <c:v>7.801623139805999E-3</c:v>
                </c:pt>
              </c:numCache>
            </c:numRef>
          </c:val>
          <c:extLst>
            <c:ext xmlns:c16="http://schemas.microsoft.com/office/drawing/2014/chart" uri="{C3380CC4-5D6E-409C-BE32-E72D297353CC}">
              <c16:uniqueId val="{00000005-8D09-49D9-9E8B-7A4EEF57B0D1}"/>
            </c:ext>
          </c:extLst>
        </c:ser>
        <c:ser>
          <c:idx val="6"/>
          <c:order val="6"/>
          <c:tx>
            <c:strRef>
              <c:f>'results (2)'!$A$8</c:f>
              <c:strCache>
                <c:ptCount val="1"/>
                <c:pt idx="0">
                  <c:v>FAI</c:v>
                </c:pt>
              </c:strCache>
            </c:strRef>
          </c:tx>
          <c:spPr>
            <a:solidFill>
              <a:schemeClr val="accent1">
                <a:lumMod val="60000"/>
              </a:schemeClr>
            </a:solidFill>
            <a:ln>
              <a:noFill/>
            </a:ln>
            <a:effectLst/>
          </c:spPr>
          <c:invertIfNegative val="0"/>
          <c:cat>
            <c:strRef>
              <c:f>'results (2)'!$D$1:$X$1</c:f>
              <c:strCache>
                <c:ptCount val="5"/>
                <c:pt idx="3">
                  <c:v>Carbon footprint</c:v>
                </c:pt>
                <c:pt idx="4">
                  <c:v>Primary energy consumption</c:v>
                </c:pt>
              </c:strCache>
            </c:strRef>
          </c:cat>
          <c:val>
            <c:numRef>
              <c:f>'results (2)'!$D$8:$X$8</c:f>
              <c:numCache>
                <c:formatCode>General</c:formatCode>
                <c:ptCount val="21"/>
                <c:pt idx="3">
                  <c:v>2.5223725128436875E-2</c:v>
                </c:pt>
                <c:pt idx="4">
                  <c:v>0.44681968269564831</c:v>
                </c:pt>
              </c:numCache>
            </c:numRef>
          </c:val>
          <c:extLst>
            <c:ext xmlns:c16="http://schemas.microsoft.com/office/drawing/2014/chart" uri="{C3380CC4-5D6E-409C-BE32-E72D297353CC}">
              <c16:uniqueId val="{00000006-8D09-49D9-9E8B-7A4EEF57B0D1}"/>
            </c:ext>
          </c:extLst>
        </c:ser>
        <c:ser>
          <c:idx val="7"/>
          <c:order val="7"/>
          <c:tx>
            <c:strRef>
              <c:f>'results (2)'!$A$9</c:f>
              <c:strCache>
                <c:ptCount val="1"/>
                <c:pt idx="0">
                  <c:v>PbI₂</c:v>
                </c:pt>
              </c:strCache>
            </c:strRef>
          </c:tx>
          <c:spPr>
            <a:solidFill>
              <a:schemeClr val="accent2">
                <a:lumMod val="60000"/>
              </a:schemeClr>
            </a:solidFill>
            <a:ln>
              <a:noFill/>
            </a:ln>
            <a:effectLst/>
          </c:spPr>
          <c:invertIfNegative val="0"/>
          <c:cat>
            <c:strRef>
              <c:f>'results (2)'!$D$1:$X$1</c:f>
              <c:strCache>
                <c:ptCount val="5"/>
                <c:pt idx="3">
                  <c:v>Carbon footprint</c:v>
                </c:pt>
                <c:pt idx="4">
                  <c:v>Primary energy consumption</c:v>
                </c:pt>
              </c:strCache>
            </c:strRef>
          </c:cat>
          <c:val>
            <c:numRef>
              <c:f>'results (2)'!$D$9:$X$9</c:f>
              <c:numCache>
                <c:formatCode>General</c:formatCode>
                <c:ptCount val="21"/>
                <c:pt idx="3">
                  <c:v>3.967277566008961E-3</c:v>
                </c:pt>
                <c:pt idx="4">
                  <c:v>4.7175585678547176E-2</c:v>
                </c:pt>
              </c:numCache>
            </c:numRef>
          </c:val>
          <c:extLst>
            <c:ext xmlns:c16="http://schemas.microsoft.com/office/drawing/2014/chart" uri="{C3380CC4-5D6E-409C-BE32-E72D297353CC}">
              <c16:uniqueId val="{00000007-8D09-49D9-9E8B-7A4EEF57B0D1}"/>
            </c:ext>
          </c:extLst>
        </c:ser>
        <c:ser>
          <c:idx val="8"/>
          <c:order val="8"/>
          <c:tx>
            <c:strRef>
              <c:f>'results (2)'!$A$10</c:f>
              <c:strCache>
                <c:ptCount val="1"/>
                <c:pt idx="0">
                  <c:v>MABr</c:v>
                </c:pt>
              </c:strCache>
            </c:strRef>
          </c:tx>
          <c:spPr>
            <a:solidFill>
              <a:schemeClr val="accent3">
                <a:lumMod val="60000"/>
              </a:schemeClr>
            </a:solidFill>
            <a:ln>
              <a:noFill/>
            </a:ln>
            <a:effectLst/>
          </c:spPr>
          <c:invertIfNegative val="0"/>
          <c:cat>
            <c:strRef>
              <c:f>'results (2)'!$D$1:$X$1</c:f>
              <c:strCache>
                <c:ptCount val="5"/>
                <c:pt idx="3">
                  <c:v>Carbon footprint</c:v>
                </c:pt>
                <c:pt idx="4">
                  <c:v>Primary energy consumption</c:v>
                </c:pt>
              </c:strCache>
            </c:strRef>
          </c:cat>
          <c:val>
            <c:numRef>
              <c:f>'results (2)'!$D$10:$X$10</c:f>
              <c:numCache>
                <c:formatCode>General</c:formatCode>
                <c:ptCount val="21"/>
                <c:pt idx="3">
                  <c:v>0.13488413735426555</c:v>
                </c:pt>
                <c:pt idx="4">
                  <c:v>2.376101090413008</c:v>
                </c:pt>
              </c:numCache>
            </c:numRef>
          </c:val>
          <c:extLst>
            <c:ext xmlns:c16="http://schemas.microsoft.com/office/drawing/2014/chart" uri="{C3380CC4-5D6E-409C-BE32-E72D297353CC}">
              <c16:uniqueId val="{00000008-8D09-49D9-9E8B-7A4EEF57B0D1}"/>
            </c:ext>
          </c:extLst>
        </c:ser>
        <c:ser>
          <c:idx val="9"/>
          <c:order val="9"/>
          <c:tx>
            <c:strRef>
              <c:f>'results (2)'!$A$11</c:f>
              <c:strCache>
                <c:ptCount val="1"/>
                <c:pt idx="0">
                  <c:v>PbBr₂</c:v>
                </c:pt>
              </c:strCache>
            </c:strRef>
          </c:tx>
          <c:spPr>
            <a:solidFill>
              <a:schemeClr val="accent4">
                <a:lumMod val="60000"/>
              </a:schemeClr>
            </a:solidFill>
            <a:ln>
              <a:noFill/>
            </a:ln>
            <a:effectLst/>
          </c:spPr>
          <c:invertIfNegative val="0"/>
          <c:cat>
            <c:strRef>
              <c:f>'results (2)'!$D$1:$X$1</c:f>
              <c:strCache>
                <c:ptCount val="5"/>
                <c:pt idx="3">
                  <c:v>Carbon footprint</c:v>
                </c:pt>
                <c:pt idx="4">
                  <c:v>Primary energy consumption</c:v>
                </c:pt>
              </c:strCache>
            </c:strRef>
          </c:cat>
          <c:val>
            <c:numRef>
              <c:f>'results (2)'!$D$11:$X$11</c:f>
              <c:numCache>
                <c:formatCode>General</c:formatCode>
                <c:ptCount val="21"/>
                <c:pt idx="3">
                  <c:v>4.7014751158128897E-4</c:v>
                </c:pt>
                <c:pt idx="4">
                  <c:v>6.1645782321264834E-3</c:v>
                </c:pt>
              </c:numCache>
            </c:numRef>
          </c:val>
          <c:extLst>
            <c:ext xmlns:c16="http://schemas.microsoft.com/office/drawing/2014/chart" uri="{C3380CC4-5D6E-409C-BE32-E72D297353CC}">
              <c16:uniqueId val="{00000009-8D09-49D9-9E8B-7A4EEF57B0D1}"/>
            </c:ext>
          </c:extLst>
        </c:ser>
        <c:ser>
          <c:idx val="10"/>
          <c:order val="10"/>
          <c:tx>
            <c:strRef>
              <c:f>'results (2)'!$A$12</c:f>
              <c:strCache>
                <c:ptCount val="1"/>
                <c:pt idx="0">
                  <c:v>DMF</c:v>
                </c:pt>
              </c:strCache>
            </c:strRef>
          </c:tx>
          <c:spPr>
            <a:solidFill>
              <a:schemeClr val="accent5">
                <a:lumMod val="60000"/>
              </a:schemeClr>
            </a:solidFill>
            <a:ln>
              <a:noFill/>
            </a:ln>
            <a:effectLst/>
          </c:spPr>
          <c:invertIfNegative val="0"/>
          <c:cat>
            <c:strRef>
              <c:f>'results (2)'!$D$1:$X$1</c:f>
              <c:strCache>
                <c:ptCount val="5"/>
                <c:pt idx="3">
                  <c:v>Carbon footprint</c:v>
                </c:pt>
                <c:pt idx="4">
                  <c:v>Primary energy consumption</c:v>
                </c:pt>
              </c:strCache>
            </c:strRef>
          </c:cat>
          <c:val>
            <c:numRef>
              <c:f>'results (2)'!$D$12:$X$12</c:f>
              <c:numCache>
                <c:formatCode>General</c:formatCode>
                <c:ptCount val="21"/>
                <c:pt idx="3">
                  <c:v>3.5274443549950076E-3</c:v>
                </c:pt>
                <c:pt idx="4">
                  <c:v>9.594394691044536E-2</c:v>
                </c:pt>
              </c:numCache>
            </c:numRef>
          </c:val>
          <c:extLst>
            <c:ext xmlns:c16="http://schemas.microsoft.com/office/drawing/2014/chart" uri="{C3380CC4-5D6E-409C-BE32-E72D297353CC}">
              <c16:uniqueId val="{0000000A-8D09-49D9-9E8B-7A4EEF57B0D1}"/>
            </c:ext>
          </c:extLst>
        </c:ser>
        <c:ser>
          <c:idx val="11"/>
          <c:order val="11"/>
          <c:tx>
            <c:strRef>
              <c:f>'results (2)'!$A$13</c:f>
              <c:strCache>
                <c:ptCount val="1"/>
                <c:pt idx="0">
                  <c:v>DMSO</c:v>
                </c:pt>
              </c:strCache>
            </c:strRef>
          </c:tx>
          <c:spPr>
            <a:solidFill>
              <a:schemeClr val="accent6">
                <a:lumMod val="60000"/>
              </a:schemeClr>
            </a:solidFill>
            <a:ln>
              <a:noFill/>
            </a:ln>
            <a:effectLst/>
          </c:spPr>
          <c:invertIfNegative val="0"/>
          <c:cat>
            <c:strRef>
              <c:f>'results (2)'!$D$1:$X$1</c:f>
              <c:strCache>
                <c:ptCount val="5"/>
                <c:pt idx="3">
                  <c:v>Carbon footprint</c:v>
                </c:pt>
                <c:pt idx="4">
                  <c:v>Primary energy consumption</c:v>
                </c:pt>
              </c:strCache>
            </c:strRef>
          </c:cat>
          <c:val>
            <c:numRef>
              <c:f>'results (2)'!$D$13:$X$13</c:f>
              <c:numCache>
                <c:formatCode>General</c:formatCode>
                <c:ptCount val="21"/>
                <c:pt idx="3">
                  <c:v>4.5597346337695696E-4</c:v>
                </c:pt>
                <c:pt idx="4">
                  <c:v>2.1041036486732889E-2</c:v>
                </c:pt>
              </c:numCache>
            </c:numRef>
          </c:val>
          <c:extLst>
            <c:ext xmlns:c16="http://schemas.microsoft.com/office/drawing/2014/chart" uri="{C3380CC4-5D6E-409C-BE32-E72D297353CC}">
              <c16:uniqueId val="{0000000B-8D09-49D9-9E8B-7A4EEF57B0D1}"/>
            </c:ext>
          </c:extLst>
        </c:ser>
        <c:ser>
          <c:idx val="12"/>
          <c:order val="12"/>
          <c:tx>
            <c:strRef>
              <c:f>'results (2)'!$A$14</c:f>
              <c:strCache>
                <c:ptCount val="1"/>
                <c:pt idx="0">
                  <c:v>Chlorobenzene</c:v>
                </c:pt>
              </c:strCache>
            </c:strRef>
          </c:tx>
          <c:spPr>
            <a:solidFill>
              <a:schemeClr val="accent1">
                <a:lumMod val="80000"/>
                <a:lumOff val="20000"/>
              </a:schemeClr>
            </a:solidFill>
            <a:ln>
              <a:noFill/>
            </a:ln>
            <a:effectLst/>
          </c:spPr>
          <c:invertIfNegative val="0"/>
          <c:cat>
            <c:strRef>
              <c:f>'results (2)'!$D$1:$X$1</c:f>
              <c:strCache>
                <c:ptCount val="5"/>
                <c:pt idx="3">
                  <c:v>Carbon footprint</c:v>
                </c:pt>
                <c:pt idx="4">
                  <c:v>Primary energy consumption</c:v>
                </c:pt>
              </c:strCache>
            </c:strRef>
          </c:cat>
          <c:val>
            <c:numRef>
              <c:f>'results (2)'!$D$14:$X$14</c:f>
              <c:numCache>
                <c:formatCode>General</c:formatCode>
                <c:ptCount val="21"/>
                <c:pt idx="3">
                  <c:v>1.8214246032301103E-2</c:v>
                </c:pt>
                <c:pt idx="4">
                  <c:v>0.44095397902701583</c:v>
                </c:pt>
              </c:numCache>
            </c:numRef>
          </c:val>
          <c:extLst>
            <c:ext xmlns:c16="http://schemas.microsoft.com/office/drawing/2014/chart" uri="{C3380CC4-5D6E-409C-BE32-E72D297353CC}">
              <c16:uniqueId val="{0000000C-8D09-49D9-9E8B-7A4EEF57B0D1}"/>
            </c:ext>
          </c:extLst>
        </c:ser>
        <c:ser>
          <c:idx val="13"/>
          <c:order val="13"/>
          <c:tx>
            <c:strRef>
              <c:f>'results (2)'!$A$15</c:f>
              <c:strCache>
                <c:ptCount val="1"/>
                <c:pt idx="0">
                  <c:v>spiro-OMeTAD</c:v>
                </c:pt>
              </c:strCache>
            </c:strRef>
          </c:tx>
          <c:spPr>
            <a:solidFill>
              <a:schemeClr val="accent2">
                <a:lumMod val="80000"/>
                <a:lumOff val="20000"/>
              </a:schemeClr>
            </a:solidFill>
            <a:ln>
              <a:noFill/>
            </a:ln>
            <a:effectLst/>
          </c:spPr>
          <c:invertIfNegative val="0"/>
          <c:cat>
            <c:strRef>
              <c:f>'results (2)'!$D$1:$X$1</c:f>
              <c:strCache>
                <c:ptCount val="5"/>
                <c:pt idx="3">
                  <c:v>Carbon footprint</c:v>
                </c:pt>
                <c:pt idx="4">
                  <c:v>Primary energy consumption</c:v>
                </c:pt>
              </c:strCache>
            </c:strRef>
          </c:cat>
          <c:val>
            <c:numRef>
              <c:f>'results (2)'!$D$15:$X$15</c:f>
              <c:numCache>
                <c:formatCode>General</c:formatCode>
                <c:ptCount val="21"/>
                <c:pt idx="3">
                  <c:v>4.4243052345403516E-2</c:v>
                </c:pt>
                <c:pt idx="4">
                  <c:v>0.71271985219058731</c:v>
                </c:pt>
              </c:numCache>
            </c:numRef>
          </c:val>
          <c:extLst>
            <c:ext xmlns:c16="http://schemas.microsoft.com/office/drawing/2014/chart" uri="{C3380CC4-5D6E-409C-BE32-E72D297353CC}">
              <c16:uniqueId val="{0000000D-8D09-49D9-9E8B-7A4EEF57B0D1}"/>
            </c:ext>
          </c:extLst>
        </c:ser>
        <c:ser>
          <c:idx val="14"/>
          <c:order val="14"/>
          <c:tx>
            <c:strRef>
              <c:f>'results (2)'!$A$16</c:f>
              <c:strCache>
                <c:ptCount val="1"/>
                <c:pt idx="0">
                  <c:v>HTFSI</c:v>
                </c:pt>
              </c:strCache>
            </c:strRef>
          </c:tx>
          <c:spPr>
            <a:solidFill>
              <a:schemeClr val="accent3">
                <a:lumMod val="80000"/>
                <a:lumOff val="20000"/>
              </a:schemeClr>
            </a:solidFill>
            <a:ln>
              <a:noFill/>
            </a:ln>
            <a:effectLst/>
          </c:spPr>
          <c:invertIfNegative val="0"/>
          <c:cat>
            <c:strRef>
              <c:f>'results (2)'!$D$1:$X$1</c:f>
              <c:strCache>
                <c:ptCount val="5"/>
                <c:pt idx="3">
                  <c:v>Carbon footprint</c:v>
                </c:pt>
                <c:pt idx="4">
                  <c:v>Primary energy consumption</c:v>
                </c:pt>
              </c:strCache>
            </c:strRef>
          </c:cat>
          <c:val>
            <c:numRef>
              <c:f>'results (2)'!$D$16:$X$16</c:f>
              <c:numCache>
                <c:formatCode>General</c:formatCode>
                <c:ptCount val="21"/>
                <c:pt idx="3">
                  <c:v>1.8929435795174367E-3</c:v>
                </c:pt>
                <c:pt idx="4">
                  <c:v>2.9694410746765015E-2</c:v>
                </c:pt>
              </c:numCache>
            </c:numRef>
          </c:val>
          <c:extLst>
            <c:ext xmlns:c16="http://schemas.microsoft.com/office/drawing/2014/chart" uri="{C3380CC4-5D6E-409C-BE32-E72D297353CC}">
              <c16:uniqueId val="{0000000E-8D09-49D9-9E8B-7A4EEF57B0D1}"/>
            </c:ext>
          </c:extLst>
        </c:ser>
        <c:ser>
          <c:idx val="15"/>
          <c:order val="15"/>
          <c:tx>
            <c:strRef>
              <c:f>'results (2)'!$A$17</c:f>
              <c:strCache>
                <c:ptCount val="1"/>
                <c:pt idx="0">
                  <c:v>Acetonitrile</c:v>
                </c:pt>
              </c:strCache>
            </c:strRef>
          </c:tx>
          <c:spPr>
            <a:solidFill>
              <a:schemeClr val="accent4">
                <a:lumMod val="80000"/>
                <a:lumOff val="20000"/>
              </a:schemeClr>
            </a:solidFill>
            <a:ln>
              <a:noFill/>
            </a:ln>
            <a:effectLst/>
          </c:spPr>
          <c:invertIfNegative val="0"/>
          <c:cat>
            <c:strRef>
              <c:f>'results (2)'!$D$1:$X$1</c:f>
              <c:strCache>
                <c:ptCount val="5"/>
                <c:pt idx="3">
                  <c:v>Carbon footprint</c:v>
                </c:pt>
                <c:pt idx="4">
                  <c:v>Primary energy consumption</c:v>
                </c:pt>
              </c:strCache>
            </c:strRef>
          </c:cat>
          <c:val>
            <c:numRef>
              <c:f>'results (2)'!$D$17:$X$17</c:f>
              <c:numCache>
                <c:formatCode>General</c:formatCode>
                <c:ptCount val="21"/>
                <c:pt idx="3">
                  <c:v>8.0393424992440069E-4</c:v>
                </c:pt>
                <c:pt idx="4">
                  <c:v>2.1761021881914613E-2</c:v>
                </c:pt>
              </c:numCache>
            </c:numRef>
          </c:val>
          <c:extLst>
            <c:ext xmlns:c16="http://schemas.microsoft.com/office/drawing/2014/chart" uri="{C3380CC4-5D6E-409C-BE32-E72D297353CC}">
              <c16:uniqueId val="{0000000F-8D09-49D9-9E8B-7A4EEF57B0D1}"/>
            </c:ext>
          </c:extLst>
        </c:ser>
        <c:ser>
          <c:idx val="16"/>
          <c:order val="16"/>
          <c:tx>
            <c:strRef>
              <c:f>'results (2)'!$A$18</c:f>
              <c:strCache>
                <c:ptCount val="1"/>
                <c:pt idx="0">
                  <c:v>FK209</c:v>
                </c:pt>
              </c:strCache>
            </c:strRef>
          </c:tx>
          <c:spPr>
            <a:solidFill>
              <a:schemeClr val="accent5">
                <a:lumMod val="80000"/>
                <a:lumOff val="20000"/>
              </a:schemeClr>
            </a:solidFill>
            <a:ln>
              <a:noFill/>
            </a:ln>
            <a:effectLst/>
          </c:spPr>
          <c:invertIfNegative val="0"/>
          <c:cat>
            <c:strRef>
              <c:f>'results (2)'!$D$1:$X$1</c:f>
              <c:strCache>
                <c:ptCount val="5"/>
                <c:pt idx="3">
                  <c:v>Carbon footprint</c:v>
                </c:pt>
                <c:pt idx="4">
                  <c:v>Primary energy consumption</c:v>
                </c:pt>
              </c:strCache>
            </c:strRef>
          </c:cat>
          <c:val>
            <c:numRef>
              <c:f>'results (2)'!$D$18:$X$18</c:f>
              <c:numCache>
                <c:formatCode>General</c:formatCode>
                <c:ptCount val="21"/>
                <c:pt idx="3">
                  <c:v>0</c:v>
                </c:pt>
                <c:pt idx="4">
                  <c:v>0</c:v>
                </c:pt>
              </c:numCache>
            </c:numRef>
          </c:val>
          <c:extLst>
            <c:ext xmlns:c16="http://schemas.microsoft.com/office/drawing/2014/chart" uri="{C3380CC4-5D6E-409C-BE32-E72D297353CC}">
              <c16:uniqueId val="{00000010-8D09-49D9-9E8B-7A4EEF57B0D1}"/>
            </c:ext>
          </c:extLst>
        </c:ser>
        <c:ser>
          <c:idx val="17"/>
          <c:order val="17"/>
          <c:tx>
            <c:strRef>
              <c:f>'results (2)'!$A$19</c:f>
              <c:strCache>
                <c:ptCount val="1"/>
                <c:pt idx="0">
                  <c:v>4-tert-Butylpyridine</c:v>
                </c:pt>
              </c:strCache>
            </c:strRef>
          </c:tx>
          <c:spPr>
            <a:solidFill>
              <a:schemeClr val="accent6">
                <a:lumMod val="80000"/>
                <a:lumOff val="20000"/>
              </a:schemeClr>
            </a:solidFill>
            <a:ln>
              <a:noFill/>
            </a:ln>
            <a:effectLst/>
          </c:spPr>
          <c:invertIfNegative val="0"/>
          <c:cat>
            <c:strRef>
              <c:f>'results (2)'!$D$1:$X$1</c:f>
              <c:strCache>
                <c:ptCount val="5"/>
                <c:pt idx="3">
                  <c:v>Carbon footprint</c:v>
                </c:pt>
                <c:pt idx="4">
                  <c:v>Primary energy consumption</c:v>
                </c:pt>
              </c:strCache>
            </c:strRef>
          </c:cat>
          <c:val>
            <c:numRef>
              <c:f>'results (2)'!$D$19:$X$19</c:f>
              <c:numCache>
                <c:formatCode>General</c:formatCode>
                <c:ptCount val="21"/>
                <c:pt idx="3">
                  <c:v>1.4818854345165239E-3</c:v>
                </c:pt>
                <c:pt idx="4">
                  <c:v>2.4300028863157897E-2</c:v>
                </c:pt>
              </c:numCache>
            </c:numRef>
          </c:val>
          <c:extLst>
            <c:ext xmlns:c16="http://schemas.microsoft.com/office/drawing/2014/chart" uri="{C3380CC4-5D6E-409C-BE32-E72D297353CC}">
              <c16:uniqueId val="{00000011-8D09-49D9-9E8B-7A4EEF57B0D1}"/>
            </c:ext>
          </c:extLst>
        </c:ser>
        <c:ser>
          <c:idx val="18"/>
          <c:order val="18"/>
          <c:tx>
            <c:strRef>
              <c:f>'results (2)'!$A$20</c:f>
              <c:strCache>
                <c:ptCount val="1"/>
                <c:pt idx="0">
                  <c:v>Cu</c:v>
                </c:pt>
              </c:strCache>
            </c:strRef>
          </c:tx>
          <c:spPr>
            <a:solidFill>
              <a:schemeClr val="accent1">
                <a:lumMod val="80000"/>
              </a:schemeClr>
            </a:solidFill>
            <a:ln>
              <a:noFill/>
            </a:ln>
            <a:effectLst/>
          </c:spPr>
          <c:invertIfNegative val="0"/>
          <c:cat>
            <c:strRef>
              <c:f>'results (2)'!$D$1:$X$1</c:f>
              <c:strCache>
                <c:ptCount val="5"/>
                <c:pt idx="3">
                  <c:v>Carbon footprint</c:v>
                </c:pt>
                <c:pt idx="4">
                  <c:v>Primary energy consumption</c:v>
                </c:pt>
              </c:strCache>
            </c:strRef>
          </c:cat>
          <c:val>
            <c:numRef>
              <c:f>'results (2)'!$D$20:$X$20</c:f>
              <c:numCache>
                <c:formatCode>General</c:formatCode>
                <c:ptCount val="21"/>
                <c:pt idx="3">
                  <c:v>3.0363906048000004E-3</c:v>
                </c:pt>
                <c:pt idx="4">
                  <c:v>4.3663258078863364E-2</c:v>
                </c:pt>
              </c:numCache>
            </c:numRef>
          </c:val>
          <c:extLst>
            <c:ext xmlns:c16="http://schemas.microsoft.com/office/drawing/2014/chart" uri="{C3380CC4-5D6E-409C-BE32-E72D297353CC}">
              <c16:uniqueId val="{00000012-8D09-49D9-9E8B-7A4EEF57B0D1}"/>
            </c:ext>
          </c:extLst>
        </c:ser>
        <c:ser>
          <c:idx val="19"/>
          <c:order val="19"/>
          <c:tx>
            <c:strRef>
              <c:f>'results (2)'!$A$21</c:f>
              <c:strCache>
                <c:ptCount val="1"/>
                <c:pt idx="0">
                  <c:v>Ar</c:v>
                </c:pt>
              </c:strCache>
            </c:strRef>
          </c:tx>
          <c:spPr>
            <a:solidFill>
              <a:schemeClr val="accent2">
                <a:lumMod val="80000"/>
              </a:schemeClr>
            </a:solidFill>
            <a:ln>
              <a:noFill/>
            </a:ln>
            <a:effectLst/>
          </c:spPr>
          <c:invertIfNegative val="0"/>
          <c:cat>
            <c:strRef>
              <c:f>'results (2)'!$D$1:$X$1</c:f>
              <c:strCache>
                <c:ptCount val="5"/>
                <c:pt idx="3">
                  <c:v>Carbon footprint</c:v>
                </c:pt>
                <c:pt idx="4">
                  <c:v>Primary energy consumption</c:v>
                </c:pt>
              </c:strCache>
            </c:strRef>
          </c:cat>
          <c:val>
            <c:numRef>
              <c:f>'results (2)'!$D$21:$X$21</c:f>
              <c:numCache>
                <c:formatCode>General</c:formatCode>
                <c:ptCount val="21"/>
                <c:pt idx="3">
                  <c:v>0.23246925575757577</c:v>
                </c:pt>
                <c:pt idx="4">
                  <c:v>3.4927646546424245</c:v>
                </c:pt>
              </c:numCache>
            </c:numRef>
          </c:val>
          <c:extLst>
            <c:ext xmlns:c16="http://schemas.microsoft.com/office/drawing/2014/chart" uri="{C3380CC4-5D6E-409C-BE32-E72D297353CC}">
              <c16:uniqueId val="{00000013-8D09-49D9-9E8B-7A4EEF57B0D1}"/>
            </c:ext>
          </c:extLst>
        </c:ser>
        <c:ser>
          <c:idx val="20"/>
          <c:order val="20"/>
          <c:tx>
            <c:strRef>
              <c:f>'results (2)'!$A$22</c:f>
              <c:strCache>
                <c:ptCount val="1"/>
                <c:pt idx="0">
                  <c:v>O₂</c:v>
                </c:pt>
              </c:strCache>
            </c:strRef>
          </c:tx>
          <c:spPr>
            <a:solidFill>
              <a:schemeClr val="accent3">
                <a:lumMod val="80000"/>
              </a:schemeClr>
            </a:solidFill>
            <a:ln>
              <a:noFill/>
            </a:ln>
            <a:effectLst/>
          </c:spPr>
          <c:invertIfNegative val="0"/>
          <c:cat>
            <c:strRef>
              <c:f>'results (2)'!$D$1:$X$1</c:f>
              <c:strCache>
                <c:ptCount val="5"/>
                <c:pt idx="3">
                  <c:v>Carbon footprint</c:v>
                </c:pt>
                <c:pt idx="4">
                  <c:v>Primary energy consumption</c:v>
                </c:pt>
              </c:strCache>
            </c:strRef>
          </c:cat>
          <c:val>
            <c:numRef>
              <c:f>'results (2)'!$D$22:$X$22</c:f>
              <c:numCache>
                <c:formatCode>General</c:formatCode>
                <c:ptCount val="21"/>
                <c:pt idx="3">
                  <c:v>1.0245566060606062E-4</c:v>
                </c:pt>
                <c:pt idx="4">
                  <c:v>1.3958710916654544E-3</c:v>
                </c:pt>
              </c:numCache>
            </c:numRef>
          </c:val>
          <c:extLst>
            <c:ext xmlns:c16="http://schemas.microsoft.com/office/drawing/2014/chart" uri="{C3380CC4-5D6E-409C-BE32-E72D297353CC}">
              <c16:uniqueId val="{00000014-8D09-49D9-9E8B-7A4EEF57B0D1}"/>
            </c:ext>
          </c:extLst>
        </c:ser>
        <c:ser>
          <c:idx val="21"/>
          <c:order val="21"/>
          <c:tx>
            <c:strRef>
              <c:f>'results (2)'!$A$23</c:f>
              <c:strCache>
                <c:ptCount val="1"/>
                <c:pt idx="0">
                  <c:v>Sonication</c:v>
                </c:pt>
              </c:strCache>
            </c:strRef>
          </c:tx>
          <c:spPr>
            <a:solidFill>
              <a:schemeClr val="accent4">
                <a:lumMod val="80000"/>
              </a:schemeClr>
            </a:solidFill>
            <a:ln>
              <a:noFill/>
            </a:ln>
            <a:effectLst/>
          </c:spPr>
          <c:invertIfNegative val="0"/>
          <c:cat>
            <c:strRef>
              <c:f>'results (2)'!$D$1:$X$1</c:f>
              <c:strCache>
                <c:ptCount val="5"/>
                <c:pt idx="3">
                  <c:v>Carbon footprint</c:v>
                </c:pt>
                <c:pt idx="4">
                  <c:v>Primary energy consumption</c:v>
                </c:pt>
              </c:strCache>
            </c:strRef>
          </c:cat>
          <c:val>
            <c:numRef>
              <c:f>'results (2)'!$D$23:$X$23</c:f>
              <c:numCache>
                <c:formatCode>General</c:formatCode>
                <c:ptCount val="21"/>
                <c:pt idx="3">
                  <c:v>0.28396800022717433</c:v>
                </c:pt>
                <c:pt idx="4">
                  <c:v>4.9966410936773125</c:v>
                </c:pt>
              </c:numCache>
            </c:numRef>
          </c:val>
          <c:extLst>
            <c:ext xmlns:c16="http://schemas.microsoft.com/office/drawing/2014/chart" uri="{C3380CC4-5D6E-409C-BE32-E72D297353CC}">
              <c16:uniqueId val="{00000015-8D09-49D9-9E8B-7A4EEF57B0D1}"/>
            </c:ext>
          </c:extLst>
        </c:ser>
        <c:ser>
          <c:idx val="22"/>
          <c:order val="22"/>
          <c:tx>
            <c:strRef>
              <c:f>'results (2)'!$A$24</c:f>
              <c:strCache>
                <c:ptCount val="1"/>
                <c:pt idx="0">
                  <c:v>Spray pyrolysis</c:v>
                </c:pt>
              </c:strCache>
            </c:strRef>
          </c:tx>
          <c:spPr>
            <a:solidFill>
              <a:schemeClr val="accent5">
                <a:lumMod val="80000"/>
              </a:schemeClr>
            </a:solidFill>
            <a:ln>
              <a:noFill/>
            </a:ln>
            <a:effectLst/>
          </c:spPr>
          <c:invertIfNegative val="0"/>
          <c:cat>
            <c:strRef>
              <c:f>'results (2)'!$D$1:$X$1</c:f>
              <c:strCache>
                <c:ptCount val="5"/>
                <c:pt idx="3">
                  <c:v>Carbon footprint</c:v>
                </c:pt>
                <c:pt idx="4">
                  <c:v>Primary energy consumption</c:v>
                </c:pt>
              </c:strCache>
            </c:strRef>
          </c:cat>
          <c:val>
            <c:numRef>
              <c:f>'results (2)'!$D$24:$X$24</c:f>
              <c:numCache>
                <c:formatCode>General</c:formatCode>
                <c:ptCount val="21"/>
                <c:pt idx="3">
                  <c:v>2.0358858304232818E-6</c:v>
                </c:pt>
                <c:pt idx="4">
                  <c:v>3.5823018066085824E-5</c:v>
                </c:pt>
              </c:numCache>
            </c:numRef>
          </c:val>
          <c:extLst>
            <c:ext xmlns:c16="http://schemas.microsoft.com/office/drawing/2014/chart" uri="{C3380CC4-5D6E-409C-BE32-E72D297353CC}">
              <c16:uniqueId val="{00000016-8D09-49D9-9E8B-7A4EEF57B0D1}"/>
            </c:ext>
          </c:extLst>
        </c:ser>
        <c:ser>
          <c:idx val="23"/>
          <c:order val="23"/>
          <c:tx>
            <c:strRef>
              <c:f>'results (2)'!$A$25</c:f>
              <c:strCache>
                <c:ptCount val="1"/>
                <c:pt idx="0">
                  <c:v>ETL spin coating</c:v>
                </c:pt>
              </c:strCache>
            </c:strRef>
          </c:tx>
          <c:spPr>
            <a:solidFill>
              <a:schemeClr val="accent6">
                <a:lumMod val="80000"/>
              </a:schemeClr>
            </a:solidFill>
            <a:ln>
              <a:noFill/>
            </a:ln>
            <a:effectLst/>
          </c:spPr>
          <c:invertIfNegative val="0"/>
          <c:cat>
            <c:strRef>
              <c:f>'results (2)'!$D$1:$X$1</c:f>
              <c:strCache>
                <c:ptCount val="5"/>
                <c:pt idx="3">
                  <c:v>Carbon footprint</c:v>
                </c:pt>
                <c:pt idx="4">
                  <c:v>Primary energy consumption</c:v>
                </c:pt>
              </c:strCache>
            </c:strRef>
          </c:cat>
          <c:val>
            <c:numRef>
              <c:f>'results (2)'!$D$25:$X$25</c:f>
              <c:numCache>
                <c:formatCode>General</c:formatCode>
                <c:ptCount val="21"/>
                <c:pt idx="3">
                  <c:v>0.21954647633780475</c:v>
                </c:pt>
                <c:pt idx="4">
                  <c:v>3.8630935343557486</c:v>
                </c:pt>
              </c:numCache>
            </c:numRef>
          </c:val>
          <c:extLst>
            <c:ext xmlns:c16="http://schemas.microsoft.com/office/drawing/2014/chart" uri="{C3380CC4-5D6E-409C-BE32-E72D297353CC}">
              <c16:uniqueId val="{00000017-8D09-49D9-9E8B-7A4EEF57B0D1}"/>
            </c:ext>
          </c:extLst>
        </c:ser>
        <c:ser>
          <c:idx val="24"/>
          <c:order val="24"/>
          <c:tx>
            <c:strRef>
              <c:f>'results (2)'!$A$26</c:f>
              <c:strCache>
                <c:ptCount val="1"/>
                <c:pt idx="0">
                  <c:v>ETL calcining</c:v>
                </c:pt>
              </c:strCache>
            </c:strRef>
          </c:tx>
          <c:spPr>
            <a:solidFill>
              <a:schemeClr val="accent1">
                <a:lumMod val="60000"/>
                <a:lumOff val="40000"/>
              </a:schemeClr>
            </a:solidFill>
            <a:ln>
              <a:noFill/>
            </a:ln>
            <a:effectLst/>
          </c:spPr>
          <c:invertIfNegative val="0"/>
          <c:cat>
            <c:strRef>
              <c:f>'results (2)'!$D$1:$X$1</c:f>
              <c:strCache>
                <c:ptCount val="5"/>
                <c:pt idx="3">
                  <c:v>Carbon footprint</c:v>
                </c:pt>
                <c:pt idx="4">
                  <c:v>Primary energy consumption</c:v>
                </c:pt>
              </c:strCache>
            </c:strRef>
          </c:cat>
          <c:val>
            <c:numRef>
              <c:f>'results (2)'!$D$26:$X$26</c:f>
              <c:numCache>
                <c:formatCode>General</c:formatCode>
                <c:ptCount val="21"/>
                <c:pt idx="3">
                  <c:v>1.7038080013630461</c:v>
                </c:pt>
                <c:pt idx="4">
                  <c:v>29.979846562063877</c:v>
                </c:pt>
              </c:numCache>
            </c:numRef>
          </c:val>
          <c:extLst>
            <c:ext xmlns:c16="http://schemas.microsoft.com/office/drawing/2014/chart" uri="{C3380CC4-5D6E-409C-BE32-E72D297353CC}">
              <c16:uniqueId val="{00000018-8D09-49D9-9E8B-7A4EEF57B0D1}"/>
            </c:ext>
          </c:extLst>
        </c:ser>
        <c:ser>
          <c:idx val="25"/>
          <c:order val="25"/>
          <c:tx>
            <c:strRef>
              <c:f>'results (2)'!$A$27</c:f>
              <c:strCache>
                <c:ptCount val="1"/>
                <c:pt idx="0">
                  <c:v>PL 1st-step spin coating</c:v>
                </c:pt>
              </c:strCache>
            </c:strRef>
          </c:tx>
          <c:spPr>
            <a:solidFill>
              <a:schemeClr val="accent2">
                <a:lumMod val="60000"/>
                <a:lumOff val="40000"/>
              </a:schemeClr>
            </a:solidFill>
            <a:ln>
              <a:noFill/>
            </a:ln>
            <a:effectLst/>
          </c:spPr>
          <c:invertIfNegative val="0"/>
          <c:cat>
            <c:strRef>
              <c:f>'results (2)'!$D$1:$X$1</c:f>
              <c:strCache>
                <c:ptCount val="5"/>
                <c:pt idx="3">
                  <c:v>Carbon footprint</c:v>
                </c:pt>
                <c:pt idx="4">
                  <c:v>Primary energy consumption</c:v>
                </c:pt>
              </c:strCache>
            </c:strRef>
          </c:cat>
          <c:val>
            <c:numRef>
              <c:f>'results (2)'!$D$27:$X$27</c:f>
              <c:numCache>
                <c:formatCode>General</c:formatCode>
                <c:ptCount val="21"/>
                <c:pt idx="3">
                  <c:v>8.4576274476780081E-2</c:v>
                </c:pt>
                <c:pt idx="4">
                  <c:v>1.4881863036072136</c:v>
                </c:pt>
              </c:numCache>
            </c:numRef>
          </c:val>
          <c:extLst>
            <c:ext xmlns:c16="http://schemas.microsoft.com/office/drawing/2014/chart" uri="{C3380CC4-5D6E-409C-BE32-E72D297353CC}">
              <c16:uniqueId val="{00000019-8D09-49D9-9E8B-7A4EEF57B0D1}"/>
            </c:ext>
          </c:extLst>
        </c:ser>
        <c:ser>
          <c:idx val="26"/>
          <c:order val="26"/>
          <c:tx>
            <c:strRef>
              <c:f>'results (2)'!$A$28</c:f>
              <c:strCache>
                <c:ptCount val="1"/>
                <c:pt idx="0">
                  <c:v>PL 2nd-step spin coating</c:v>
                </c:pt>
              </c:strCache>
            </c:strRef>
          </c:tx>
          <c:spPr>
            <a:solidFill>
              <a:schemeClr val="accent3">
                <a:lumMod val="60000"/>
                <a:lumOff val="40000"/>
              </a:schemeClr>
            </a:solidFill>
            <a:ln>
              <a:noFill/>
            </a:ln>
            <a:effectLst/>
          </c:spPr>
          <c:invertIfNegative val="0"/>
          <c:cat>
            <c:strRef>
              <c:f>'results (2)'!$D$1:$X$1</c:f>
              <c:strCache>
                <c:ptCount val="5"/>
                <c:pt idx="3">
                  <c:v>Carbon footprint</c:v>
                </c:pt>
                <c:pt idx="4">
                  <c:v>Primary energy consumption</c:v>
                </c:pt>
              </c:strCache>
            </c:strRef>
          </c:cat>
          <c:val>
            <c:numRef>
              <c:f>'results (2)'!$D$28:$X$28</c:f>
              <c:numCache>
                <c:formatCode>General</c:formatCode>
                <c:ptCount val="21"/>
                <c:pt idx="3">
                  <c:v>8.2436494732517538</c:v>
                </c:pt>
                <c:pt idx="4">
                  <c:v>145.05351901259513</c:v>
                </c:pt>
              </c:numCache>
            </c:numRef>
          </c:val>
          <c:extLst>
            <c:ext xmlns:c16="http://schemas.microsoft.com/office/drawing/2014/chart" uri="{C3380CC4-5D6E-409C-BE32-E72D297353CC}">
              <c16:uniqueId val="{0000001A-8D09-49D9-9E8B-7A4EEF57B0D1}"/>
            </c:ext>
          </c:extLst>
        </c:ser>
        <c:ser>
          <c:idx val="27"/>
          <c:order val="27"/>
          <c:tx>
            <c:strRef>
              <c:f>'results (2)'!$A$29</c:f>
              <c:strCache>
                <c:ptCount val="1"/>
                <c:pt idx="0">
                  <c:v>PL drying</c:v>
                </c:pt>
              </c:strCache>
            </c:strRef>
          </c:tx>
          <c:spPr>
            <a:solidFill>
              <a:schemeClr val="accent4">
                <a:lumMod val="60000"/>
                <a:lumOff val="40000"/>
              </a:schemeClr>
            </a:solidFill>
            <a:ln>
              <a:noFill/>
            </a:ln>
            <a:effectLst/>
          </c:spPr>
          <c:invertIfNegative val="0"/>
          <c:cat>
            <c:strRef>
              <c:f>'results (2)'!$D$1:$X$1</c:f>
              <c:strCache>
                <c:ptCount val="5"/>
                <c:pt idx="3">
                  <c:v>Carbon footprint</c:v>
                </c:pt>
                <c:pt idx="4">
                  <c:v>Primary energy consumption</c:v>
                </c:pt>
              </c:strCache>
            </c:strRef>
          </c:cat>
          <c:val>
            <c:numRef>
              <c:f>'results (2)'!$D$29:$X$29</c:f>
              <c:numCache>
                <c:formatCode>General</c:formatCode>
                <c:ptCount val="21"/>
                <c:pt idx="3">
                  <c:v>15.334272012267418</c:v>
                </c:pt>
                <c:pt idx="4">
                  <c:v>269.81861905857494</c:v>
                </c:pt>
              </c:numCache>
            </c:numRef>
          </c:val>
          <c:extLst>
            <c:ext xmlns:c16="http://schemas.microsoft.com/office/drawing/2014/chart" uri="{C3380CC4-5D6E-409C-BE32-E72D297353CC}">
              <c16:uniqueId val="{0000001B-8D09-49D9-9E8B-7A4EEF57B0D1}"/>
            </c:ext>
          </c:extLst>
        </c:ser>
        <c:ser>
          <c:idx val="28"/>
          <c:order val="28"/>
          <c:tx>
            <c:strRef>
              <c:f>'results (2)'!$A$30</c:f>
              <c:strCache>
                <c:ptCount val="1"/>
                <c:pt idx="0">
                  <c:v>HTL spin coating</c:v>
                </c:pt>
              </c:strCache>
            </c:strRef>
          </c:tx>
          <c:spPr>
            <a:solidFill>
              <a:schemeClr val="accent5">
                <a:lumMod val="60000"/>
                <a:lumOff val="40000"/>
              </a:schemeClr>
            </a:solidFill>
            <a:ln>
              <a:noFill/>
            </a:ln>
            <a:effectLst/>
          </c:spPr>
          <c:invertIfNegative val="0"/>
          <c:cat>
            <c:strRef>
              <c:f>'results (2)'!$D$1:$X$1</c:f>
              <c:strCache>
                <c:ptCount val="5"/>
                <c:pt idx="3">
                  <c:v>Carbon footprint</c:v>
                </c:pt>
                <c:pt idx="4">
                  <c:v>Primary energy consumption</c:v>
                </c:pt>
              </c:strCache>
            </c:strRef>
          </c:cat>
          <c:val>
            <c:numRef>
              <c:f>'results (2)'!$D$30:$X$30</c:f>
              <c:numCache>
                <c:formatCode>General</c:formatCode>
                <c:ptCount val="21"/>
                <c:pt idx="3">
                  <c:v>1.5223729405820419</c:v>
                </c:pt>
                <c:pt idx="4">
                  <c:v>26.787353464929854</c:v>
                </c:pt>
              </c:numCache>
            </c:numRef>
          </c:val>
          <c:extLst>
            <c:ext xmlns:c16="http://schemas.microsoft.com/office/drawing/2014/chart" uri="{C3380CC4-5D6E-409C-BE32-E72D297353CC}">
              <c16:uniqueId val="{0000001C-8D09-49D9-9E8B-7A4EEF57B0D1}"/>
            </c:ext>
          </c:extLst>
        </c:ser>
        <c:ser>
          <c:idx val="29"/>
          <c:order val="29"/>
          <c:tx>
            <c:strRef>
              <c:f>'results (2)'!$A$31</c:f>
              <c:strCache>
                <c:ptCount val="1"/>
                <c:pt idx="0">
                  <c:v>Electrode sputtering</c:v>
                </c:pt>
              </c:strCache>
            </c:strRef>
          </c:tx>
          <c:spPr>
            <a:solidFill>
              <a:schemeClr val="accent6">
                <a:lumMod val="60000"/>
                <a:lumOff val="40000"/>
              </a:schemeClr>
            </a:solidFill>
            <a:ln>
              <a:noFill/>
            </a:ln>
            <a:effectLst/>
          </c:spPr>
          <c:invertIfNegative val="0"/>
          <c:cat>
            <c:strRef>
              <c:f>'results (2)'!$D$1:$X$1</c:f>
              <c:strCache>
                <c:ptCount val="5"/>
                <c:pt idx="3">
                  <c:v>Carbon footprint</c:v>
                </c:pt>
                <c:pt idx="4">
                  <c:v>Primary energy consumption</c:v>
                </c:pt>
              </c:strCache>
            </c:strRef>
          </c:cat>
          <c:val>
            <c:numRef>
              <c:f>'results (2)'!$D$31:$X$31</c:f>
              <c:numCache>
                <c:formatCode>General</c:formatCode>
                <c:ptCount val="21"/>
                <c:pt idx="3">
                  <c:v>5.0088800040071035</c:v>
                </c:pt>
                <c:pt idx="4">
                  <c:v>88.135197069030383</c:v>
                </c:pt>
              </c:numCache>
            </c:numRef>
          </c:val>
          <c:extLst>
            <c:ext xmlns:c16="http://schemas.microsoft.com/office/drawing/2014/chart" uri="{C3380CC4-5D6E-409C-BE32-E72D297353CC}">
              <c16:uniqueId val="{0000001D-8D09-49D9-9E8B-7A4EEF57B0D1}"/>
            </c:ext>
          </c:extLst>
        </c:ser>
        <c:ser>
          <c:idx val="30"/>
          <c:order val="30"/>
          <c:tx>
            <c:strRef>
              <c:f>'results (2)'!$A$33</c:f>
              <c:strCache>
                <c:ptCount val="1"/>
                <c:pt idx="0">
                  <c:v>Direct emissions</c:v>
                </c:pt>
              </c:strCache>
            </c:strRef>
          </c:tx>
          <c:spPr>
            <a:solidFill>
              <a:schemeClr val="accent1">
                <a:lumMod val="50000"/>
              </a:schemeClr>
            </a:solidFill>
            <a:ln>
              <a:noFill/>
            </a:ln>
            <a:effectLst/>
          </c:spPr>
          <c:invertIfNegative val="0"/>
          <c:cat>
            <c:strRef>
              <c:f>'results (2)'!$D$1:$X$1</c:f>
              <c:strCache>
                <c:ptCount val="5"/>
                <c:pt idx="3">
                  <c:v>Carbon footprint</c:v>
                </c:pt>
                <c:pt idx="4">
                  <c:v>Primary energy consumption</c:v>
                </c:pt>
              </c:strCache>
            </c:strRef>
          </c:cat>
          <c:val>
            <c:numRef>
              <c:f>'results (2)'!$D$33:$X$33</c:f>
              <c:numCache>
                <c:formatCode>General</c:formatCode>
                <c:ptCount val="21"/>
                <c:pt idx="3">
                  <c:v>0</c:v>
                </c:pt>
                <c:pt idx="4">
                  <c:v>0</c:v>
                </c:pt>
              </c:numCache>
            </c:numRef>
          </c:val>
          <c:extLst>
            <c:ext xmlns:c16="http://schemas.microsoft.com/office/drawing/2014/chart" uri="{C3380CC4-5D6E-409C-BE32-E72D297353CC}">
              <c16:uniqueId val="{0000001E-8D09-49D9-9E8B-7A4EEF57B0D1}"/>
            </c:ext>
          </c:extLst>
        </c:ser>
        <c:ser>
          <c:idx val="31"/>
          <c:order val="31"/>
          <c:tx>
            <c:strRef>
              <c:f>'results (2)'!$A$34</c:f>
              <c:strCache>
                <c:ptCount val="1"/>
                <c:pt idx="0">
                  <c:v>Treatment</c:v>
                </c:pt>
              </c:strCache>
            </c:strRef>
          </c:tx>
          <c:spPr>
            <a:solidFill>
              <a:schemeClr val="accent2">
                <a:lumMod val="50000"/>
              </a:schemeClr>
            </a:solidFill>
            <a:ln>
              <a:noFill/>
            </a:ln>
            <a:effectLst/>
          </c:spPr>
          <c:invertIfNegative val="0"/>
          <c:cat>
            <c:strRef>
              <c:f>'results (2)'!$D$1:$X$1</c:f>
              <c:strCache>
                <c:ptCount val="5"/>
                <c:pt idx="3">
                  <c:v>Carbon footprint</c:v>
                </c:pt>
                <c:pt idx="4">
                  <c:v>Primary energy consumption</c:v>
                </c:pt>
              </c:strCache>
            </c:strRef>
          </c:cat>
          <c:val>
            <c:numRef>
              <c:f>'results (2)'!$D$34:$X$34</c:f>
              <c:numCache>
                <c:formatCode>General</c:formatCode>
                <c:ptCount val="21"/>
                <c:pt idx="3">
                  <c:v>5.7228935999999982E-5</c:v>
                </c:pt>
                <c:pt idx="4">
                  <c:v>4.7824445274400002E-4</c:v>
                </c:pt>
              </c:numCache>
            </c:numRef>
          </c:val>
          <c:extLst>
            <c:ext xmlns:c16="http://schemas.microsoft.com/office/drawing/2014/chart" uri="{C3380CC4-5D6E-409C-BE32-E72D297353CC}">
              <c16:uniqueId val="{0000001F-8D09-49D9-9E8B-7A4EEF57B0D1}"/>
            </c:ext>
          </c:extLst>
        </c:ser>
        <c:ser>
          <c:idx val="32"/>
          <c:order val="32"/>
          <c:tx>
            <c:strRef>
              <c:f>'results (2)'!$A$35</c:f>
              <c:strCache>
                <c:ptCount val="1"/>
                <c:pt idx="0">
                  <c:v>End of life</c:v>
                </c:pt>
              </c:strCache>
            </c:strRef>
          </c:tx>
          <c:spPr>
            <a:solidFill>
              <a:schemeClr val="accent3">
                <a:lumMod val="50000"/>
              </a:schemeClr>
            </a:solidFill>
            <a:ln>
              <a:noFill/>
            </a:ln>
            <a:effectLst/>
          </c:spPr>
          <c:invertIfNegative val="0"/>
          <c:cat>
            <c:strRef>
              <c:f>'results (2)'!$D$1:$X$1</c:f>
              <c:strCache>
                <c:ptCount val="5"/>
                <c:pt idx="3">
                  <c:v>Carbon footprint</c:v>
                </c:pt>
                <c:pt idx="4">
                  <c:v>Primary energy consumption</c:v>
                </c:pt>
              </c:strCache>
            </c:strRef>
          </c:cat>
          <c:val>
            <c:numRef>
              <c:f>'results (2)'!$D$35:$X$35</c:f>
              <c:numCache>
                <c:formatCode>General</c:formatCode>
                <c:ptCount val="21"/>
                <c:pt idx="3">
                  <c:v>6.2954281683199991</c:v>
                </c:pt>
                <c:pt idx="4">
                  <c:v>102.32319889165566</c:v>
                </c:pt>
              </c:numCache>
            </c:numRef>
          </c:val>
          <c:extLst>
            <c:ext xmlns:c16="http://schemas.microsoft.com/office/drawing/2014/chart" uri="{C3380CC4-5D6E-409C-BE32-E72D297353CC}">
              <c16:uniqueId val="{00000020-8D09-49D9-9E8B-7A4EEF57B0D1}"/>
            </c:ext>
          </c:extLst>
        </c:ser>
        <c:dLbls>
          <c:showLegendKey val="0"/>
          <c:showVal val="0"/>
          <c:showCatName val="0"/>
          <c:showSerName val="0"/>
          <c:showPercent val="0"/>
          <c:showBubbleSize val="0"/>
        </c:dLbls>
        <c:gapWidth val="150"/>
        <c:overlap val="100"/>
        <c:axId val="590330352"/>
        <c:axId val="590333304"/>
      </c:barChart>
      <c:catAx>
        <c:axId val="59033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333304"/>
        <c:crosses val="autoZero"/>
        <c:auto val="1"/>
        <c:lblAlgn val="ctr"/>
        <c:lblOffset val="100"/>
        <c:noMultiLvlLbl val="0"/>
      </c:catAx>
      <c:valAx>
        <c:axId val="590333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330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9244300612546397"/>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8.9684820647419075E-2"/>
          <c:y val="0.19432888597258677"/>
          <c:w val="0.45284711286089241"/>
          <c:h val="0.75474518810148727"/>
        </c:manualLayout>
      </c:layout>
      <c:pieChart>
        <c:varyColors val="1"/>
        <c:ser>
          <c:idx val="0"/>
          <c:order val="0"/>
          <c:tx>
            <c:strRef>
              <c:f>'material inventory'!$V$2</c:f>
              <c:strCache>
                <c:ptCount val="1"/>
                <c:pt idx="0">
                  <c:v>Primary energy consumption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E7A-468F-8EE9-A6971C8971C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2FCA-41FF-AA71-B202941CBB9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2FCA-41FF-AA71-B202941CBB9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2FCA-41FF-AA71-B202941CBB9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FCA-41FF-AA71-B202941CBB91}"/>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2FCA-41FF-AA71-B202941CBB91}"/>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FCA-41FF-AA71-B202941CBB91}"/>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E7A-468F-8EE9-A6971C8971C1}"/>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2FCA-41FF-AA71-B202941CBB91}"/>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FCA-41FF-AA71-B202941CBB91}"/>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2FCA-41FF-AA71-B202941CBB91}"/>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2FCA-41FF-AA71-B202941CBB91}"/>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E7A-468F-8EE9-A6971C8971C1}"/>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FCA-41FF-AA71-B202941CBB91}"/>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FCA-41FF-AA71-B202941CBB91}"/>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2FCA-41FF-AA71-B202941CBB91}"/>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FCA-41FF-AA71-B202941CBB91}"/>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EE7A-468F-8EE9-A6971C8971C1}"/>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E2C3-423A-83D5-AD0603D9F997}"/>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B0A4-4530-A5CF-AA8DF055CE2B}"/>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B0A4-4530-A5CF-AA8DF055CE2B}"/>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B0A4-4530-A5CF-AA8DF055CE2B}"/>
              </c:ext>
            </c:extLst>
          </c:dPt>
          <c:dLbls>
            <c:dLbl>
              <c:idx val="1"/>
              <c:delete val="1"/>
              <c:extLst>
                <c:ext xmlns:c15="http://schemas.microsoft.com/office/drawing/2012/chart" uri="{CE6537A1-D6FC-4f65-9D91-7224C49458BB}"/>
                <c:ext xmlns:c16="http://schemas.microsoft.com/office/drawing/2014/chart" uri="{C3380CC4-5D6E-409C-BE32-E72D297353CC}">
                  <c16:uniqueId val="{0000000E-2FCA-41FF-AA71-B202941CBB91}"/>
                </c:ext>
              </c:extLst>
            </c:dLbl>
            <c:dLbl>
              <c:idx val="3"/>
              <c:delete val="1"/>
              <c:extLst>
                <c:ext xmlns:c15="http://schemas.microsoft.com/office/drawing/2012/chart" uri="{CE6537A1-D6FC-4f65-9D91-7224C49458BB}"/>
                <c:ext xmlns:c16="http://schemas.microsoft.com/office/drawing/2014/chart" uri="{C3380CC4-5D6E-409C-BE32-E72D297353CC}">
                  <c16:uniqueId val="{0000000C-2FCA-41FF-AA71-B202941CBB91}"/>
                </c:ext>
              </c:extLst>
            </c:dLbl>
            <c:dLbl>
              <c:idx val="4"/>
              <c:delete val="1"/>
              <c:extLst>
                <c:ext xmlns:c15="http://schemas.microsoft.com/office/drawing/2012/chart" uri="{CE6537A1-D6FC-4f65-9D91-7224C49458BB}"/>
                <c:ext xmlns:c16="http://schemas.microsoft.com/office/drawing/2014/chart" uri="{C3380CC4-5D6E-409C-BE32-E72D297353CC}">
                  <c16:uniqueId val="{0000000B-2FCA-41FF-AA71-B202941CBB91}"/>
                </c:ext>
              </c:extLst>
            </c:dLbl>
            <c:dLbl>
              <c:idx val="5"/>
              <c:delete val="1"/>
              <c:extLst>
                <c:ext xmlns:c15="http://schemas.microsoft.com/office/drawing/2012/chart" uri="{CE6537A1-D6FC-4f65-9D91-7224C49458BB}"/>
                <c:ext xmlns:c16="http://schemas.microsoft.com/office/drawing/2014/chart" uri="{C3380CC4-5D6E-409C-BE32-E72D297353CC}">
                  <c16:uniqueId val="{0000000A-2FCA-41FF-AA71-B202941CBB91}"/>
                </c:ext>
              </c:extLst>
            </c:dLbl>
            <c:dLbl>
              <c:idx val="6"/>
              <c:delete val="1"/>
              <c:extLst>
                <c:ext xmlns:c15="http://schemas.microsoft.com/office/drawing/2012/chart" uri="{CE6537A1-D6FC-4f65-9D91-7224C49458BB}"/>
                <c:ext xmlns:c16="http://schemas.microsoft.com/office/drawing/2014/chart" uri="{C3380CC4-5D6E-409C-BE32-E72D297353CC}">
                  <c16:uniqueId val="{00000009-2FCA-41FF-AA71-B202941CBB91}"/>
                </c:ext>
              </c:extLst>
            </c:dLbl>
            <c:dLbl>
              <c:idx val="7"/>
              <c:delete val="1"/>
              <c:extLst>
                <c:ext xmlns:c15="http://schemas.microsoft.com/office/drawing/2012/chart" uri="{CE6537A1-D6FC-4f65-9D91-7224C49458BB}"/>
                <c:ext xmlns:c16="http://schemas.microsoft.com/office/drawing/2014/chart" uri="{C3380CC4-5D6E-409C-BE32-E72D297353CC}">
                  <c16:uniqueId val="{0000000F-EE7A-468F-8EE9-A6971C8971C1}"/>
                </c:ext>
              </c:extLst>
            </c:dLbl>
            <c:dLbl>
              <c:idx val="9"/>
              <c:layout>
                <c:manualLayout>
                  <c:x val="9.4919072615923007E-3"/>
                  <c:y val="1.978966170895304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FCA-41FF-AA71-B202941CBB91}"/>
                </c:ext>
              </c:extLst>
            </c:dLbl>
            <c:dLbl>
              <c:idx val="10"/>
              <c:delete val="1"/>
              <c:extLst>
                <c:ext xmlns:c15="http://schemas.microsoft.com/office/drawing/2012/chart" uri="{CE6537A1-D6FC-4f65-9D91-7224C49458BB}"/>
                <c:ext xmlns:c16="http://schemas.microsoft.com/office/drawing/2014/chart" uri="{C3380CC4-5D6E-409C-BE32-E72D297353CC}">
                  <c16:uniqueId val="{00000006-2FCA-41FF-AA71-B202941CBB91}"/>
                </c:ext>
              </c:extLst>
            </c:dLbl>
            <c:dLbl>
              <c:idx val="11"/>
              <c:delete val="1"/>
              <c:extLst>
                <c:ext xmlns:c15="http://schemas.microsoft.com/office/drawing/2012/chart" uri="{CE6537A1-D6FC-4f65-9D91-7224C49458BB}"/>
                <c:ext xmlns:c16="http://schemas.microsoft.com/office/drawing/2014/chart" uri="{C3380CC4-5D6E-409C-BE32-E72D297353CC}">
                  <c16:uniqueId val="{00000004-2FCA-41FF-AA71-B202941CBB91}"/>
                </c:ext>
              </c:extLst>
            </c:dLbl>
            <c:dLbl>
              <c:idx val="12"/>
              <c:delete val="1"/>
              <c:extLst>
                <c:ext xmlns:c15="http://schemas.microsoft.com/office/drawing/2012/chart" uri="{CE6537A1-D6FC-4f65-9D91-7224C49458BB}"/>
                <c:ext xmlns:c16="http://schemas.microsoft.com/office/drawing/2014/chart" uri="{C3380CC4-5D6E-409C-BE32-E72D297353CC}">
                  <c16:uniqueId val="{00000019-EE7A-468F-8EE9-A6971C8971C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('material inventory'!$S$3:$S$23,'material inventory'!$S$47)</c:f>
              <c:strCache>
                <c:ptCount val="22"/>
                <c:pt idx="0">
                  <c:v>FTO glass</c:v>
                </c:pt>
                <c:pt idx="1">
                  <c:v>Ethanol</c:v>
                </c:pt>
                <c:pt idx="2">
                  <c:v>Acetone</c:v>
                </c:pt>
                <c:pt idx="3">
                  <c:v>Deionized water</c:v>
                </c:pt>
                <c:pt idx="4">
                  <c:v>BL-TiO₂ ink</c:v>
                </c:pt>
                <c:pt idx="5">
                  <c:v>TiO₂</c:v>
                </c:pt>
                <c:pt idx="6">
                  <c:v>FAI</c:v>
                </c:pt>
                <c:pt idx="7">
                  <c:v>PbI₂</c:v>
                </c:pt>
                <c:pt idx="8">
                  <c:v>MABr</c:v>
                </c:pt>
                <c:pt idx="9">
                  <c:v>PbBr₂</c:v>
                </c:pt>
                <c:pt idx="10">
                  <c:v>DMF</c:v>
                </c:pt>
                <c:pt idx="11">
                  <c:v>DMSO</c:v>
                </c:pt>
                <c:pt idx="12">
                  <c:v>Chlorobenzene</c:v>
                </c:pt>
                <c:pt idx="13">
                  <c:v>spiro-OMeTAD</c:v>
                </c:pt>
                <c:pt idx="14">
                  <c:v>HTFSI</c:v>
                </c:pt>
                <c:pt idx="15">
                  <c:v>Acetonitrile</c:v>
                </c:pt>
                <c:pt idx="16">
                  <c:v>FK209</c:v>
                </c:pt>
                <c:pt idx="17">
                  <c:v>4-tert-Butylpyridine</c:v>
                </c:pt>
                <c:pt idx="18">
                  <c:v>Cu</c:v>
                </c:pt>
                <c:pt idx="19">
                  <c:v>Ar</c:v>
                </c:pt>
                <c:pt idx="20">
                  <c:v>O₂</c:v>
                </c:pt>
                <c:pt idx="21">
                  <c:v>Treatment</c:v>
                </c:pt>
              </c:strCache>
            </c:strRef>
          </c:cat>
          <c:val>
            <c:numRef>
              <c:f>('material inventory'!$V$3:$V$23,'material inventory'!$V$47)</c:f>
              <c:numCache>
                <c:formatCode>0.00</c:formatCode>
                <c:ptCount val="22"/>
                <c:pt idx="0">
                  <c:v>85.029036949120112</c:v>
                </c:pt>
                <c:pt idx="1">
                  <c:v>2.1516887421196365</c:v>
                </c:pt>
                <c:pt idx="2" formatCode="0.000E+00">
                  <c:v>9.9018946488503996</c:v>
                </c:pt>
                <c:pt idx="3">
                  <c:v>7.8310930304560005E-4</c:v>
                </c:pt>
                <c:pt idx="4">
                  <c:v>0.3085047812739285</c:v>
                </c:pt>
                <c:pt idx="5">
                  <c:v>0.10402164186408001</c:v>
                </c:pt>
                <c:pt idx="6">
                  <c:v>0.59575957692753112</c:v>
                </c:pt>
                <c:pt idx="7">
                  <c:v>6.2900780904729572E-2</c:v>
                </c:pt>
                <c:pt idx="8">
                  <c:v>3.1681347872173444</c:v>
                </c:pt>
                <c:pt idx="9">
                  <c:v>8.2194376428353123E-3</c:v>
                </c:pt>
                <c:pt idx="10">
                  <c:v>0.12792526254726047</c:v>
                </c:pt>
                <c:pt idx="11">
                  <c:v>2.8054715315643849E-2</c:v>
                </c:pt>
                <c:pt idx="12">
                  <c:v>0.58474354758357783</c:v>
                </c:pt>
                <c:pt idx="13">
                  <c:v>0.95029313625411649</c:v>
                </c:pt>
                <c:pt idx="14">
                  <c:v>3.9592547662353358E-2</c:v>
                </c:pt>
                <c:pt idx="15">
                  <c:v>2.9014695842552819E-2</c:v>
                </c:pt>
                <c:pt idx="17">
                  <c:v>3.2400038484210532E-2</c:v>
                </c:pt>
                <c:pt idx="18" formatCode="0.000E+00">
                  <c:v>8.3168110626406416E-2</c:v>
                </c:pt>
                <c:pt idx="19" formatCode="0.000E+00">
                  <c:v>3.4927646546424245</c:v>
                </c:pt>
                <c:pt idx="20" formatCode="0.000E+00">
                  <c:v>1.3958710916654544E-3</c:v>
                </c:pt>
                <c:pt idx="21" formatCode="0.000E+00">
                  <c:v>4.7824445274400008E-3</c:v>
                </c:pt>
              </c:numCache>
            </c:numRef>
          </c:val>
          <c:extLst>
            <c:ext xmlns:c16="http://schemas.microsoft.com/office/drawing/2014/chart" uri="{C3380CC4-5D6E-409C-BE32-E72D297353CC}">
              <c16:uniqueId val="{00000000-2FCA-41FF-AA71-B202941CBB9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3499453193350841"/>
          <c:y val="0.12551800816564598"/>
          <c:w val="0.34833880139982504"/>
          <c:h val="0.83681102362204729"/>
        </c:manualLayout>
      </c:layout>
      <c:overlay val="0"/>
      <c:spPr>
        <a:solidFill>
          <a:schemeClr val="bg1"/>
        </a:solid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D5-4143-85A5-1C0822BAF2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D5-4143-85A5-1C0822BAF2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D5-4143-85A5-1C0822BAF2B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BD5-4143-85A5-1C0822BAF2B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BD5-4143-85A5-1C0822BAF2B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BD5-4143-85A5-1C0822BAF2B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BD5-4143-85A5-1C0822BAF2B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BD5-4143-85A5-1C0822BAF2B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BD5-4143-85A5-1C0822BAF2B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BD5-4143-85A5-1C0822BAF2B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BD5-4143-85A5-1C0822BAF2B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BD5-4143-85A5-1C0822BAF2B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BD5-4143-85A5-1C0822BAF2B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BD5-4143-85A5-1C0822BAF2B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BD5-4143-85A5-1C0822BAF2B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BD5-4143-85A5-1C0822BAF2BF}"/>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7BD5-4143-85A5-1C0822BAF2BF}"/>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7BD5-4143-85A5-1C0822BAF2BF}"/>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7BD5-4143-85A5-1C0822BAF2BF}"/>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3C24-4A44-B1FF-3AB1F711D963}"/>
              </c:ext>
            </c:extLst>
          </c:dPt>
          <c:cat>
            <c:strRef>
              <c:f>('material inventory'!$S$3:$S$21,'material inventory'!$S$47)</c:f>
              <c:strCache>
                <c:ptCount val="20"/>
                <c:pt idx="0">
                  <c:v>FTO glass</c:v>
                </c:pt>
                <c:pt idx="1">
                  <c:v>Ethanol</c:v>
                </c:pt>
                <c:pt idx="2">
                  <c:v>Acetone</c:v>
                </c:pt>
                <c:pt idx="3">
                  <c:v>Deionized water</c:v>
                </c:pt>
                <c:pt idx="4">
                  <c:v>BL-TiO₂ ink</c:v>
                </c:pt>
                <c:pt idx="5">
                  <c:v>TiO₂</c:v>
                </c:pt>
                <c:pt idx="6">
                  <c:v>FAI</c:v>
                </c:pt>
                <c:pt idx="7">
                  <c:v>PbI₂</c:v>
                </c:pt>
                <c:pt idx="8">
                  <c:v>MABr</c:v>
                </c:pt>
                <c:pt idx="9">
                  <c:v>PbBr₂</c:v>
                </c:pt>
                <c:pt idx="10">
                  <c:v>DMF</c:v>
                </c:pt>
                <c:pt idx="11">
                  <c:v>DMSO</c:v>
                </c:pt>
                <c:pt idx="12">
                  <c:v>Chlorobenzene</c:v>
                </c:pt>
                <c:pt idx="13">
                  <c:v>spiro-OMeTAD</c:v>
                </c:pt>
                <c:pt idx="14">
                  <c:v>HTFSI</c:v>
                </c:pt>
                <c:pt idx="15">
                  <c:v>Acetonitrile</c:v>
                </c:pt>
                <c:pt idx="16">
                  <c:v>FK209</c:v>
                </c:pt>
                <c:pt idx="17">
                  <c:v>4-tert-Butylpyridine</c:v>
                </c:pt>
                <c:pt idx="18">
                  <c:v>Cu</c:v>
                </c:pt>
                <c:pt idx="19">
                  <c:v>Treatment</c:v>
                </c:pt>
              </c:strCache>
            </c:strRef>
          </c:cat>
          <c:val>
            <c:numRef>
              <c:f>('material inventory'!$V$3:$V$21,'material inventory'!$V$47)</c:f>
              <c:numCache>
                <c:formatCode>0.00</c:formatCode>
                <c:ptCount val="20"/>
                <c:pt idx="0">
                  <c:v>85.029036949120112</c:v>
                </c:pt>
                <c:pt idx="1">
                  <c:v>2.1516887421196365</c:v>
                </c:pt>
                <c:pt idx="2" formatCode="0.000E+00">
                  <c:v>9.9018946488503996</c:v>
                </c:pt>
                <c:pt idx="3">
                  <c:v>7.8310930304560005E-4</c:v>
                </c:pt>
                <c:pt idx="4">
                  <c:v>0.3085047812739285</c:v>
                </c:pt>
                <c:pt idx="5">
                  <c:v>0.10402164186408001</c:v>
                </c:pt>
                <c:pt idx="6">
                  <c:v>0.59575957692753112</c:v>
                </c:pt>
                <c:pt idx="7">
                  <c:v>6.2900780904729572E-2</c:v>
                </c:pt>
                <c:pt idx="8">
                  <c:v>3.1681347872173444</c:v>
                </c:pt>
                <c:pt idx="9">
                  <c:v>8.2194376428353123E-3</c:v>
                </c:pt>
                <c:pt idx="10">
                  <c:v>0.12792526254726047</c:v>
                </c:pt>
                <c:pt idx="11">
                  <c:v>2.8054715315643849E-2</c:v>
                </c:pt>
                <c:pt idx="12">
                  <c:v>0.58474354758357783</c:v>
                </c:pt>
                <c:pt idx="13">
                  <c:v>0.95029313625411649</c:v>
                </c:pt>
                <c:pt idx="14">
                  <c:v>3.9592547662353358E-2</c:v>
                </c:pt>
                <c:pt idx="15">
                  <c:v>2.9014695842552819E-2</c:v>
                </c:pt>
                <c:pt idx="17">
                  <c:v>3.2400038484210532E-2</c:v>
                </c:pt>
                <c:pt idx="18" formatCode="0.000E+00">
                  <c:v>8.3168110626406416E-2</c:v>
                </c:pt>
                <c:pt idx="19" formatCode="0.000E+00">
                  <c:v>4.7824445274400008E-3</c:v>
                </c:pt>
              </c:numCache>
            </c:numRef>
          </c:val>
          <c:extLst>
            <c:ext xmlns:c16="http://schemas.microsoft.com/office/drawing/2014/chart" uri="{C3380CC4-5D6E-409C-BE32-E72D297353CC}">
              <c16:uniqueId val="{00000000-3874-45C9-BB15-8EB446C51BBF}"/>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1802621722600843"/>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2877702417806958"/>
          <c:y val="0.19895851560221639"/>
          <c:w val="0.41924501156410876"/>
          <c:h val="0.69918963254593169"/>
        </c:manualLayout>
      </c:layout>
      <c:pieChart>
        <c:varyColors val="1"/>
        <c:ser>
          <c:idx val="0"/>
          <c:order val="0"/>
          <c:tx>
            <c:strRef>
              <c:f>'energy consumption'!$P$2</c:f>
              <c:strCache>
                <c:ptCount val="1"/>
                <c:pt idx="0">
                  <c:v>Carbon footprint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D13-4835-8DAA-41FF51DAFDB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5D13-4835-8DAA-41FF51DAFDB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D13-4835-8DAA-41FF51DAFDB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5D13-4835-8DAA-41FF51DAFDB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5D13-4835-8DAA-41FF51DAFDB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D13-4835-8DAA-41FF51DAFDB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5D13-4835-8DAA-41FF51DAFDBF}"/>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D13-4835-8DAA-41FF51DAFDBF}"/>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828-435E-BB46-E7B450B24079}"/>
              </c:ext>
            </c:extLst>
          </c:dPt>
          <c:dLbls>
            <c:dLbl>
              <c:idx val="0"/>
              <c:layout>
                <c:manualLayout>
                  <c:x val="-1.1009346370469901E-2"/>
                  <c:y val="8.498906386701662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D13-4835-8DAA-41FF51DAFDBF}"/>
                </c:ext>
              </c:extLst>
            </c:dLbl>
            <c:dLbl>
              <c:idx val="1"/>
              <c:delete val="1"/>
              <c:extLst>
                <c:ext xmlns:c15="http://schemas.microsoft.com/office/drawing/2012/chart" uri="{CE6537A1-D6FC-4f65-9D91-7224C49458BB}"/>
                <c:ext xmlns:c16="http://schemas.microsoft.com/office/drawing/2014/chart" uri="{C3380CC4-5D6E-409C-BE32-E72D297353CC}">
                  <c16:uniqueId val="{00000004-5D13-4835-8DAA-41FF51DAFDBF}"/>
                </c:ext>
              </c:extLst>
            </c:dLbl>
            <c:dLbl>
              <c:idx val="2"/>
              <c:layout>
                <c:manualLayout>
                  <c:x val="2.3154447575274906E-2"/>
                  <c:y val="1.406969962088072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D13-4835-8DAA-41FF51DAFDBF}"/>
                </c:ext>
              </c:extLst>
            </c:dLbl>
            <c:dLbl>
              <c:idx val="4"/>
              <c:layout>
                <c:manualLayout>
                  <c:x val="-5.5045857522222838E-2"/>
                  <c:y val="-8.283756197142032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D13-4835-8DAA-41FF51DAFDBF}"/>
                </c:ext>
              </c:extLst>
            </c:dLbl>
            <c:dLbl>
              <c:idx val="5"/>
              <c:layout>
                <c:manualLayout>
                  <c:x val="-5.4119067588123237E-2"/>
                  <c:y val="-9.269575678040245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D13-4835-8DAA-41FF51DAFDBF}"/>
                </c:ext>
              </c:extLst>
            </c:dLbl>
            <c:dLbl>
              <c:idx val="6"/>
              <c:layout>
                <c:manualLayout>
                  <c:x val="4.4323947180842677E-2"/>
                  <c:y val="1.5583989501312336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5D13-4835-8DAA-41FF51DAFDBF}"/>
                </c:ext>
              </c:extLst>
            </c:dLbl>
            <c:dLbl>
              <c:idx val="7"/>
              <c:layout>
                <c:manualLayout>
                  <c:x val="-2.6481273706641748E-2"/>
                  <c:y val="-1.27103382910469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D13-4835-8DAA-41FF51DAFDB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'energy consumption'!$N$3:$N$11</c:f>
              <c:strCache>
                <c:ptCount val="9"/>
                <c:pt idx="0">
                  <c:v>Sonication</c:v>
                </c:pt>
                <c:pt idx="1">
                  <c:v>Spray pyrolysis</c:v>
                </c:pt>
                <c:pt idx="2">
                  <c:v>ETL spin coating</c:v>
                </c:pt>
                <c:pt idx="3">
                  <c:v>ETL calcining</c:v>
                </c:pt>
                <c:pt idx="4">
                  <c:v>PL 1st-step spin coating</c:v>
                </c:pt>
                <c:pt idx="5">
                  <c:v>PL 2nd-step spin coating</c:v>
                </c:pt>
                <c:pt idx="6">
                  <c:v>PL drying</c:v>
                </c:pt>
                <c:pt idx="7">
                  <c:v>HTL spin coating</c:v>
                </c:pt>
                <c:pt idx="8">
                  <c:v>Electrode sputtering</c:v>
                </c:pt>
              </c:strCache>
            </c:strRef>
          </c:cat>
          <c:val>
            <c:numRef>
              <c:f>'energy consumption'!$P$3:$P$11</c:f>
              <c:numCache>
                <c:formatCode>General</c:formatCode>
                <c:ptCount val="9"/>
                <c:pt idx="0">
                  <c:v>2.8396800022717437</c:v>
                </c:pt>
                <c:pt idx="1">
                  <c:v>2.0358858304232825E-4</c:v>
                </c:pt>
                <c:pt idx="2">
                  <c:v>2.1954647633780482</c:v>
                </c:pt>
                <c:pt idx="3">
                  <c:v>17.038080013630463</c:v>
                </c:pt>
                <c:pt idx="4">
                  <c:v>8.4576274476780081E-2</c:v>
                </c:pt>
                <c:pt idx="5">
                  <c:v>8.2436494732517538</c:v>
                </c:pt>
                <c:pt idx="6">
                  <c:v>15.334272012267418</c:v>
                </c:pt>
                <c:pt idx="7">
                  <c:v>1.5223729405820419</c:v>
                </c:pt>
                <c:pt idx="8">
                  <c:v>5.0088800040071035</c:v>
                </c:pt>
              </c:numCache>
            </c:numRef>
          </c:val>
          <c:extLst>
            <c:ext xmlns:c16="http://schemas.microsoft.com/office/drawing/2014/chart" uri="{C3380CC4-5D6E-409C-BE32-E72D297353CC}">
              <c16:uniqueId val="{00000000-5D13-4835-8DAA-41FF51DAFDB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9158773180982455"/>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8672187547731828"/>
          <c:y val="0.21284740449110529"/>
          <c:w val="0.42805290032259602"/>
          <c:h val="0.71307852143482064"/>
        </c:manualLayout>
      </c:layout>
      <c:pieChart>
        <c:varyColors val="1"/>
        <c:ser>
          <c:idx val="0"/>
          <c:order val="0"/>
          <c:tx>
            <c:strRef>
              <c:f>'energy consumption'!$Q$2</c:f>
              <c:strCache>
                <c:ptCount val="1"/>
                <c:pt idx="0">
                  <c:v>Primary energy consumption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2F37-4D7F-8A94-964D8BB7A7C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F37-4D7F-8A94-964D8BB7A7C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2F37-4D7F-8A94-964D8BB7A7C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F37-4D7F-8A94-964D8BB7A7C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2F37-4D7F-8A94-964D8BB7A7C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F37-4D7F-8A94-964D8BB7A7C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2F37-4D7F-8A94-964D8BB7A7C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F37-4D7F-8A94-964D8BB7A7CE}"/>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3E0-43E0-BEF8-E273FF4A349C}"/>
              </c:ext>
            </c:extLst>
          </c:dPt>
          <c:dLbls>
            <c:dLbl>
              <c:idx val="0"/>
              <c:layout>
                <c:manualLayout>
                  <c:x val="-1.3655077397226401E-2"/>
                  <c:y val="7.951990376202970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2F37-4D7F-8A94-964D8BB7A7CE}"/>
                </c:ext>
              </c:extLst>
            </c:dLbl>
            <c:dLbl>
              <c:idx val="1"/>
              <c:delete val="1"/>
              <c:extLst>
                <c:ext xmlns:c15="http://schemas.microsoft.com/office/drawing/2012/chart" uri="{CE6537A1-D6FC-4f65-9D91-7224C49458BB}"/>
                <c:ext xmlns:c16="http://schemas.microsoft.com/office/drawing/2014/chart" uri="{C3380CC4-5D6E-409C-BE32-E72D297353CC}">
                  <c16:uniqueId val="{00000007-2F37-4D7F-8A94-964D8BB7A7CE}"/>
                </c:ext>
              </c:extLst>
            </c:dLbl>
            <c:dLbl>
              <c:idx val="2"/>
              <c:layout>
                <c:manualLayout>
                  <c:x val="2.9869346636900242E-2"/>
                  <c:y val="2.792906095071447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2F37-4D7F-8A94-964D8BB7A7CE}"/>
                </c:ext>
              </c:extLst>
            </c:dLbl>
            <c:dLbl>
              <c:idx val="3"/>
              <c:layout>
                <c:manualLayout>
                  <c:x val="-0.1599666681401076"/>
                  <c:y val="-3.129374453193359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F37-4D7F-8A94-964D8BB7A7CE}"/>
                </c:ext>
              </c:extLst>
            </c:dLbl>
            <c:dLbl>
              <c:idx val="4"/>
              <c:layout>
                <c:manualLayout>
                  <c:x val="9.6400237909650723E-3"/>
                  <c:y val="-8.333515602216388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F37-4D7F-8A94-964D8BB7A7CE}"/>
                </c:ext>
              </c:extLst>
            </c:dLbl>
            <c:dLbl>
              <c:idx val="5"/>
              <c:layout>
                <c:manualLayout>
                  <c:x val="4.4020506796574509E-2"/>
                  <c:y val="-7.987314085739283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F37-4D7F-8A94-964D8BB7A7CE}"/>
                </c:ext>
              </c:extLst>
            </c:dLbl>
            <c:dLbl>
              <c:idx val="6"/>
              <c:layout>
                <c:manualLayout>
                  <c:x val="1.1379048807803927E-4"/>
                  <c:y val="-3.338801399825021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F37-4D7F-8A94-964D8BB7A7CE}"/>
                </c:ext>
              </c:extLst>
            </c:dLbl>
            <c:dLbl>
              <c:idx val="7"/>
              <c:layout>
                <c:manualLayout>
                  <c:x val="4.7346033810655254E-2"/>
                  <c:y val="-8.12984835228929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F37-4D7F-8A94-964D8BB7A7CE}"/>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'energy consumption'!$N$3:$N$11</c:f>
              <c:strCache>
                <c:ptCount val="9"/>
                <c:pt idx="0">
                  <c:v>Sonication</c:v>
                </c:pt>
                <c:pt idx="1">
                  <c:v>Spray pyrolysis</c:v>
                </c:pt>
                <c:pt idx="2">
                  <c:v>ETL spin coating</c:v>
                </c:pt>
                <c:pt idx="3">
                  <c:v>ETL calcining</c:v>
                </c:pt>
                <c:pt idx="4">
                  <c:v>PL 1st-step spin coating</c:v>
                </c:pt>
                <c:pt idx="5">
                  <c:v>PL 2nd-step spin coating</c:v>
                </c:pt>
                <c:pt idx="6">
                  <c:v>PL drying</c:v>
                </c:pt>
                <c:pt idx="7">
                  <c:v>HTL spin coating</c:v>
                </c:pt>
                <c:pt idx="8">
                  <c:v>Electrode sputtering</c:v>
                </c:pt>
              </c:strCache>
            </c:strRef>
          </c:cat>
          <c:val>
            <c:numRef>
              <c:f>'energy consumption'!$Q$3:$Q$11</c:f>
              <c:numCache>
                <c:formatCode>General</c:formatCode>
                <c:ptCount val="9"/>
                <c:pt idx="0">
                  <c:v>49.96641093677313</c:v>
                </c:pt>
                <c:pt idx="1">
                  <c:v>3.5823018066085837E-3</c:v>
                </c:pt>
                <c:pt idx="2">
                  <c:v>38.630935343557496</c:v>
                </c:pt>
                <c:pt idx="3">
                  <c:v>299.79846562063881</c:v>
                </c:pt>
                <c:pt idx="4">
                  <c:v>1.4881863036072136</c:v>
                </c:pt>
                <c:pt idx="5">
                  <c:v>145.05351901259513</c:v>
                </c:pt>
                <c:pt idx="6">
                  <c:v>269.81861905857494</c:v>
                </c:pt>
                <c:pt idx="7">
                  <c:v>26.787353464929854</c:v>
                </c:pt>
                <c:pt idx="8">
                  <c:v>88.135197069030383</c:v>
                </c:pt>
              </c:numCache>
            </c:numRef>
          </c:val>
          <c:extLst>
            <c:ext xmlns:c16="http://schemas.microsoft.com/office/drawing/2014/chart" uri="{C3380CC4-5D6E-409C-BE32-E72D297353CC}">
              <c16:uniqueId val="{00000000-2F37-4D7F-8A94-964D8BB7A7CE}"/>
            </c:ext>
          </c:extLst>
        </c:ser>
        <c:dLbls>
          <c:dLblPos val="ctr"/>
          <c:showLegendKey val="0"/>
          <c:showVal val="0"/>
          <c:showCatName val="0"/>
          <c:showSerName val="0"/>
          <c:showPercent val="1"/>
          <c:showBubbleSize val="0"/>
          <c:showLeaderLines val="1"/>
        </c:dLbls>
        <c:firstSliceAng val="0"/>
      </c:pieChart>
      <c:spPr>
        <a:solidFill>
          <a:schemeClr val="bg1"/>
        </a:solid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84-4C73-88F2-5DF071A0C7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84-4C73-88F2-5DF071A0C7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84-4C73-88F2-5DF071A0C7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484-4C73-88F2-5DF071A0C77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484-4C73-88F2-5DF071A0C77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484-4C73-88F2-5DF071A0C77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484-4C73-88F2-5DF071A0C77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484-4C73-88F2-5DF071A0C77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484-4C73-88F2-5DF071A0C778}"/>
              </c:ext>
            </c:extLst>
          </c:dPt>
          <c:cat>
            <c:strRef>
              <c:f>'energy consumption'!$N$3:$N$11</c:f>
              <c:strCache>
                <c:ptCount val="9"/>
                <c:pt idx="0">
                  <c:v>Sonication</c:v>
                </c:pt>
                <c:pt idx="1">
                  <c:v>Spray pyrolysis</c:v>
                </c:pt>
                <c:pt idx="2">
                  <c:v>ETL spin coating</c:v>
                </c:pt>
                <c:pt idx="3">
                  <c:v>ETL calcining</c:v>
                </c:pt>
                <c:pt idx="4">
                  <c:v>PL 1st-step spin coating</c:v>
                </c:pt>
                <c:pt idx="5">
                  <c:v>PL 2nd-step spin coating</c:v>
                </c:pt>
                <c:pt idx="6">
                  <c:v>PL drying</c:v>
                </c:pt>
                <c:pt idx="7">
                  <c:v>HTL spin coating</c:v>
                </c:pt>
                <c:pt idx="8">
                  <c:v>Electrode sputtering</c:v>
                </c:pt>
              </c:strCache>
            </c:strRef>
          </c:cat>
          <c:val>
            <c:numRef>
              <c:f>'energy consumption'!$Q$3:$Q$11</c:f>
              <c:numCache>
                <c:formatCode>General</c:formatCode>
                <c:ptCount val="9"/>
                <c:pt idx="0">
                  <c:v>49.96641093677313</c:v>
                </c:pt>
                <c:pt idx="1">
                  <c:v>3.5823018066085837E-3</c:v>
                </c:pt>
                <c:pt idx="2">
                  <c:v>38.630935343557496</c:v>
                </c:pt>
                <c:pt idx="3">
                  <c:v>299.79846562063881</c:v>
                </c:pt>
                <c:pt idx="4">
                  <c:v>1.4881863036072136</c:v>
                </c:pt>
                <c:pt idx="5">
                  <c:v>145.05351901259513</c:v>
                </c:pt>
                <c:pt idx="6">
                  <c:v>269.81861905857494</c:v>
                </c:pt>
                <c:pt idx="7">
                  <c:v>26.787353464929854</c:v>
                </c:pt>
                <c:pt idx="8">
                  <c:v>88.135197069030383</c:v>
                </c:pt>
              </c:numCache>
            </c:numRef>
          </c:val>
          <c:extLst>
            <c:ext xmlns:c16="http://schemas.microsoft.com/office/drawing/2014/chart" uri="{C3380CC4-5D6E-409C-BE32-E72D297353CC}">
              <c16:uniqueId val="{00000000-2AF2-4A28-A3E6-238CDB0C4FA0}"/>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results!$A$2</c:f>
              <c:strCache>
                <c:ptCount val="1"/>
                <c:pt idx="0">
                  <c:v>FTO glass</c:v>
                </c:pt>
              </c:strCache>
            </c:strRef>
          </c:tx>
          <c:spPr>
            <a:solidFill>
              <a:schemeClr val="accent1"/>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results!$D$2:$X$2</c:f>
              <c:numCache>
                <c:formatCode>General</c:formatCode>
                <c:ptCount val="21"/>
                <c:pt idx="0">
                  <c:v>6.2012667171672007</c:v>
                </c:pt>
                <c:pt idx="1">
                  <c:v>3.5862291309599996</c:v>
                </c:pt>
                <c:pt idx="2">
                  <c:v>0.83657114503199992</c:v>
                </c:pt>
                <c:pt idx="3">
                  <c:v>9.6806916922641872E-2</c:v>
                </c:pt>
                <c:pt idx="4">
                  <c:v>2.0273180159735998E-3</c:v>
                </c:pt>
                <c:pt idx="5">
                  <c:v>124.88415725309692</c:v>
                </c:pt>
                <c:pt idx="6">
                  <c:v>0.21998732374079996</c:v>
                </c:pt>
                <c:pt idx="7">
                  <c:v>88.426822169151336</c:v>
                </c:pt>
                <c:pt idx="8">
                  <c:v>1.0613301240527999E-2</c:v>
                </c:pt>
                <c:pt idx="9">
                  <c:v>37.727846160631195</c:v>
                </c:pt>
                <c:pt idx="10">
                  <c:v>2.6633363931215996E-3</c:v>
                </c:pt>
                <c:pt idx="11">
                  <c:v>2.2588717898879995E-7</c:v>
                </c:pt>
                <c:pt idx="12">
                  <c:v>3.1256384650847999E-2</c:v>
                </c:pt>
                <c:pt idx="13">
                  <c:v>4.8130512783804966E-2</c:v>
                </c:pt>
                <c:pt idx="14">
                  <c:v>6.2621029628639996E-2</c:v>
                </c:pt>
                <c:pt idx="15">
                  <c:v>7.4279348593848408E-3</c:v>
                </c:pt>
                <c:pt idx="16">
                  <c:v>0.14772324234023998</c:v>
                </c:pt>
                <c:pt idx="17">
                  <c:v>7.7349191552639985E-3</c:v>
                </c:pt>
                <c:pt idx="18">
                  <c:v>0.50998414695703564</c:v>
                </c:pt>
                <c:pt idx="19">
                  <c:v>1.0265223189718116</c:v>
                </c:pt>
                <c:pt idx="20">
                  <c:v>1.8519365587967997</c:v>
                </c:pt>
              </c:numCache>
            </c:numRef>
          </c:val>
          <c:extLst>
            <c:ext xmlns:c16="http://schemas.microsoft.com/office/drawing/2014/chart" uri="{C3380CC4-5D6E-409C-BE32-E72D297353CC}">
              <c16:uniqueId val="{00000000-62C3-4FF4-89FF-B002E1E5C76A}"/>
            </c:ext>
          </c:extLst>
        </c:ser>
        <c:ser>
          <c:idx val="1"/>
          <c:order val="1"/>
          <c:tx>
            <c:strRef>
              <c:f>results!$A$3</c:f>
              <c:strCache>
                <c:ptCount val="1"/>
                <c:pt idx="0">
                  <c:v>Ethanol</c:v>
                </c:pt>
              </c:strCache>
            </c:strRef>
          </c:tx>
          <c:spPr>
            <a:solidFill>
              <a:schemeClr val="accent2"/>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results!$D$3:$X$3</c:f>
              <c:numCache>
                <c:formatCode>General</c:formatCode>
                <c:ptCount val="21"/>
                <c:pt idx="0">
                  <c:v>5.7716474400000002E-2</c:v>
                </c:pt>
                <c:pt idx="1">
                  <c:v>6.3061742290909092E-2</c:v>
                </c:pt>
                <c:pt idx="2">
                  <c:v>1.7738734614545455E-2</c:v>
                </c:pt>
                <c:pt idx="3">
                  <c:v>1.7658529723636363E-3</c:v>
                </c:pt>
                <c:pt idx="4">
                  <c:v>2.9377240461818185E-5</c:v>
                </c:pt>
                <c:pt idx="5">
                  <c:v>0.86507442981818194</c:v>
                </c:pt>
                <c:pt idx="6">
                  <c:v>4.5045136538181827E-3</c:v>
                </c:pt>
                <c:pt idx="7">
                  <c:v>0.69504006109090921</c:v>
                </c:pt>
                <c:pt idx="8">
                  <c:v>3.229514613818182E-4</c:v>
                </c:pt>
                <c:pt idx="9">
                  <c:v>2.8181411410909095E-3</c:v>
                </c:pt>
                <c:pt idx="10">
                  <c:v>5.4373741527272727E-5</c:v>
                </c:pt>
                <c:pt idx="11">
                  <c:v>4.6040194636363642E-9</c:v>
                </c:pt>
                <c:pt idx="12">
                  <c:v>2.026699975636364E-4</c:v>
                </c:pt>
                <c:pt idx="13">
                  <c:v>2.1271889421818182E-4</c:v>
                </c:pt>
                <c:pt idx="14">
                  <c:v>6.6570059454545462E-4</c:v>
                </c:pt>
                <c:pt idx="15">
                  <c:v>4.2503417672727281E-4</c:v>
                </c:pt>
                <c:pt idx="16">
                  <c:v>3.0932697894545456E-3</c:v>
                </c:pt>
                <c:pt idx="17">
                  <c:v>1.9336623021818183E-2</c:v>
                </c:pt>
                <c:pt idx="18">
                  <c:v>1.7668361290909092E-2</c:v>
                </c:pt>
                <c:pt idx="19">
                  <c:v>8.5312131381818177E-3</c:v>
                </c:pt>
                <c:pt idx="20">
                  <c:v>2.2577418065454547E-3</c:v>
                </c:pt>
              </c:numCache>
            </c:numRef>
          </c:val>
          <c:extLst>
            <c:ext xmlns:c16="http://schemas.microsoft.com/office/drawing/2014/chart" uri="{C3380CC4-5D6E-409C-BE32-E72D297353CC}">
              <c16:uniqueId val="{00000001-62C3-4FF4-89FF-B002E1E5C76A}"/>
            </c:ext>
          </c:extLst>
        </c:ser>
        <c:ser>
          <c:idx val="2"/>
          <c:order val="2"/>
          <c:tx>
            <c:strRef>
              <c:f>results!$A$4</c:f>
              <c:strCache>
                <c:ptCount val="1"/>
                <c:pt idx="0">
                  <c:v>Acetone</c:v>
                </c:pt>
              </c:strCache>
            </c:strRef>
          </c:tx>
          <c:spPr>
            <a:solidFill>
              <a:schemeClr val="accent3"/>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results!$D$4:$X$4</c:f>
              <c:numCache>
                <c:formatCode>General</c:formatCode>
                <c:ptCount val="21"/>
                <c:pt idx="0">
                  <c:v>5.6080499999999999E-5</c:v>
                </c:pt>
                <c:pt idx="1">
                  <c:v>0.28373939999999997</c:v>
                </c:pt>
                <c:pt idx="2">
                  <c:v>0.2269533</c:v>
                </c:pt>
                <c:pt idx="3">
                  <c:v>2.3971289999999996E-3</c:v>
                </c:pt>
                <c:pt idx="4">
                  <c:v>2.2865850000000001E-5</c:v>
                </c:pt>
                <c:pt idx="5">
                  <c:v>0.15627569999999999</c:v>
                </c:pt>
                <c:pt idx="6">
                  <c:v>4.5440640000000003E-5</c:v>
                </c:pt>
                <c:pt idx="7">
                  <c:v>0.30793560000000003</c:v>
                </c:pt>
                <c:pt idx="8">
                  <c:v>2.6558490000000001E-4</c:v>
                </c:pt>
                <c:pt idx="9">
                  <c:v>1.8285329999999999E-4</c:v>
                </c:pt>
                <c:pt idx="10">
                  <c:v>-2.7587490000000001E-8</c:v>
                </c:pt>
                <c:pt idx="11">
                  <c:v>1.4048349E-10</c:v>
                </c:pt>
                <c:pt idx="12">
                  <c:v>4.1117369999999994E-4</c:v>
                </c:pt>
                <c:pt idx="13">
                  <c:v>1.3320110999999999E-3</c:v>
                </c:pt>
                <c:pt idx="14">
                  <c:v>1.494696E-3</c:v>
                </c:pt>
                <c:pt idx="15">
                  <c:v>2.6371799999999997E-5</c:v>
                </c:pt>
                <c:pt idx="16">
                  <c:v>2.4241769999999997E-5</c:v>
                </c:pt>
                <c:pt idx="17">
                  <c:v>2.0306579999999998E-5</c:v>
                </c:pt>
                <c:pt idx="18">
                  <c:v>7.8511229999999998E-3</c:v>
                </c:pt>
                <c:pt idx="19">
                  <c:v>1.2213201E-2</c:v>
                </c:pt>
                <c:pt idx="20">
                  <c:v>2.7224399999999999E-2</c:v>
                </c:pt>
              </c:numCache>
            </c:numRef>
          </c:val>
          <c:extLst>
            <c:ext xmlns:c16="http://schemas.microsoft.com/office/drawing/2014/chart" uri="{C3380CC4-5D6E-409C-BE32-E72D297353CC}">
              <c16:uniqueId val="{00000002-62C3-4FF4-89FF-B002E1E5C76A}"/>
            </c:ext>
          </c:extLst>
        </c:ser>
        <c:ser>
          <c:idx val="3"/>
          <c:order val="3"/>
          <c:tx>
            <c:strRef>
              <c:f>results!$A$5</c:f>
              <c:strCache>
                <c:ptCount val="1"/>
                <c:pt idx="0">
                  <c:v>Deionized water</c:v>
                </c:pt>
              </c:strCache>
            </c:strRef>
          </c:tx>
          <c:spPr>
            <a:solidFill>
              <a:schemeClr val="accent4"/>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results!$D$5:$X$5</c:f>
              <c:numCache>
                <c:formatCode>General</c:formatCode>
                <c:ptCount val="21"/>
                <c:pt idx="0">
                  <c:v>2.6201811600000002E-6</c:v>
                </c:pt>
                <c:pt idx="1">
                  <c:v>5.2353980000000006E-5</c:v>
                </c:pt>
                <c:pt idx="2">
                  <c:v>1.50591994E-5</c:v>
                </c:pt>
                <c:pt idx="3">
                  <c:v>7.8478714000000003E-7</c:v>
                </c:pt>
                <c:pt idx="4">
                  <c:v>2.7811623000000003E-8</c:v>
                </c:pt>
                <c:pt idx="5">
                  <c:v>1.04061292E-3</c:v>
                </c:pt>
                <c:pt idx="6">
                  <c:v>5.6795740000000004E-6</c:v>
                </c:pt>
                <c:pt idx="7">
                  <c:v>8.9367557999999998E-4</c:v>
                </c:pt>
                <c:pt idx="8">
                  <c:v>5.6067422000000004E-8</c:v>
                </c:pt>
                <c:pt idx="9">
                  <c:v>3.7415296000000003E-6</c:v>
                </c:pt>
                <c:pt idx="10">
                  <c:v>7.2221057999999999E-9</c:v>
                </c:pt>
                <c:pt idx="11">
                  <c:v>2.3853884200000003E-11</c:v>
                </c:pt>
                <c:pt idx="12">
                  <c:v>1.8625998000000001E-7</c:v>
                </c:pt>
                <c:pt idx="13">
                  <c:v>1.60177704E-7</c:v>
                </c:pt>
                <c:pt idx="14">
                  <c:v>2.8821796800000001E-7</c:v>
                </c:pt>
                <c:pt idx="15">
                  <c:v>4.6543766000000001E-8</c:v>
                </c:pt>
                <c:pt idx="16">
                  <c:v>4.9845692000000008E-7</c:v>
                </c:pt>
                <c:pt idx="17">
                  <c:v>4.2774802000000001E-5</c:v>
                </c:pt>
                <c:pt idx="18">
                  <c:v>2.45299462E-6</c:v>
                </c:pt>
                <c:pt idx="19">
                  <c:v>9.3691742000000004E-6</c:v>
                </c:pt>
                <c:pt idx="20">
                  <c:v>1.9793919600000001E-6</c:v>
                </c:pt>
              </c:numCache>
            </c:numRef>
          </c:val>
          <c:extLst>
            <c:ext xmlns:c16="http://schemas.microsoft.com/office/drawing/2014/chart" uri="{C3380CC4-5D6E-409C-BE32-E72D297353CC}">
              <c16:uniqueId val="{00000003-62C3-4FF4-89FF-B002E1E5C76A}"/>
            </c:ext>
          </c:extLst>
        </c:ser>
        <c:ser>
          <c:idx val="4"/>
          <c:order val="4"/>
          <c:tx>
            <c:strRef>
              <c:f>results!$A$6</c:f>
              <c:strCache>
                <c:ptCount val="1"/>
                <c:pt idx="0">
                  <c:v>BL-TiO₂ ink</c:v>
                </c:pt>
              </c:strCache>
            </c:strRef>
          </c:tx>
          <c:spPr>
            <a:solidFill>
              <a:schemeClr val="accent5"/>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results!$D$6:$X$6</c:f>
              <c:numCache>
                <c:formatCode>General</c:formatCode>
                <c:ptCount val="21"/>
                <c:pt idx="0">
                  <c:v>6.4659971672406452E-3</c:v>
                </c:pt>
                <c:pt idx="1">
                  <c:v>9.847908777175644E-3</c:v>
                </c:pt>
                <c:pt idx="2">
                  <c:v>3.5372467665277011E-3</c:v>
                </c:pt>
                <c:pt idx="3">
                  <c:v>2.286462224969719E-4</c:v>
                </c:pt>
                <c:pt idx="4">
                  <c:v>4.2458919071740499E-6</c:v>
                </c:pt>
                <c:pt idx="5">
                  <c:v>0.13888320199636855</c:v>
                </c:pt>
                <c:pt idx="6">
                  <c:v>6.8913265818492135E-4</c:v>
                </c:pt>
                <c:pt idx="7">
                  <c:v>0.11438640040011092</c:v>
                </c:pt>
                <c:pt idx="8">
                  <c:v>3.815925397520847E-5</c:v>
                </c:pt>
                <c:pt idx="9">
                  <c:v>4.3230118451272862E-4</c:v>
                </c:pt>
                <c:pt idx="10">
                  <c:v>6.695025931674248E-6</c:v>
                </c:pt>
                <c:pt idx="11">
                  <c:v>8.996424588865815E-10</c:v>
                </c:pt>
                <c:pt idx="12">
                  <c:v>2.8660195819120308E-5</c:v>
                </c:pt>
                <c:pt idx="13">
                  <c:v>3.6299825743541536E-5</c:v>
                </c:pt>
                <c:pt idx="14">
                  <c:v>8.8683553174177246E-5</c:v>
                </c:pt>
                <c:pt idx="15">
                  <c:v>4.848021868620716E-5</c:v>
                </c:pt>
                <c:pt idx="16">
                  <c:v>3.7022002610745261E-4</c:v>
                </c:pt>
                <c:pt idx="17">
                  <c:v>2.1409541679039204E-3</c:v>
                </c:pt>
                <c:pt idx="18">
                  <c:v>2.0611854805588138E-3</c:v>
                </c:pt>
                <c:pt idx="19">
                  <c:v>1.3517494462587471E-3</c:v>
                </c:pt>
                <c:pt idx="20">
                  <c:v>4.4873785176380608E-4</c:v>
                </c:pt>
              </c:numCache>
            </c:numRef>
          </c:val>
          <c:extLst>
            <c:ext xmlns:c16="http://schemas.microsoft.com/office/drawing/2014/chart" uri="{C3380CC4-5D6E-409C-BE32-E72D297353CC}">
              <c16:uniqueId val="{00000004-62C3-4FF4-89FF-B002E1E5C76A}"/>
            </c:ext>
          </c:extLst>
        </c:ser>
        <c:ser>
          <c:idx val="5"/>
          <c:order val="5"/>
          <c:tx>
            <c:strRef>
              <c:f>results!$A$7</c:f>
              <c:strCache>
                <c:ptCount val="1"/>
                <c:pt idx="0">
                  <c:v>TiO₂</c:v>
                </c:pt>
              </c:strCache>
            </c:strRef>
          </c:tx>
          <c:spPr>
            <a:solidFill>
              <a:schemeClr val="accent6"/>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results!$D$7:$X$7</c:f>
              <c:numCache>
                <c:formatCode>General</c:formatCode>
                <c:ptCount val="21"/>
                <c:pt idx="0">
                  <c:v>4.1540856000000002E-4</c:v>
                </c:pt>
                <c:pt idx="1">
                  <c:v>8.3796864000000009E-3</c:v>
                </c:pt>
                <c:pt idx="2">
                  <c:v>2.0655936000000003E-3</c:v>
                </c:pt>
                <c:pt idx="3">
                  <c:v>1.4870424000000001E-4</c:v>
                </c:pt>
                <c:pt idx="4">
                  <c:v>3.8491872000000005E-6</c:v>
                </c:pt>
                <c:pt idx="5">
                  <c:v>0.13696176000000002</c:v>
                </c:pt>
                <c:pt idx="6">
                  <c:v>5.2262496000000003E-4</c:v>
                </c:pt>
                <c:pt idx="7">
                  <c:v>0.17162520000000003</c:v>
                </c:pt>
                <c:pt idx="8">
                  <c:v>8.9280072000000023E-6</c:v>
                </c:pt>
                <c:pt idx="9">
                  <c:v>2.596656E-4</c:v>
                </c:pt>
                <c:pt idx="10">
                  <c:v>1.9412880000000005E-6</c:v>
                </c:pt>
                <c:pt idx="11">
                  <c:v>8.5879152000000004E-10</c:v>
                </c:pt>
                <c:pt idx="12">
                  <c:v>2.2305072000000001E-5</c:v>
                </c:pt>
                <c:pt idx="13">
                  <c:v>3.2832696000000004E-5</c:v>
                </c:pt>
                <c:pt idx="14">
                  <c:v>4.6313424000000002E-5</c:v>
                </c:pt>
                <c:pt idx="15">
                  <c:v>4.8840144000000007E-6</c:v>
                </c:pt>
                <c:pt idx="16">
                  <c:v>1.2735120000000001E-4</c:v>
                </c:pt>
                <c:pt idx="17">
                  <c:v>8.9134560000000016E-5</c:v>
                </c:pt>
                <c:pt idx="18">
                  <c:v>3.7027728000000004E-4</c:v>
                </c:pt>
                <c:pt idx="19">
                  <c:v>1.2686616000000001E-3</c:v>
                </c:pt>
                <c:pt idx="20">
                  <c:v>2.8458312000000004E-4</c:v>
                </c:pt>
              </c:numCache>
            </c:numRef>
          </c:val>
          <c:extLst>
            <c:ext xmlns:c16="http://schemas.microsoft.com/office/drawing/2014/chart" uri="{C3380CC4-5D6E-409C-BE32-E72D297353CC}">
              <c16:uniqueId val="{00000005-62C3-4FF4-89FF-B002E1E5C76A}"/>
            </c:ext>
          </c:extLst>
        </c:ser>
        <c:ser>
          <c:idx val="6"/>
          <c:order val="6"/>
          <c:tx>
            <c:strRef>
              <c:f>results!$A$8</c:f>
              <c:strCache>
                <c:ptCount val="1"/>
                <c:pt idx="0">
                  <c:v>FAI</c:v>
                </c:pt>
              </c:strCache>
            </c:strRef>
          </c:tx>
          <c:spPr>
            <a:solidFill>
              <a:schemeClr val="accent1">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results!$D$8:$X$8</c:f>
              <c:numCache>
                <c:formatCode>General</c:formatCode>
                <c:ptCount val="21"/>
                <c:pt idx="0">
                  <c:v>5.6387447604872346E-4</c:v>
                </c:pt>
                <c:pt idx="1">
                  <c:v>3.1589668427603773E-2</c:v>
                </c:pt>
                <c:pt idx="2">
                  <c:v>1.3821464607040314E-2</c:v>
                </c:pt>
                <c:pt idx="3">
                  <c:v>1.464800482910944E-4</c:v>
                </c:pt>
                <c:pt idx="4">
                  <c:v>1.1137633184505961E-6</c:v>
                </c:pt>
                <c:pt idx="5">
                  <c:v>0.26343220557228497</c:v>
                </c:pt>
                <c:pt idx="6">
                  <c:v>2.5716946921447247E-4</c:v>
                </c:pt>
                <c:pt idx="7">
                  <c:v>9.0528572112287153E-2</c:v>
                </c:pt>
                <c:pt idx="8">
                  <c:v>3.113314116778625E-5</c:v>
                </c:pt>
                <c:pt idx="9">
                  <c:v>1.7776624286418484E-4</c:v>
                </c:pt>
                <c:pt idx="10">
                  <c:v>5.5549697784310894E-6</c:v>
                </c:pt>
                <c:pt idx="11">
                  <c:v>6.0875065453879367E-8</c:v>
                </c:pt>
                <c:pt idx="12">
                  <c:v>3.6908575770190104E-5</c:v>
                </c:pt>
                <c:pt idx="13">
                  <c:v>1.1613059294227961E-4</c:v>
                </c:pt>
                <c:pt idx="14">
                  <c:v>1.4012570930551014E-4</c:v>
                </c:pt>
                <c:pt idx="15">
                  <c:v>6.2562784204062656E-6</c:v>
                </c:pt>
                <c:pt idx="16">
                  <c:v>4.3949163015735211E-5</c:v>
                </c:pt>
                <c:pt idx="17">
                  <c:v>1.604594466428518E-4</c:v>
                </c:pt>
                <c:pt idx="18">
                  <c:v>1.0602221287466741E-3</c:v>
                </c:pt>
                <c:pt idx="19">
                  <c:v>2.9756719589123471E-3</c:v>
                </c:pt>
                <c:pt idx="20">
                  <c:v>1.6656010551875258E-3</c:v>
                </c:pt>
              </c:numCache>
            </c:numRef>
          </c:val>
          <c:extLst>
            <c:ext xmlns:c16="http://schemas.microsoft.com/office/drawing/2014/chart" uri="{C3380CC4-5D6E-409C-BE32-E72D297353CC}">
              <c16:uniqueId val="{00000006-62C3-4FF4-89FF-B002E1E5C76A}"/>
            </c:ext>
          </c:extLst>
        </c:ser>
        <c:ser>
          <c:idx val="7"/>
          <c:order val="7"/>
          <c:tx>
            <c:strRef>
              <c:f>results!$A$9</c:f>
              <c:strCache>
                <c:ptCount val="1"/>
                <c:pt idx="0">
                  <c:v>PbI₂</c:v>
                </c:pt>
              </c:strCache>
            </c:strRef>
          </c:tx>
          <c:spPr>
            <a:solidFill>
              <a:schemeClr val="accent2">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results!$D$9:$X$9</c:f>
              <c:numCache>
                <c:formatCode>General</c:formatCode>
                <c:ptCount val="21"/>
                <c:pt idx="0">
                  <c:v>1.2132832661672483E-3</c:v>
                </c:pt>
                <c:pt idx="1">
                  <c:v>4.5175788317724369E-3</c:v>
                </c:pt>
                <c:pt idx="2">
                  <c:v>1.1990875763555646E-3</c:v>
                </c:pt>
                <c:pt idx="3">
                  <c:v>8.2591959949552095E-5</c:v>
                </c:pt>
                <c:pt idx="4">
                  <c:v>2.2930004829503093E-6</c:v>
                </c:pt>
                <c:pt idx="5">
                  <c:v>0.18072312525739298</c:v>
                </c:pt>
                <c:pt idx="6">
                  <c:v>2.2205988344161864E-4</c:v>
                </c:pt>
                <c:pt idx="7">
                  <c:v>9.0634119223565179E-2</c:v>
                </c:pt>
                <c:pt idx="8">
                  <c:v>5.978527690072212E-6</c:v>
                </c:pt>
                <c:pt idx="9">
                  <c:v>7.3270123534169187E-4</c:v>
                </c:pt>
                <c:pt idx="10">
                  <c:v>7.6852225114409837E-7</c:v>
                </c:pt>
                <c:pt idx="11">
                  <c:v>5.1719893372784982E-10</c:v>
                </c:pt>
                <c:pt idx="12">
                  <c:v>1.2803362892700811E-5</c:v>
                </c:pt>
                <c:pt idx="13">
                  <c:v>1.8021294718026529E-5</c:v>
                </c:pt>
                <c:pt idx="14">
                  <c:v>3.6221204373361588E-5</c:v>
                </c:pt>
                <c:pt idx="15">
                  <c:v>6.2313376527082455E-6</c:v>
                </c:pt>
                <c:pt idx="16">
                  <c:v>4.6595175601690134E-5</c:v>
                </c:pt>
                <c:pt idx="17">
                  <c:v>1.360606219327725E-5</c:v>
                </c:pt>
                <c:pt idx="18">
                  <c:v>2.21577182826193E-4</c:v>
                </c:pt>
                <c:pt idx="19">
                  <c:v>1.4145652079446229E-3</c:v>
                </c:pt>
                <c:pt idx="20">
                  <c:v>1.7779125947986531E-4</c:v>
                </c:pt>
              </c:numCache>
            </c:numRef>
          </c:val>
          <c:extLst>
            <c:ext xmlns:c16="http://schemas.microsoft.com/office/drawing/2014/chart" uri="{C3380CC4-5D6E-409C-BE32-E72D297353CC}">
              <c16:uniqueId val="{00000007-62C3-4FF4-89FF-B002E1E5C76A}"/>
            </c:ext>
          </c:extLst>
        </c:ser>
        <c:ser>
          <c:idx val="8"/>
          <c:order val="8"/>
          <c:tx>
            <c:strRef>
              <c:f>results!$A$10</c:f>
              <c:strCache>
                <c:ptCount val="1"/>
                <c:pt idx="0">
                  <c:v>MABr</c:v>
                </c:pt>
              </c:strCache>
            </c:strRef>
          </c:tx>
          <c:spPr>
            <a:solidFill>
              <a:schemeClr val="accent3">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results!$D$10:$X$10</c:f>
              <c:numCache>
                <c:formatCode>General</c:formatCode>
                <c:ptCount val="21"/>
                <c:pt idx="0">
                  <c:v>1.5821193963480081E-3</c:v>
                </c:pt>
                <c:pt idx="1">
                  <c:v>0.16971478548508595</c:v>
                </c:pt>
                <c:pt idx="2">
                  <c:v>7.4775507137820135E-2</c:v>
                </c:pt>
                <c:pt idx="3">
                  <c:v>7.4393697974341644E-4</c:v>
                </c:pt>
                <c:pt idx="4">
                  <c:v>4.9286088333147887E-6</c:v>
                </c:pt>
                <c:pt idx="5">
                  <c:v>1.4151077688153493</c:v>
                </c:pt>
                <c:pt idx="6">
                  <c:v>1.1549143564343188E-3</c:v>
                </c:pt>
                <c:pt idx="7">
                  <c:v>0.47660233714553057</c:v>
                </c:pt>
                <c:pt idx="8">
                  <c:v>1.5592072781264957E-4</c:v>
                </c:pt>
                <c:pt idx="9">
                  <c:v>8.0510072689392006E-4</c:v>
                </c:pt>
                <c:pt idx="10">
                  <c:v>2.7971146500586121E-5</c:v>
                </c:pt>
                <c:pt idx="11">
                  <c:v>1.5124687526789461E-8</c:v>
                </c:pt>
                <c:pt idx="12">
                  <c:v>1.9137274213464241E-4</c:v>
                </c:pt>
                <c:pt idx="13">
                  <c:v>5.1004988032500435E-4</c:v>
                </c:pt>
                <c:pt idx="14">
                  <c:v>7.362010271383337E-4</c:v>
                </c:pt>
                <c:pt idx="15">
                  <c:v>1.6267354505453908E-5</c:v>
                </c:pt>
                <c:pt idx="16">
                  <c:v>1.0836499607299718E-4</c:v>
                </c:pt>
                <c:pt idx="17">
                  <c:v>2.4443742736365222E-5</c:v>
                </c:pt>
                <c:pt idx="18">
                  <c:v>5.0344121964776877E-3</c:v>
                </c:pt>
                <c:pt idx="19">
                  <c:v>1.5957795468447729E-2</c:v>
                </c:pt>
                <c:pt idx="20">
                  <c:v>9.0038028774079119E-3</c:v>
                </c:pt>
              </c:numCache>
            </c:numRef>
          </c:val>
          <c:extLst>
            <c:ext xmlns:c16="http://schemas.microsoft.com/office/drawing/2014/chart" uri="{C3380CC4-5D6E-409C-BE32-E72D297353CC}">
              <c16:uniqueId val="{00000008-62C3-4FF4-89FF-B002E1E5C76A}"/>
            </c:ext>
          </c:extLst>
        </c:ser>
        <c:ser>
          <c:idx val="9"/>
          <c:order val="9"/>
          <c:tx>
            <c:strRef>
              <c:f>results!$A$11</c:f>
              <c:strCache>
                <c:ptCount val="1"/>
                <c:pt idx="0">
                  <c:v>PbBr₂</c:v>
                </c:pt>
              </c:strCache>
            </c:strRef>
          </c:tx>
          <c:spPr>
            <a:solidFill>
              <a:schemeClr val="accent4">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results!$D$11:$X$11</c:f>
              <c:numCache>
                <c:formatCode>General</c:formatCode>
                <c:ptCount val="21"/>
                <c:pt idx="0">
                  <c:v>1.8584565526225488E-4</c:v>
                </c:pt>
                <c:pt idx="1">
                  <c:v>5.7584902936782482E-4</c:v>
                </c:pt>
                <c:pt idx="2">
                  <c:v>1.4904060308252689E-4</c:v>
                </c:pt>
                <c:pt idx="3">
                  <c:v>1.4192249596093392E-5</c:v>
                </c:pt>
                <c:pt idx="4">
                  <c:v>4.243994866092248E-7</c:v>
                </c:pt>
                <c:pt idx="5">
                  <c:v>3.8291047162467236E-2</c:v>
                </c:pt>
                <c:pt idx="6">
                  <c:v>3.3159087777270369E-5</c:v>
                </c:pt>
                <c:pt idx="7">
                  <c:v>1.6474662446082648E-2</c:v>
                </c:pt>
                <c:pt idx="8">
                  <c:v>1.1632387503701351E-6</c:v>
                </c:pt>
                <c:pt idx="9">
                  <c:v>1.8131192726115721E-4</c:v>
                </c:pt>
                <c:pt idx="10">
                  <c:v>9.3944831058395518E-8</c:v>
                </c:pt>
                <c:pt idx="11">
                  <c:v>5.7098464616724307E-11</c:v>
                </c:pt>
                <c:pt idx="12">
                  <c:v>3.1677316156115665E-6</c:v>
                </c:pt>
                <c:pt idx="13">
                  <c:v>7.9711996670577615E-6</c:v>
                </c:pt>
                <c:pt idx="14">
                  <c:v>9.7012684642819558E-6</c:v>
                </c:pt>
                <c:pt idx="15">
                  <c:v>8.2721280498263134E-7</c:v>
                </c:pt>
                <c:pt idx="16">
                  <c:v>7.0913308950200087E-6</c:v>
                </c:pt>
                <c:pt idx="17">
                  <c:v>3.0331707171541498E-6</c:v>
                </c:pt>
                <c:pt idx="18">
                  <c:v>3.1774220769020189E-5</c:v>
                </c:pt>
                <c:pt idx="19">
                  <c:v>2.883115370503421E-4</c:v>
                </c:pt>
                <c:pt idx="20">
                  <c:v>2.6288503886082944E-5</c:v>
                </c:pt>
              </c:numCache>
            </c:numRef>
          </c:val>
          <c:extLst>
            <c:ext xmlns:c16="http://schemas.microsoft.com/office/drawing/2014/chart" uri="{C3380CC4-5D6E-409C-BE32-E72D297353CC}">
              <c16:uniqueId val="{00000009-62C3-4FF4-89FF-B002E1E5C76A}"/>
            </c:ext>
          </c:extLst>
        </c:ser>
        <c:ser>
          <c:idx val="10"/>
          <c:order val="10"/>
          <c:tx>
            <c:strRef>
              <c:f>results!$A$12</c:f>
              <c:strCache>
                <c:ptCount val="1"/>
                <c:pt idx="0">
                  <c:v>DMF</c:v>
                </c:pt>
              </c:strCache>
            </c:strRef>
          </c:tx>
          <c:spPr>
            <a:solidFill>
              <a:schemeClr val="accent5">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results!$D$12:$X$12</c:f>
              <c:numCache>
                <c:formatCode>General</c:formatCode>
                <c:ptCount val="21"/>
                <c:pt idx="0">
                  <c:v>1.9142126620027428E-4</c:v>
                </c:pt>
                <c:pt idx="1">
                  <c:v>4.2571300575823985E-3</c:v>
                </c:pt>
                <c:pt idx="2">
                  <c:v>2.8626890089117878E-3</c:v>
                </c:pt>
                <c:pt idx="3">
                  <c:v>5.9901952439709709E-5</c:v>
                </c:pt>
                <c:pt idx="4">
                  <c:v>1.6159439737069958E-6</c:v>
                </c:pt>
                <c:pt idx="5">
                  <c:v>9.7577997277067244E-2</c:v>
                </c:pt>
                <c:pt idx="6">
                  <c:v>4.2134048048479434E-4</c:v>
                </c:pt>
                <c:pt idx="7">
                  <c:v>6.3390109819503451E-2</c:v>
                </c:pt>
                <c:pt idx="8">
                  <c:v>2.054264975272501E-5</c:v>
                </c:pt>
                <c:pt idx="9">
                  <c:v>2.7412117090217035E-4</c:v>
                </c:pt>
                <c:pt idx="10">
                  <c:v>1.7975024009446109E-6</c:v>
                </c:pt>
                <c:pt idx="11">
                  <c:v>8.5551908968598325E-10</c:v>
                </c:pt>
                <c:pt idx="12">
                  <c:v>1.1864830891429453E-5</c:v>
                </c:pt>
                <c:pt idx="13">
                  <c:v>1.4392018994961456E-5</c:v>
                </c:pt>
                <c:pt idx="14">
                  <c:v>3.022960142054997E-5</c:v>
                </c:pt>
                <c:pt idx="15">
                  <c:v>3.022960142054997E-5</c:v>
                </c:pt>
                <c:pt idx="16">
                  <c:v>3.6329767318954588E-5</c:v>
                </c:pt>
                <c:pt idx="17">
                  <c:v>1.2715336371309417E-5</c:v>
                </c:pt>
                <c:pt idx="18">
                  <c:v>1.8941582227786693E-4</c:v>
                </c:pt>
                <c:pt idx="19">
                  <c:v>8.4121797319012767E-4</c:v>
                </c:pt>
                <c:pt idx="20">
                  <c:v>3.5594985816236494E-4</c:v>
                </c:pt>
              </c:numCache>
            </c:numRef>
          </c:val>
          <c:extLst>
            <c:ext xmlns:c16="http://schemas.microsoft.com/office/drawing/2014/chart" uri="{C3380CC4-5D6E-409C-BE32-E72D297353CC}">
              <c16:uniqueId val="{0000000A-62C3-4FF4-89FF-B002E1E5C76A}"/>
            </c:ext>
          </c:extLst>
        </c:ser>
        <c:ser>
          <c:idx val="11"/>
          <c:order val="11"/>
          <c:tx>
            <c:strRef>
              <c:f>results!$A$13</c:f>
              <c:strCache>
                <c:ptCount val="1"/>
                <c:pt idx="0">
                  <c:v>DMSO</c:v>
                </c:pt>
              </c:strCache>
            </c:strRef>
          </c:tx>
          <c:spPr>
            <a:solidFill>
              <a:schemeClr val="accent6">
                <a:lumMod val="6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results!$D$13:$X$13</c:f>
              <c:numCache>
                <c:formatCode>General</c:formatCode>
                <c:ptCount val="21"/>
                <c:pt idx="0">
                  <c:v>2.5934747745255836E-5</c:v>
                </c:pt>
                <c:pt idx="1">
                  <c:v>5.1793835117466553E-4</c:v>
                </c:pt>
                <c:pt idx="2">
                  <c:v>6.2415019131015085E-4</c:v>
                </c:pt>
                <c:pt idx="3">
                  <c:v>1.0889826224170739E-5</c:v>
                </c:pt>
                <c:pt idx="4">
                  <c:v>2.422233322620942E-7</c:v>
                </c:pt>
                <c:pt idx="5">
                  <c:v>1.6101772428114027E-2</c:v>
                </c:pt>
                <c:pt idx="6">
                  <c:v>8.8690238554973945E-5</c:v>
                </c:pt>
                <c:pt idx="7">
                  <c:v>9.4087025923445169E-3</c:v>
                </c:pt>
                <c:pt idx="8">
                  <c:v>4.7620064158851191E-7</c:v>
                </c:pt>
                <c:pt idx="9">
                  <c:v>5.2167348351486753E-5</c:v>
                </c:pt>
                <c:pt idx="10">
                  <c:v>2.7207565919647719E-7</c:v>
                </c:pt>
                <c:pt idx="11">
                  <c:v>1.5145003913277689E-10</c:v>
                </c:pt>
                <c:pt idx="12">
                  <c:v>8.2393188519889954E-7</c:v>
                </c:pt>
                <c:pt idx="13">
                  <c:v>1.8872953306671523E-6</c:v>
                </c:pt>
                <c:pt idx="14">
                  <c:v>2.4609254627604694E-6</c:v>
                </c:pt>
                <c:pt idx="15">
                  <c:v>4.665084520288085E-7</c:v>
                </c:pt>
                <c:pt idx="16">
                  <c:v>4.585689014902767E-6</c:v>
                </c:pt>
                <c:pt idx="17">
                  <c:v>1.8402230859181974E-6</c:v>
                </c:pt>
                <c:pt idx="18">
                  <c:v>2.3810510942546137E-5</c:v>
                </c:pt>
                <c:pt idx="19">
                  <c:v>1.2945585600643408E-4</c:v>
                </c:pt>
                <c:pt idx="20">
                  <c:v>7.7259775867715005E-5</c:v>
                </c:pt>
              </c:numCache>
            </c:numRef>
          </c:val>
          <c:extLst>
            <c:ext xmlns:c16="http://schemas.microsoft.com/office/drawing/2014/chart" uri="{C3380CC4-5D6E-409C-BE32-E72D297353CC}">
              <c16:uniqueId val="{0000000B-62C3-4FF4-89FF-B002E1E5C76A}"/>
            </c:ext>
          </c:extLst>
        </c:ser>
        <c:ser>
          <c:idx val="12"/>
          <c:order val="12"/>
          <c:tx>
            <c:strRef>
              <c:f>results!$A$14</c:f>
              <c:strCache>
                <c:ptCount val="1"/>
                <c:pt idx="0">
                  <c:v>Chlorobenzene</c:v>
                </c:pt>
              </c:strCache>
            </c:strRef>
          </c:tx>
          <c:spPr>
            <a:solidFill>
              <a:schemeClr val="accent1">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results!$D$14:$X$14</c:f>
              <c:numCache>
                <c:formatCode>General</c:formatCode>
                <c:ptCount val="21"/>
                <c:pt idx="0">
                  <c:v>8.5324095456480362E-4</c:v>
                </c:pt>
                <c:pt idx="1">
                  <c:v>2.054854492673875E-2</c:v>
                </c:pt>
                <c:pt idx="2">
                  <c:v>1.29144405676513E-2</c:v>
                </c:pt>
                <c:pt idx="3">
                  <c:v>7.516415951561269E-4</c:v>
                </c:pt>
                <c:pt idx="4">
                  <c:v>9.8694392387460913E-6</c:v>
                </c:pt>
                <c:pt idx="5">
                  <c:v>0.3754111227417381</c:v>
                </c:pt>
                <c:pt idx="6">
                  <c:v>1.156027901776146E-3</c:v>
                </c:pt>
                <c:pt idx="7">
                  <c:v>0.30572915739949685</c:v>
                </c:pt>
                <c:pt idx="8">
                  <c:v>2.0342217781898546E-5</c:v>
                </c:pt>
                <c:pt idx="9">
                  <c:v>9.8739084187787329E-4</c:v>
                </c:pt>
                <c:pt idx="10">
                  <c:v>1.8908355854759965E-6</c:v>
                </c:pt>
                <c:pt idx="11">
                  <c:v>5.2972446063540057E-9</c:v>
                </c:pt>
                <c:pt idx="12">
                  <c:v>6.1580831669742964E-5</c:v>
                </c:pt>
                <c:pt idx="13">
                  <c:v>1.634677083271862E-4</c:v>
                </c:pt>
                <c:pt idx="14">
                  <c:v>1.1012804463763091E-4</c:v>
                </c:pt>
                <c:pt idx="15">
                  <c:v>1.418443256025976E-5</c:v>
                </c:pt>
                <c:pt idx="16">
                  <c:v>2.0129931730348161E-4</c:v>
                </c:pt>
                <c:pt idx="17">
                  <c:v>6.3077262117338515E-5</c:v>
                </c:pt>
                <c:pt idx="18">
                  <c:v>9.1849098304134385E-4</c:v>
                </c:pt>
                <c:pt idx="19">
                  <c:v>3.4287549210412081E-3</c:v>
                </c:pt>
                <c:pt idx="20">
                  <c:v>1.594379976644227E-3</c:v>
                </c:pt>
              </c:numCache>
            </c:numRef>
          </c:val>
          <c:extLst>
            <c:ext xmlns:c16="http://schemas.microsoft.com/office/drawing/2014/chart" uri="{C3380CC4-5D6E-409C-BE32-E72D297353CC}">
              <c16:uniqueId val="{0000000C-62C3-4FF4-89FF-B002E1E5C76A}"/>
            </c:ext>
          </c:extLst>
        </c:ser>
        <c:ser>
          <c:idx val="13"/>
          <c:order val="13"/>
          <c:tx>
            <c:strRef>
              <c:f>results!$A$15</c:f>
              <c:strCache>
                <c:ptCount val="1"/>
                <c:pt idx="0">
                  <c:v>spiro-OMeTAD</c:v>
                </c:pt>
              </c:strCache>
            </c:strRef>
          </c:tx>
          <c:spPr>
            <a:solidFill>
              <a:schemeClr val="accent2">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results!$D$15:$X$15</c:f>
              <c:numCache>
                <c:formatCode>General</c:formatCode>
                <c:ptCount val="21"/>
                <c:pt idx="0">
                  <c:v>1.4446962941748775E-2</c:v>
                </c:pt>
                <c:pt idx="1">
                  <c:v>5.3325999148538021E-2</c:v>
                </c:pt>
                <c:pt idx="2">
                  <c:v>1.7212551131883046E-2</c:v>
                </c:pt>
                <c:pt idx="3">
                  <c:v>3.6022185908921645E-3</c:v>
                </c:pt>
                <c:pt idx="4">
                  <c:v>6.2084451774708786E-5</c:v>
                </c:pt>
                <c:pt idx="5">
                  <c:v>3.1780187373847961</c:v>
                </c:pt>
                <c:pt idx="6">
                  <c:v>5.425748267789474E-3</c:v>
                </c:pt>
                <c:pt idx="7">
                  <c:v>2.6876477184692407</c:v>
                </c:pt>
                <c:pt idx="8">
                  <c:v>5.9703292241590662E-5</c:v>
                </c:pt>
                <c:pt idx="9">
                  <c:v>2.4510734117239781E-3</c:v>
                </c:pt>
                <c:pt idx="10">
                  <c:v>4.6520878572163748E-6</c:v>
                </c:pt>
                <c:pt idx="11">
                  <c:v>5.0178615695532183E-9</c:v>
                </c:pt>
                <c:pt idx="12">
                  <c:v>3.0097521944776604E-4</c:v>
                </c:pt>
                <c:pt idx="13">
                  <c:v>2.1241601311438598E-4</c:v>
                </c:pt>
                <c:pt idx="14">
                  <c:v>2.905501266732165E-4</c:v>
                </c:pt>
                <c:pt idx="15">
                  <c:v>6.0226963830830417E-5</c:v>
                </c:pt>
                <c:pt idx="16">
                  <c:v>7.8863945031672515E-4</c:v>
                </c:pt>
                <c:pt idx="17">
                  <c:v>1.7518287687485383E-4</c:v>
                </c:pt>
                <c:pt idx="18">
                  <c:v>3.0959598506853803E-3</c:v>
                </c:pt>
                <c:pt idx="19">
                  <c:v>2.4260301199850298E-2</c:v>
                </c:pt>
                <c:pt idx="20">
                  <c:v>2.1777012333099419E-3</c:v>
                </c:pt>
              </c:numCache>
            </c:numRef>
          </c:val>
          <c:extLst>
            <c:ext xmlns:c16="http://schemas.microsoft.com/office/drawing/2014/chart" uri="{C3380CC4-5D6E-409C-BE32-E72D297353CC}">
              <c16:uniqueId val="{0000000D-62C3-4FF4-89FF-B002E1E5C76A}"/>
            </c:ext>
          </c:extLst>
        </c:ser>
        <c:ser>
          <c:idx val="14"/>
          <c:order val="14"/>
          <c:tx>
            <c:strRef>
              <c:f>results!$A$16</c:f>
              <c:strCache>
                <c:ptCount val="1"/>
                <c:pt idx="0">
                  <c:v>HTFSI</c:v>
                </c:pt>
              </c:strCache>
            </c:strRef>
          </c:tx>
          <c:spPr>
            <a:solidFill>
              <a:schemeClr val="accent3">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results!$D$16:$X$16</c:f>
              <c:numCache>
                <c:formatCode>General</c:formatCode>
                <c:ptCount val="21"/>
                <c:pt idx="0">
                  <c:v>2.0917297678665848E-4</c:v>
                </c:pt>
                <c:pt idx="1">
                  <c:v>2.1431002528685831E-3</c:v>
                </c:pt>
                <c:pt idx="2">
                  <c:v>8.5061515927054888E-4</c:v>
                </c:pt>
                <c:pt idx="3">
                  <c:v>1.2338627404517654E-4</c:v>
                </c:pt>
                <c:pt idx="4">
                  <c:v>2.3512085643985703E-6</c:v>
                </c:pt>
                <c:pt idx="5">
                  <c:v>0.1056762476850138</c:v>
                </c:pt>
                <c:pt idx="6">
                  <c:v>1.1508554337850631E-4</c:v>
                </c:pt>
                <c:pt idx="7">
                  <c:v>8.6880979753488755E-2</c:v>
                </c:pt>
                <c:pt idx="8">
                  <c:v>2.572529896410387E-6</c:v>
                </c:pt>
                <c:pt idx="9">
                  <c:v>7.6877019529887055E-5</c:v>
                </c:pt>
                <c:pt idx="10">
                  <c:v>3.5956185249675795E-7</c:v>
                </c:pt>
                <c:pt idx="11">
                  <c:v>3.0022406068942548E-10</c:v>
                </c:pt>
                <c:pt idx="12">
                  <c:v>5.1335555556898712E-6</c:v>
                </c:pt>
                <c:pt idx="13">
                  <c:v>7.5186324609781637E-6</c:v>
                </c:pt>
                <c:pt idx="14">
                  <c:v>1.6150374937254973E-5</c:v>
                </c:pt>
                <c:pt idx="15">
                  <c:v>1.9951201026088355E-6</c:v>
                </c:pt>
                <c:pt idx="16">
                  <c:v>2.0271887285112048E-5</c:v>
                </c:pt>
                <c:pt idx="17">
                  <c:v>5.1584117687559955E-6</c:v>
                </c:pt>
                <c:pt idx="18">
                  <c:v>1.0040987876326827E-4</c:v>
                </c:pt>
                <c:pt idx="19">
                  <c:v>8.0965559192170799E-4</c:v>
                </c:pt>
                <c:pt idx="20">
                  <c:v>1.0556492285287907E-4</c:v>
                </c:pt>
              </c:numCache>
            </c:numRef>
          </c:val>
          <c:extLst>
            <c:ext xmlns:c16="http://schemas.microsoft.com/office/drawing/2014/chart" uri="{C3380CC4-5D6E-409C-BE32-E72D297353CC}">
              <c16:uniqueId val="{0000000E-62C3-4FF4-89FF-B002E1E5C76A}"/>
            </c:ext>
          </c:extLst>
        </c:ser>
        <c:ser>
          <c:idx val="15"/>
          <c:order val="15"/>
          <c:tx>
            <c:strRef>
              <c:f>results!$A$17</c:f>
              <c:strCache>
                <c:ptCount val="1"/>
                <c:pt idx="0">
                  <c:v>Acetonitrile</c:v>
                </c:pt>
              </c:strCache>
            </c:strRef>
          </c:tx>
          <c:spPr>
            <a:solidFill>
              <a:schemeClr val="accent4">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results!$D$17:$X$17</c:f>
              <c:numCache>
                <c:formatCode>General</c:formatCode>
                <c:ptCount val="21"/>
                <c:pt idx="0">
                  <c:v>1.6157643119859841E-5</c:v>
                </c:pt>
                <c:pt idx="1">
                  <c:v>9.6623194582571344E-4</c:v>
                </c:pt>
                <c:pt idx="2">
                  <c:v>6.6658521833009351E-4</c:v>
                </c:pt>
                <c:pt idx="3">
                  <c:v>4.6097879578947376E-6</c:v>
                </c:pt>
                <c:pt idx="4">
                  <c:v>1.1260663059937121E-7</c:v>
                </c:pt>
                <c:pt idx="5">
                  <c:v>7.5345228962968303E-3</c:v>
                </c:pt>
                <c:pt idx="6">
                  <c:v>2.320501674153647E-5</c:v>
                </c:pt>
                <c:pt idx="7">
                  <c:v>5.8957148996376029E-3</c:v>
                </c:pt>
                <c:pt idx="8">
                  <c:v>4.41823897127223E-6</c:v>
                </c:pt>
                <c:pt idx="9">
                  <c:v>2.8322448927352582E-5</c:v>
                </c:pt>
                <c:pt idx="10">
                  <c:v>1.0913562632874938E-7</c:v>
                </c:pt>
                <c:pt idx="11">
                  <c:v>5.2356723010151925E-11</c:v>
                </c:pt>
                <c:pt idx="12">
                  <c:v>1.6398852954865964E-6</c:v>
                </c:pt>
                <c:pt idx="13">
                  <c:v>2.4772617913264698E-6</c:v>
                </c:pt>
                <c:pt idx="14">
                  <c:v>6.9483146807209546E-6</c:v>
                </c:pt>
                <c:pt idx="15">
                  <c:v>6.46773430138959E-7</c:v>
                </c:pt>
                <c:pt idx="16">
                  <c:v>2.5823115647855619E-6</c:v>
                </c:pt>
                <c:pt idx="17">
                  <c:v>2.4869049296104832E-6</c:v>
                </c:pt>
                <c:pt idx="18">
                  <c:v>3.2211234938344495E-5</c:v>
                </c:pt>
                <c:pt idx="19">
                  <c:v>8.8950724885208926E-5</c:v>
                </c:pt>
                <c:pt idx="20">
                  <c:v>8.1238841816113478E-5</c:v>
                </c:pt>
              </c:numCache>
            </c:numRef>
          </c:val>
          <c:extLst>
            <c:ext xmlns:c16="http://schemas.microsoft.com/office/drawing/2014/chart" uri="{C3380CC4-5D6E-409C-BE32-E72D297353CC}">
              <c16:uniqueId val="{0000000F-62C3-4FF4-89FF-B002E1E5C76A}"/>
            </c:ext>
          </c:extLst>
        </c:ser>
        <c:ser>
          <c:idx val="16"/>
          <c:order val="16"/>
          <c:tx>
            <c:strRef>
              <c:f>results!$A$18</c:f>
              <c:strCache>
                <c:ptCount val="1"/>
                <c:pt idx="0">
                  <c:v>FK209</c:v>
                </c:pt>
              </c:strCache>
            </c:strRef>
          </c:tx>
          <c:spPr>
            <a:solidFill>
              <a:schemeClr val="accent5">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results!$D$18:$X$18</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10-62C3-4FF4-89FF-B002E1E5C76A}"/>
            </c:ext>
          </c:extLst>
        </c:ser>
        <c:ser>
          <c:idx val="17"/>
          <c:order val="17"/>
          <c:tx>
            <c:strRef>
              <c:f>results!$A$19</c:f>
              <c:strCache>
                <c:ptCount val="1"/>
                <c:pt idx="0">
                  <c:v>4-tert-Butylpyridine</c:v>
                </c:pt>
              </c:strCache>
            </c:strRef>
          </c:tx>
          <c:spPr>
            <a:solidFill>
              <a:schemeClr val="accent6">
                <a:lumMod val="80000"/>
                <a:lumOff val="2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results!$D$19:$X$19</c:f>
              <c:numCache>
                <c:formatCode>General</c:formatCode>
                <c:ptCount val="21"/>
                <c:pt idx="0">
                  <c:v>1.0997166217870259E-4</c:v>
                </c:pt>
                <c:pt idx="1">
                  <c:v>1.8117130966952269E-3</c:v>
                </c:pt>
                <c:pt idx="2">
                  <c:v>6.6473439412484717E-4</c:v>
                </c:pt>
                <c:pt idx="3">
                  <c:v>2.5757121175030602E-5</c:v>
                </c:pt>
                <c:pt idx="4">
                  <c:v>8.4886403916768693E-7</c:v>
                </c:pt>
                <c:pt idx="5">
                  <c:v>3.8360342717258272E-2</c:v>
                </c:pt>
                <c:pt idx="6">
                  <c:v>1.6032217380660958E-4</c:v>
                </c:pt>
                <c:pt idx="7">
                  <c:v>3.0280166462668304E-2</c:v>
                </c:pt>
                <c:pt idx="8">
                  <c:v>2.2264146878824974E-6</c:v>
                </c:pt>
                <c:pt idx="9">
                  <c:v>1.2030801468788252E-4</c:v>
                </c:pt>
                <c:pt idx="10">
                  <c:v>2.6637493268053864E-7</c:v>
                </c:pt>
                <c:pt idx="11">
                  <c:v>5.0006560587515303E-10</c:v>
                </c:pt>
                <c:pt idx="12">
                  <c:v>5.1211280293757666E-6</c:v>
                </c:pt>
                <c:pt idx="13">
                  <c:v>5.6559451652386792E-6</c:v>
                </c:pt>
                <c:pt idx="14">
                  <c:v>1.0020024479804162E-5</c:v>
                </c:pt>
                <c:pt idx="15">
                  <c:v>1.8466428396572831E-6</c:v>
                </c:pt>
                <c:pt idx="16">
                  <c:v>1.6181381640146883E-5</c:v>
                </c:pt>
                <c:pt idx="17">
                  <c:v>5.8118815177478598E-6</c:v>
                </c:pt>
                <c:pt idx="18">
                  <c:v>8.1819358629130987E-5</c:v>
                </c:pt>
                <c:pt idx="19">
                  <c:v>3.3627006119951047E-4</c:v>
                </c:pt>
                <c:pt idx="20">
                  <c:v>8.5285600979192187E-5</c:v>
                </c:pt>
              </c:numCache>
            </c:numRef>
          </c:val>
          <c:extLst>
            <c:ext xmlns:c16="http://schemas.microsoft.com/office/drawing/2014/chart" uri="{C3380CC4-5D6E-409C-BE32-E72D297353CC}">
              <c16:uniqueId val="{00000011-62C3-4FF4-89FF-B002E1E5C76A}"/>
            </c:ext>
          </c:extLst>
        </c:ser>
        <c:ser>
          <c:idx val="18"/>
          <c:order val="18"/>
          <c:tx>
            <c:strRef>
              <c:f>results!$A$20</c:f>
              <c:strCache>
                <c:ptCount val="1"/>
                <c:pt idx="0">
                  <c:v>Cu</c:v>
                </c:pt>
              </c:strCache>
            </c:strRef>
          </c:tx>
          <c:spPr>
            <a:solidFill>
              <a:schemeClr val="accent1">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results!$D$20:$X$20</c:f>
              <c:numCache>
                <c:formatCode>General</c:formatCode>
                <c:ptCount val="21"/>
                <c:pt idx="0">
                  <c:v>4.2295787520000005E-4</c:v>
                </c:pt>
                <c:pt idx="1">
                  <c:v>5.2787445759999996E-3</c:v>
                </c:pt>
                <c:pt idx="2">
                  <c:v>1.5326904320000002E-3</c:v>
                </c:pt>
                <c:pt idx="3">
                  <c:v>5.6912773120000003E-3</c:v>
                </c:pt>
                <c:pt idx="4">
                  <c:v>1.6767385600000001E-4</c:v>
                </c:pt>
                <c:pt idx="5">
                  <c:v>14.323384320000001</c:v>
                </c:pt>
                <c:pt idx="6">
                  <c:v>5.3501952000000006E-4</c:v>
                </c:pt>
                <c:pt idx="7">
                  <c:v>7.4892410880000009</c:v>
                </c:pt>
                <c:pt idx="8">
                  <c:v>3.4456862720000002E-5</c:v>
                </c:pt>
                <c:pt idx="9">
                  <c:v>5.4906880000000005E-2</c:v>
                </c:pt>
                <c:pt idx="10">
                  <c:v>2.2827499520000001E-6</c:v>
                </c:pt>
                <c:pt idx="11">
                  <c:v>3.4415575040000006E-10</c:v>
                </c:pt>
                <c:pt idx="12">
                  <c:v>1.6676782080000003E-4</c:v>
                </c:pt>
                <c:pt idx="13">
                  <c:v>1.0717478912000002E-4</c:v>
                </c:pt>
                <c:pt idx="14">
                  <c:v>5.5892049919999999E-4</c:v>
                </c:pt>
                <c:pt idx="15">
                  <c:v>7.0557204480000009E-4</c:v>
                </c:pt>
                <c:pt idx="16">
                  <c:v>5.003952128E-4</c:v>
                </c:pt>
                <c:pt idx="17">
                  <c:v>1.8531287040000002E-4</c:v>
                </c:pt>
                <c:pt idx="18">
                  <c:v>2.6427555840000004E-3</c:v>
                </c:pt>
                <c:pt idx="19">
                  <c:v>9.8409185280000006E-2</c:v>
                </c:pt>
                <c:pt idx="20">
                  <c:v>2.7324416000000002E-3</c:v>
                </c:pt>
              </c:numCache>
            </c:numRef>
          </c:val>
          <c:extLst>
            <c:ext xmlns:c16="http://schemas.microsoft.com/office/drawing/2014/chart" uri="{C3380CC4-5D6E-409C-BE32-E72D297353CC}">
              <c16:uniqueId val="{00000012-62C3-4FF4-89FF-B002E1E5C76A}"/>
            </c:ext>
          </c:extLst>
        </c:ser>
        <c:ser>
          <c:idx val="19"/>
          <c:order val="19"/>
          <c:tx>
            <c:strRef>
              <c:f>results!$A$21</c:f>
              <c:strCache>
                <c:ptCount val="1"/>
                <c:pt idx="0">
                  <c:v>Ar</c:v>
                </c:pt>
              </c:strCache>
            </c:strRef>
          </c:tx>
          <c:spPr>
            <a:solidFill>
              <a:schemeClr val="accent2">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results!$D$21:$X$21</c:f>
              <c:numCache>
                <c:formatCode>General</c:formatCode>
                <c:ptCount val="21"/>
                <c:pt idx="0">
                  <c:v>1.2163203878787878E-2</c:v>
                </c:pt>
                <c:pt idx="1">
                  <c:v>0.21502281696969697</c:v>
                </c:pt>
                <c:pt idx="2">
                  <c:v>6.1747591757575757E-2</c:v>
                </c:pt>
                <c:pt idx="3">
                  <c:v>3.0562839272727268E-3</c:v>
                </c:pt>
                <c:pt idx="4">
                  <c:v>1.2599148606060606E-4</c:v>
                </c:pt>
                <c:pt idx="5">
                  <c:v>4.0471067151515152</c:v>
                </c:pt>
                <c:pt idx="6">
                  <c:v>3.5819260121212122E-2</c:v>
                </c:pt>
                <c:pt idx="7">
                  <c:v>3.488163296969697</c:v>
                </c:pt>
                <c:pt idx="8">
                  <c:v>2.0981569939393938E-4</c:v>
                </c:pt>
                <c:pt idx="9">
                  <c:v>2.8037992727272727E-3</c:v>
                </c:pt>
                <c:pt idx="10">
                  <c:v>2.5558989575757575E-5</c:v>
                </c:pt>
                <c:pt idx="11">
                  <c:v>1.2866424242424243E-8</c:v>
                </c:pt>
                <c:pt idx="12">
                  <c:v>7.2064950303030303E-4</c:v>
                </c:pt>
                <c:pt idx="13">
                  <c:v>5.7331921454545451E-4</c:v>
                </c:pt>
                <c:pt idx="14">
                  <c:v>1.1354457212121212E-3</c:v>
                </c:pt>
                <c:pt idx="15">
                  <c:v>7.7792779636363637E-5</c:v>
                </c:pt>
                <c:pt idx="16">
                  <c:v>1.3830000484848484E-3</c:v>
                </c:pt>
                <c:pt idx="17">
                  <c:v>9.1038060606060602E-4</c:v>
                </c:pt>
                <c:pt idx="18">
                  <c:v>9.2024126060606063E-3</c:v>
                </c:pt>
                <c:pt idx="19">
                  <c:v>3.6797540848484848E-2</c:v>
                </c:pt>
                <c:pt idx="20">
                  <c:v>7.534405042424243E-3</c:v>
                </c:pt>
              </c:numCache>
            </c:numRef>
          </c:val>
          <c:extLst>
            <c:ext xmlns:c16="http://schemas.microsoft.com/office/drawing/2014/chart" uri="{C3380CC4-5D6E-409C-BE32-E72D297353CC}">
              <c16:uniqueId val="{00000013-62C3-4FF4-89FF-B002E1E5C76A}"/>
            </c:ext>
          </c:extLst>
        </c:ser>
        <c:ser>
          <c:idx val="20"/>
          <c:order val="20"/>
          <c:tx>
            <c:strRef>
              <c:f>results!$A$22</c:f>
              <c:strCache>
                <c:ptCount val="1"/>
                <c:pt idx="0">
                  <c:v>O₂</c:v>
                </c:pt>
              </c:strCache>
            </c:strRef>
          </c:tx>
          <c:spPr>
            <a:solidFill>
              <a:schemeClr val="accent3">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results!$D$22:$X$22</c:f>
              <c:numCache>
                <c:formatCode>General</c:formatCode>
                <c:ptCount val="21"/>
                <c:pt idx="0">
                  <c:v>4.0292018424242424E-6</c:v>
                </c:pt>
                <c:pt idx="1">
                  <c:v>9.4575786666666658E-5</c:v>
                </c:pt>
                <c:pt idx="2">
                  <c:v>2.6769947151515151E-5</c:v>
                </c:pt>
                <c:pt idx="3">
                  <c:v>1.2369931636363636E-6</c:v>
                </c:pt>
                <c:pt idx="4">
                  <c:v>5.0247819636363637E-8</c:v>
                </c:pt>
                <c:pt idx="5">
                  <c:v>1.6725919030303031E-3</c:v>
                </c:pt>
                <c:pt idx="6">
                  <c:v>1.0400395636363637E-5</c:v>
                </c:pt>
                <c:pt idx="7">
                  <c:v>1.430140896969697E-3</c:v>
                </c:pt>
                <c:pt idx="8">
                  <c:v>9.3485924848484851E-8</c:v>
                </c:pt>
                <c:pt idx="9">
                  <c:v>1.0461808484848485E-6</c:v>
                </c:pt>
                <c:pt idx="10">
                  <c:v>1.1111400727272729E-8</c:v>
                </c:pt>
                <c:pt idx="11">
                  <c:v>4.6454927515151515E-12</c:v>
                </c:pt>
                <c:pt idx="12">
                  <c:v>3.4525265454545459E-7</c:v>
                </c:pt>
                <c:pt idx="13">
                  <c:v>2.5861728969696971E-7</c:v>
                </c:pt>
                <c:pt idx="14">
                  <c:v>5.0606782060606061E-7</c:v>
                </c:pt>
                <c:pt idx="15">
                  <c:v>3.2430308848484847E-8</c:v>
                </c:pt>
                <c:pt idx="16">
                  <c:v>6.1585842424242428E-7</c:v>
                </c:pt>
                <c:pt idx="17">
                  <c:v>3.7577743515151514E-7</c:v>
                </c:pt>
                <c:pt idx="18">
                  <c:v>3.9166692848484848E-6</c:v>
                </c:pt>
                <c:pt idx="19">
                  <c:v>1.5534855757575758E-5</c:v>
                </c:pt>
                <c:pt idx="20">
                  <c:v>3.2586868363636362E-6</c:v>
                </c:pt>
              </c:numCache>
            </c:numRef>
          </c:val>
          <c:extLst>
            <c:ext xmlns:c16="http://schemas.microsoft.com/office/drawing/2014/chart" uri="{C3380CC4-5D6E-409C-BE32-E72D297353CC}">
              <c16:uniqueId val="{00000014-62C3-4FF4-89FF-B002E1E5C76A}"/>
            </c:ext>
          </c:extLst>
        </c:ser>
        <c:ser>
          <c:idx val="21"/>
          <c:order val="21"/>
          <c:tx>
            <c:strRef>
              <c:f>results!$A$23</c:f>
              <c:strCache>
                <c:ptCount val="1"/>
                <c:pt idx="0">
                  <c:v>Sonication</c:v>
                </c:pt>
              </c:strCache>
            </c:strRef>
          </c:tx>
          <c:spPr>
            <a:solidFill>
              <a:schemeClr val="accent4">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results!$D$23:$X$23</c:f>
              <c:numCache>
                <c:formatCode>General</c:formatCode>
                <c:ptCount val="21"/>
                <c:pt idx="0">
                  <c:v>3.2510800026008635E-3</c:v>
                </c:pt>
                <c:pt idx="1">
                  <c:v>2.6799600021439676</c:v>
                </c:pt>
                <c:pt idx="2">
                  <c:v>1.1836000009468799</c:v>
                </c:pt>
                <c:pt idx="3">
                  <c:v>1.0204000008163197E-2</c:v>
                </c:pt>
                <c:pt idx="4">
                  <c:v>4.9796000039836795E-5</c:v>
                </c:pt>
                <c:pt idx="5">
                  <c:v>20.874000016699195</c:v>
                </c:pt>
                <c:pt idx="6">
                  <c:v>1.6892000013513597E-2</c:v>
                </c:pt>
                <c:pt idx="7">
                  <c:v>6.2776000050220784</c:v>
                </c:pt>
                <c:pt idx="8">
                  <c:v>2.4590000019671992E-3</c:v>
                </c:pt>
                <c:pt idx="9">
                  <c:v>1.1996000009596797E-2</c:v>
                </c:pt>
                <c:pt idx="10">
                  <c:v>4.4140000035311993E-4</c:v>
                </c:pt>
                <c:pt idx="11">
                  <c:v>2.3717600018974076E-7</c:v>
                </c:pt>
                <c:pt idx="12">
                  <c:v>2.9944800023955836E-3</c:v>
                </c:pt>
                <c:pt idx="13">
                  <c:v>8.0544000064435191E-3</c:v>
                </c:pt>
                <c:pt idx="14">
                  <c:v>1.1600000009279998E-2</c:v>
                </c:pt>
                <c:pt idx="15">
                  <c:v>2.0761200016608956E-4</c:v>
                </c:pt>
                <c:pt idx="16">
                  <c:v>1.2804400010243519E-3</c:v>
                </c:pt>
                <c:pt idx="17">
                  <c:v>3.2074400025659512E-4</c:v>
                </c:pt>
                <c:pt idx="18">
                  <c:v>7.8456000062764791E-2</c:v>
                </c:pt>
                <c:pt idx="19">
                  <c:v>0.24192800019354235</c:v>
                </c:pt>
                <c:pt idx="20">
                  <c:v>0.14248400011398718</c:v>
                </c:pt>
              </c:numCache>
            </c:numRef>
          </c:val>
          <c:extLst>
            <c:ext xmlns:c16="http://schemas.microsoft.com/office/drawing/2014/chart" uri="{C3380CC4-5D6E-409C-BE32-E72D297353CC}">
              <c16:uniqueId val="{00000015-62C3-4FF4-89FF-B002E1E5C76A}"/>
            </c:ext>
          </c:extLst>
        </c:ser>
        <c:ser>
          <c:idx val="22"/>
          <c:order val="22"/>
          <c:tx>
            <c:strRef>
              <c:f>results!$A$24</c:f>
              <c:strCache>
                <c:ptCount val="1"/>
                <c:pt idx="0">
                  <c:v>Spray pyrolysis</c:v>
                </c:pt>
              </c:strCache>
            </c:strRef>
          </c:tx>
          <c:spPr>
            <a:solidFill>
              <a:schemeClr val="accent5">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results!$D$24:$X$24</c:f>
              <c:numCache>
                <c:formatCode>General</c:formatCode>
                <c:ptCount val="21"/>
                <c:pt idx="0">
                  <c:v>2.330835765146962E-7</c:v>
                </c:pt>
                <c:pt idx="1">
                  <c:v>1.921375855765854E-4</c:v>
                </c:pt>
                <c:pt idx="2">
                  <c:v>8.4857253947240438E-5</c:v>
                </c:pt>
                <c:pt idx="3">
                  <c:v>7.31567606689457E-7</c:v>
                </c:pt>
                <c:pt idx="4">
                  <c:v>3.5700843338600749E-9</c:v>
                </c:pt>
                <c:pt idx="5">
                  <c:v>1.4965447101171821E-3</c:v>
                </c:pt>
                <c:pt idx="6">
                  <c:v>1.2110584096627115E-6</c:v>
                </c:pt>
                <c:pt idx="7">
                  <c:v>4.5006750369989566E-4</c:v>
                </c:pt>
                <c:pt idx="8">
                  <c:v>1.7629603536352163E-7</c:v>
                </c:pt>
                <c:pt idx="9">
                  <c:v>8.6004361131386969E-7</c:v>
                </c:pt>
                <c:pt idx="10">
                  <c:v>3.1645819442642725E-8</c:v>
                </c:pt>
                <c:pt idx="11">
                  <c:v>1.7004143344196264E-11</c:v>
                </c:pt>
                <c:pt idx="12">
                  <c:v>2.1468684504894603E-7</c:v>
                </c:pt>
                <c:pt idx="13">
                  <c:v>5.7745375649936917E-7</c:v>
                </c:pt>
                <c:pt idx="14">
                  <c:v>8.3165270850624278E-7</c:v>
                </c:pt>
                <c:pt idx="15">
                  <c:v>1.4884576044689491E-8</c:v>
                </c:pt>
                <c:pt idx="16">
                  <c:v>9.1800120179287388E-8</c:v>
                </c:pt>
                <c:pt idx="17">
                  <c:v>2.2995484166993648E-8</c:v>
                </c:pt>
                <c:pt idx="18">
                  <c:v>5.6248400774625676E-6</c:v>
                </c:pt>
                <c:pt idx="19">
                  <c:v>1.7344834177887785E-5</c:v>
                </c:pt>
                <c:pt idx="20">
                  <c:v>1.0215276251620991E-5</c:v>
                </c:pt>
              </c:numCache>
            </c:numRef>
          </c:val>
          <c:extLst>
            <c:ext xmlns:c16="http://schemas.microsoft.com/office/drawing/2014/chart" uri="{C3380CC4-5D6E-409C-BE32-E72D297353CC}">
              <c16:uniqueId val="{00000016-62C3-4FF4-89FF-B002E1E5C76A}"/>
            </c:ext>
          </c:extLst>
        </c:ser>
        <c:ser>
          <c:idx val="23"/>
          <c:order val="23"/>
          <c:tx>
            <c:strRef>
              <c:f>results!$A$25</c:f>
              <c:strCache>
                <c:ptCount val="1"/>
                <c:pt idx="0">
                  <c:v>ETL spin coating</c:v>
                </c:pt>
              </c:strCache>
            </c:strRef>
          </c:tx>
          <c:spPr>
            <a:solidFill>
              <a:schemeClr val="accent6">
                <a:lumMod val="8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results!$D$25:$X$25</c:f>
              <c:numCache>
                <c:formatCode>General</c:formatCode>
                <c:ptCount val="21"/>
                <c:pt idx="0">
                  <c:v>2.5135337724402412E-3</c:v>
                </c:pt>
                <c:pt idx="1">
                  <c:v>2.0719791480950791</c:v>
                </c:pt>
                <c:pt idx="2">
                  <c:v>0.9150862399757218</c:v>
                </c:pt>
                <c:pt idx="3">
                  <c:v>7.8891010414939722E-3</c:v>
                </c:pt>
                <c:pt idx="4">
                  <c:v>3.8499184188772428E-5</c:v>
                </c:pt>
                <c:pt idx="5">
                  <c:v>16.13848443160968</c:v>
                </c:pt>
                <c:pt idx="6">
                  <c:v>1.3059848568494334E-2</c:v>
                </c:pt>
                <c:pt idx="7">
                  <c:v>4.8534516560253387</c:v>
                </c:pt>
                <c:pt idx="8">
                  <c:v>1.9011465563537511E-3</c:v>
                </c:pt>
                <c:pt idx="9">
                  <c:v>9.2745644937045953E-3</c:v>
                </c:pt>
                <c:pt idx="10">
                  <c:v>3.4126315167732648E-4</c:v>
                </c:pt>
                <c:pt idx="11">
                  <c:v>1.8336979896289439E-7</c:v>
                </c:pt>
                <c:pt idx="12">
                  <c:v>2.3151465392721353E-3</c:v>
                </c:pt>
                <c:pt idx="13">
                  <c:v>6.227163409310961E-3</c:v>
                </c:pt>
                <c:pt idx="14">
                  <c:v>8.9684018111848372E-3</c:v>
                </c:pt>
                <c:pt idx="15">
                  <c:v>1.6051274455376779E-4</c:v>
                </c:pt>
                <c:pt idx="16">
                  <c:v>9.8995693233737197E-4</c:v>
                </c:pt>
                <c:pt idx="17">
                  <c:v>2.4797940263160943E-4</c:v>
                </c:pt>
                <c:pt idx="18">
                  <c:v>6.0657321767096345E-2</c:v>
                </c:pt>
                <c:pt idx="19">
                  <c:v>0.18704375115313149</c:v>
                </c:pt>
                <c:pt idx="20">
                  <c:v>0.11015980721248796</c:v>
                </c:pt>
              </c:numCache>
            </c:numRef>
          </c:val>
          <c:extLst>
            <c:ext xmlns:c16="http://schemas.microsoft.com/office/drawing/2014/chart" uri="{C3380CC4-5D6E-409C-BE32-E72D297353CC}">
              <c16:uniqueId val="{00000017-62C3-4FF4-89FF-B002E1E5C76A}"/>
            </c:ext>
          </c:extLst>
        </c:ser>
        <c:ser>
          <c:idx val="24"/>
          <c:order val="24"/>
          <c:tx>
            <c:strRef>
              <c:f>results!$A$26</c:f>
              <c:strCache>
                <c:ptCount val="1"/>
                <c:pt idx="0">
                  <c:v>ETL calcining</c:v>
                </c:pt>
              </c:strCache>
            </c:strRef>
          </c:tx>
          <c:spPr>
            <a:solidFill>
              <a:schemeClr val="accent1">
                <a:lumMod val="60000"/>
                <a:lumOff val="4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results!$D$26:$X$26</c:f>
              <c:numCache>
                <c:formatCode>General</c:formatCode>
                <c:ptCount val="21"/>
                <c:pt idx="0">
                  <c:v>1.9506480015605183E-2</c:v>
                </c:pt>
                <c:pt idx="1">
                  <c:v>16.079760012863805</c:v>
                </c:pt>
                <c:pt idx="2">
                  <c:v>7.1016000056812789</c:v>
                </c:pt>
                <c:pt idx="3">
                  <c:v>6.1224000048979189E-2</c:v>
                </c:pt>
                <c:pt idx="4">
                  <c:v>2.9877600023902077E-4</c:v>
                </c:pt>
                <c:pt idx="5">
                  <c:v>125.24400010019518</c:v>
                </c:pt>
                <c:pt idx="6">
                  <c:v>0.1013520000810816</c:v>
                </c:pt>
                <c:pt idx="7">
                  <c:v>37.665600030132474</c:v>
                </c:pt>
                <c:pt idx="8">
                  <c:v>1.4754000011803197E-2</c:v>
                </c:pt>
                <c:pt idx="9">
                  <c:v>7.1976000057580786E-2</c:v>
                </c:pt>
                <c:pt idx="10">
                  <c:v>2.6484000021187197E-3</c:v>
                </c:pt>
                <c:pt idx="11">
                  <c:v>1.4230560011384447E-6</c:v>
                </c:pt>
                <c:pt idx="12">
                  <c:v>1.7966880014373503E-2</c:v>
                </c:pt>
                <c:pt idx="13">
                  <c:v>4.8326400038661114E-2</c:v>
                </c:pt>
                <c:pt idx="14">
                  <c:v>6.9600000055679984E-2</c:v>
                </c:pt>
                <c:pt idx="15">
                  <c:v>1.2456720009965375E-3</c:v>
                </c:pt>
                <c:pt idx="16">
                  <c:v>7.6826400061461115E-3</c:v>
                </c:pt>
                <c:pt idx="17">
                  <c:v>1.9244640015395709E-3</c:v>
                </c:pt>
                <c:pt idx="18">
                  <c:v>0.47073600037658875</c:v>
                </c:pt>
                <c:pt idx="19">
                  <c:v>1.4515680011612544</c:v>
                </c:pt>
                <c:pt idx="20">
                  <c:v>0.85490400068392314</c:v>
                </c:pt>
              </c:numCache>
            </c:numRef>
          </c:val>
          <c:extLst>
            <c:ext xmlns:c16="http://schemas.microsoft.com/office/drawing/2014/chart" uri="{C3380CC4-5D6E-409C-BE32-E72D297353CC}">
              <c16:uniqueId val="{00000018-62C3-4FF4-89FF-B002E1E5C76A}"/>
            </c:ext>
          </c:extLst>
        </c:ser>
        <c:ser>
          <c:idx val="25"/>
          <c:order val="25"/>
          <c:tx>
            <c:strRef>
              <c:f>results!$A$27</c:f>
              <c:strCache>
                <c:ptCount val="1"/>
                <c:pt idx="0">
                  <c:v>PL 1st-step spin coating</c:v>
                </c:pt>
              </c:strCache>
            </c:strRef>
          </c:tx>
          <c:spPr>
            <a:solidFill>
              <a:schemeClr val="accent2">
                <a:lumMod val="60000"/>
                <a:lumOff val="4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results!$D$27:$X$27</c:f>
              <c:numCache>
                <c:formatCode>General</c:formatCode>
                <c:ptCount val="21"/>
                <c:pt idx="0">
                  <c:v>9.6829302747482171E-5</c:v>
                </c:pt>
                <c:pt idx="1">
                  <c:v>7.9819216442272203E-2</c:v>
                </c:pt>
                <c:pt idx="2">
                  <c:v>3.525202785902528E-2</c:v>
                </c:pt>
                <c:pt idx="3">
                  <c:v>3.039132242932527E-4</c:v>
                </c:pt>
                <c:pt idx="4">
                  <c:v>1.4831108307435136E-6</c:v>
                </c:pt>
                <c:pt idx="5">
                  <c:v>0.62170566874729094</c:v>
                </c:pt>
                <c:pt idx="6">
                  <c:v>5.0310683896135093E-4</c:v>
                </c:pt>
                <c:pt idx="7">
                  <c:v>0.18697037013164672</c:v>
                </c:pt>
                <c:pt idx="8">
                  <c:v>7.3238202522256797E-5</c:v>
                </c:pt>
                <c:pt idx="9">
                  <c:v>3.5728567607035079E-4</c:v>
                </c:pt>
                <c:pt idx="10">
                  <c:v>1.3146540298220478E-5</c:v>
                </c:pt>
                <c:pt idx="11">
                  <c:v>7.0639869546233354E-9</c:v>
                </c:pt>
                <c:pt idx="12">
                  <c:v>8.9186796538774931E-5</c:v>
                </c:pt>
                <c:pt idx="13">
                  <c:v>2.398901091481355E-4</c:v>
                </c:pt>
                <c:pt idx="14">
                  <c:v>3.4549131730710812E-4</c:v>
                </c:pt>
                <c:pt idx="15">
                  <c:v>6.1834606352382193E-6</c:v>
                </c:pt>
                <c:pt idx="16">
                  <c:v>3.8136284683854624E-5</c:v>
                </c:pt>
                <c:pt idx="17">
                  <c:v>9.5529540584785421E-6</c:v>
                </c:pt>
                <c:pt idx="18">
                  <c:v>2.3367126543660756E-3</c:v>
                </c:pt>
                <c:pt idx="19">
                  <c:v>7.2055192597822474E-3</c:v>
                </c:pt>
                <c:pt idx="20">
                  <c:v>4.24370559096431E-3</c:v>
                </c:pt>
              </c:numCache>
            </c:numRef>
          </c:val>
          <c:extLst>
            <c:ext xmlns:c16="http://schemas.microsoft.com/office/drawing/2014/chart" uri="{C3380CC4-5D6E-409C-BE32-E72D297353CC}">
              <c16:uniqueId val="{00000019-62C3-4FF4-89FF-B002E1E5C76A}"/>
            </c:ext>
          </c:extLst>
        </c:ser>
        <c:ser>
          <c:idx val="26"/>
          <c:order val="26"/>
          <c:tx>
            <c:strRef>
              <c:f>results!$A$28</c:f>
              <c:strCache>
                <c:ptCount val="1"/>
                <c:pt idx="0">
                  <c:v>PL 2nd-step spin coating</c:v>
                </c:pt>
              </c:strCache>
            </c:strRef>
          </c:tx>
          <c:spPr>
            <a:solidFill>
              <a:schemeClr val="accent3">
                <a:lumMod val="60000"/>
                <a:lumOff val="4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results!$D$28:$X$28</c:f>
              <c:numCache>
                <c:formatCode>General</c:formatCode>
                <c:ptCount val="21"/>
                <c:pt idx="0">
                  <c:v>9.4379521387970879E-3</c:v>
                </c:pt>
                <c:pt idx="1">
                  <c:v>7.779979026628272</c:v>
                </c:pt>
                <c:pt idx="2">
                  <c:v>3.4360151554191938</c:v>
                </c:pt>
                <c:pt idx="3">
                  <c:v>2.9622421971863343E-2</c:v>
                </c:pt>
                <c:pt idx="4">
                  <c:v>1.4455881267257028E-4</c:v>
                </c:pt>
                <c:pt idx="5">
                  <c:v>60.597651532798452</c:v>
                </c:pt>
                <c:pt idx="6">
                  <c:v>4.9037823593562881E-2</c:v>
                </c:pt>
                <c:pt idx="7">
                  <c:v>18.224001976731607</c:v>
                </c:pt>
                <c:pt idx="8">
                  <c:v>7.1385275998443708E-3</c:v>
                </c:pt>
                <c:pt idx="9">
                  <c:v>3.4824634846577093E-2</c:v>
                </c:pt>
                <c:pt idx="10">
                  <c:v>1.2813932828675499E-3</c:v>
                </c:pt>
                <c:pt idx="11">
                  <c:v>6.8852680846713655E-7</c:v>
                </c:pt>
                <c:pt idx="12">
                  <c:v>8.6930370586343932E-3</c:v>
                </c:pt>
                <c:pt idx="13">
                  <c:v>2.338208893866877E-2</c:v>
                </c:pt>
                <c:pt idx="14">
                  <c:v>3.3675038697923834E-2</c:v>
                </c:pt>
                <c:pt idx="15">
                  <c:v>6.0270190811666919E-4</c:v>
                </c:pt>
                <c:pt idx="16">
                  <c:v>3.7171436681353101E-3</c:v>
                </c:pt>
                <c:pt idx="17">
                  <c:v>9.3112643207990354E-4</c:v>
                </c:pt>
                <c:pt idx="18">
                  <c:v>0.22775938242106139</c:v>
                </c:pt>
                <c:pt idx="19">
                  <c:v>0.70232196225097565</c:v>
                </c:pt>
                <c:pt idx="20">
                  <c:v>0.41363398395129136</c:v>
                </c:pt>
              </c:numCache>
            </c:numRef>
          </c:val>
          <c:extLst>
            <c:ext xmlns:c16="http://schemas.microsoft.com/office/drawing/2014/chart" uri="{C3380CC4-5D6E-409C-BE32-E72D297353CC}">
              <c16:uniqueId val="{0000001A-62C3-4FF4-89FF-B002E1E5C76A}"/>
            </c:ext>
          </c:extLst>
        </c:ser>
        <c:ser>
          <c:idx val="27"/>
          <c:order val="27"/>
          <c:tx>
            <c:strRef>
              <c:f>results!$A$29</c:f>
              <c:strCache>
                <c:ptCount val="1"/>
                <c:pt idx="0">
                  <c:v>PL drying</c:v>
                </c:pt>
              </c:strCache>
            </c:strRef>
          </c:tx>
          <c:spPr>
            <a:solidFill>
              <a:schemeClr val="accent4">
                <a:lumMod val="60000"/>
                <a:lumOff val="4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results!$D$29:$X$29</c:f>
              <c:numCache>
                <c:formatCode>General</c:formatCode>
                <c:ptCount val="21"/>
                <c:pt idx="0">
                  <c:v>1.7555832014044665E-2</c:v>
                </c:pt>
                <c:pt idx="1">
                  <c:v>14.471784011577427</c:v>
                </c:pt>
                <c:pt idx="2">
                  <c:v>6.3914400051131519</c:v>
                </c:pt>
                <c:pt idx="3">
                  <c:v>5.5101600044081274E-2</c:v>
                </c:pt>
                <c:pt idx="4">
                  <c:v>2.6889840021511875E-4</c:v>
                </c:pt>
                <c:pt idx="5">
                  <c:v>112.71960009017567</c:v>
                </c:pt>
                <c:pt idx="6">
                  <c:v>9.1216800072973447E-2</c:v>
                </c:pt>
                <c:pt idx="7">
                  <c:v>33.899040027119227</c:v>
                </c:pt>
                <c:pt idx="8">
                  <c:v>1.3278600010622879E-2</c:v>
                </c:pt>
                <c:pt idx="9">
                  <c:v>6.4778400051822713E-2</c:v>
                </c:pt>
                <c:pt idx="10">
                  <c:v>2.3835600019068478E-3</c:v>
                </c:pt>
                <c:pt idx="11">
                  <c:v>1.2807504010246002E-6</c:v>
                </c:pt>
                <c:pt idx="12">
                  <c:v>1.6170192012936152E-2</c:v>
                </c:pt>
                <c:pt idx="13">
                  <c:v>4.3493760034795007E-2</c:v>
                </c:pt>
                <c:pt idx="14">
                  <c:v>6.2640000050111999E-2</c:v>
                </c:pt>
                <c:pt idx="15">
                  <c:v>1.1211048008968839E-3</c:v>
                </c:pt>
                <c:pt idx="16">
                  <c:v>6.9143760055315013E-3</c:v>
                </c:pt>
                <c:pt idx="17">
                  <c:v>1.7320176013856138E-3</c:v>
                </c:pt>
                <c:pt idx="18">
                  <c:v>0.42366240033892988</c:v>
                </c:pt>
                <c:pt idx="19">
                  <c:v>1.306411201045129</c:v>
                </c:pt>
                <c:pt idx="20">
                  <c:v>0.76941360061553088</c:v>
                </c:pt>
              </c:numCache>
            </c:numRef>
          </c:val>
          <c:extLst>
            <c:ext xmlns:c16="http://schemas.microsoft.com/office/drawing/2014/chart" uri="{C3380CC4-5D6E-409C-BE32-E72D297353CC}">
              <c16:uniqueId val="{0000001B-62C3-4FF4-89FF-B002E1E5C76A}"/>
            </c:ext>
          </c:extLst>
        </c:ser>
        <c:ser>
          <c:idx val="28"/>
          <c:order val="28"/>
          <c:tx>
            <c:strRef>
              <c:f>results!$A$30</c:f>
              <c:strCache>
                <c:ptCount val="1"/>
                <c:pt idx="0">
                  <c:v>HTL spin coating</c:v>
                </c:pt>
              </c:strCache>
            </c:strRef>
          </c:tx>
          <c:spPr>
            <a:solidFill>
              <a:schemeClr val="accent5">
                <a:lumMod val="60000"/>
                <a:lumOff val="4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results!$D$30:$X$30</c:f>
              <c:numCache>
                <c:formatCode>General</c:formatCode>
                <c:ptCount val="21"/>
                <c:pt idx="0">
                  <c:v>1.7429274494546797E-3</c:v>
                </c:pt>
                <c:pt idx="1">
                  <c:v>1.4367458959609001</c:v>
                </c:pt>
                <c:pt idx="2">
                  <c:v>0.63453650146245522</c:v>
                </c:pt>
                <c:pt idx="3">
                  <c:v>5.4704380372785511E-3</c:v>
                </c:pt>
                <c:pt idx="4">
                  <c:v>2.6695994953383257E-5</c:v>
                </c:pt>
                <c:pt idx="5">
                  <c:v>11.190702037451242</c:v>
                </c:pt>
                <c:pt idx="6">
                  <c:v>9.0559231013043213E-3</c:v>
                </c:pt>
                <c:pt idx="7">
                  <c:v>3.3654666623696423</c:v>
                </c:pt>
                <c:pt idx="8">
                  <c:v>1.3182876454006229E-3</c:v>
                </c:pt>
                <c:pt idx="9">
                  <c:v>6.431142169266317E-3</c:v>
                </c:pt>
                <c:pt idx="10">
                  <c:v>2.366377253679687E-4</c:v>
                </c:pt>
                <c:pt idx="11">
                  <c:v>1.2715176518322008E-7</c:v>
                </c:pt>
                <c:pt idx="12">
                  <c:v>1.6053623376979494E-3</c:v>
                </c:pt>
                <c:pt idx="13">
                  <c:v>4.3180219646664405E-3</c:v>
                </c:pt>
                <c:pt idx="14">
                  <c:v>6.2188437115279485E-3</c:v>
                </c:pt>
                <c:pt idx="15">
                  <c:v>1.1130229143428798E-4</c:v>
                </c:pt>
                <c:pt idx="16">
                  <c:v>6.8645312430938349E-4</c:v>
                </c:pt>
                <c:pt idx="17">
                  <c:v>1.7195317305261382E-4</c:v>
                </c:pt>
                <c:pt idx="18">
                  <c:v>4.2060827778589376E-2</c:v>
                </c:pt>
                <c:pt idx="19">
                  <c:v>0.12969934667608049</c:v>
                </c:pt>
                <c:pt idx="20">
                  <c:v>7.6386700637357613E-2</c:v>
                </c:pt>
              </c:numCache>
            </c:numRef>
          </c:val>
          <c:extLst>
            <c:ext xmlns:c16="http://schemas.microsoft.com/office/drawing/2014/chart" uri="{C3380CC4-5D6E-409C-BE32-E72D297353CC}">
              <c16:uniqueId val="{00000000-A994-4949-9D22-1A94983C40E5}"/>
            </c:ext>
          </c:extLst>
        </c:ser>
        <c:ser>
          <c:idx val="29"/>
          <c:order val="29"/>
          <c:tx>
            <c:strRef>
              <c:f>results!$A$31</c:f>
              <c:strCache>
                <c:ptCount val="1"/>
                <c:pt idx="0">
                  <c:v>Electrode sputtering</c:v>
                </c:pt>
              </c:strCache>
            </c:strRef>
          </c:tx>
          <c:spPr>
            <a:solidFill>
              <a:schemeClr val="accent6">
                <a:lumMod val="60000"/>
                <a:lumOff val="4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results!$D$31:$X$31</c:f>
              <c:numCache>
                <c:formatCode>General</c:formatCode>
                <c:ptCount val="21"/>
                <c:pt idx="0">
                  <c:v>5.7345438934765236E-3</c:v>
                </c:pt>
                <c:pt idx="1">
                  <c:v>4.7271516704483876</c:v>
                </c:pt>
                <c:pt idx="2">
                  <c:v>2.0877388905590797</c:v>
                </c:pt>
                <c:pt idx="3">
                  <c:v>1.7998722236621197E-2</c:v>
                </c:pt>
                <c:pt idx="4">
                  <c:v>8.7834611181378795E-5</c:v>
                </c:pt>
                <c:pt idx="5">
                  <c:v>36.819416696122197</c:v>
                </c:pt>
                <c:pt idx="6">
                  <c:v>2.9795611134947598E-2</c:v>
                </c:pt>
                <c:pt idx="7">
                  <c:v>11.072988897747278</c:v>
                </c:pt>
                <c:pt idx="8">
                  <c:v>4.3374027812476991E-3</c:v>
                </c:pt>
                <c:pt idx="9">
                  <c:v>2.1159611128038797E-2</c:v>
                </c:pt>
                <c:pt idx="10">
                  <c:v>7.785805561784199E-4</c:v>
                </c:pt>
                <c:pt idx="11">
                  <c:v>4.1835211144579277E-7</c:v>
                </c:pt>
                <c:pt idx="12">
                  <c:v>5.2819300042255433E-3</c:v>
                </c:pt>
                <c:pt idx="13">
                  <c:v>1.4207066678032319E-2</c:v>
                </c:pt>
                <c:pt idx="14">
                  <c:v>2.0461111127479996E-2</c:v>
                </c:pt>
                <c:pt idx="15">
                  <c:v>3.662045002929636E-4</c:v>
                </c:pt>
                <c:pt idx="16">
                  <c:v>2.258553890695732E-3</c:v>
                </c:pt>
                <c:pt idx="17">
                  <c:v>5.6575677823038307E-4</c:v>
                </c:pt>
                <c:pt idx="18">
                  <c:v>0.13838766677737679</c:v>
                </c:pt>
                <c:pt idx="19">
                  <c:v>0.42673411145249834</c:v>
                </c:pt>
                <c:pt idx="20">
                  <c:v>0.25132594464550517</c:v>
                </c:pt>
              </c:numCache>
            </c:numRef>
          </c:val>
          <c:extLst>
            <c:ext xmlns:c16="http://schemas.microsoft.com/office/drawing/2014/chart" uri="{C3380CC4-5D6E-409C-BE32-E72D297353CC}">
              <c16:uniqueId val="{00000001-CFB5-4199-AE12-B308BEB37285}"/>
            </c:ext>
          </c:extLst>
        </c:ser>
        <c:ser>
          <c:idx val="30"/>
          <c:order val="30"/>
          <c:tx>
            <c:strRef>
              <c:f>results!$A$32</c:f>
              <c:strCache>
                <c:ptCount val="1"/>
                <c:pt idx="0">
                  <c:v>Direct emissions</c:v>
                </c:pt>
              </c:strCache>
            </c:strRef>
          </c:tx>
          <c:spPr>
            <a:solidFill>
              <a:schemeClr val="accent1">
                <a:lumMod val="5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results!$D$32:$X$32</c:f>
              <c:numCache>
                <c:formatCode>General</c:formatCode>
                <c:ptCount val="21"/>
                <c:pt idx="0">
                  <c:v>0</c:v>
                </c:pt>
                <c:pt idx="1">
                  <c:v>0</c:v>
                </c:pt>
                <c:pt idx="2">
                  <c:v>0</c:v>
                </c:pt>
                <c:pt idx="3">
                  <c:v>2.3008993825820227E-2</c:v>
                </c:pt>
                <c:pt idx="4">
                  <c:v>0</c:v>
                </c:pt>
                <c:pt idx="5">
                  <c:v>3.0107065010989028E-2</c:v>
                </c:pt>
                <c:pt idx="6">
                  <c:v>0</c:v>
                </c:pt>
                <c:pt idx="7">
                  <c:v>52.462004997903506</c:v>
                </c:pt>
                <c:pt idx="8">
                  <c:v>0</c:v>
                </c:pt>
                <c:pt idx="9">
                  <c:v>0</c:v>
                </c:pt>
                <c:pt idx="10">
                  <c:v>0</c:v>
                </c:pt>
                <c:pt idx="11">
                  <c:v>0</c:v>
                </c:pt>
                <c:pt idx="12">
                  <c:v>0</c:v>
                </c:pt>
                <c:pt idx="13">
                  <c:v>4.1230354323475099E-3</c:v>
                </c:pt>
                <c:pt idx="14">
                  <c:v>0</c:v>
                </c:pt>
                <c:pt idx="15">
                  <c:v>0.24091160627675037</c:v>
                </c:pt>
                <c:pt idx="16">
                  <c:v>0</c:v>
                </c:pt>
                <c:pt idx="17">
                  <c:v>0</c:v>
                </c:pt>
                <c:pt idx="18">
                  <c:v>6.6235361163490158E-2</c:v>
                </c:pt>
                <c:pt idx="19">
                  <c:v>2.0717798916663425E-4</c:v>
                </c:pt>
                <c:pt idx="20">
                  <c:v>0</c:v>
                </c:pt>
              </c:numCache>
            </c:numRef>
          </c:val>
          <c:extLst>
            <c:ext xmlns:c16="http://schemas.microsoft.com/office/drawing/2014/chart" uri="{C3380CC4-5D6E-409C-BE32-E72D297353CC}">
              <c16:uniqueId val="{00000000-DE19-4BAB-8A0A-3352A2A1E728}"/>
            </c:ext>
          </c:extLst>
        </c:ser>
        <c:ser>
          <c:idx val="31"/>
          <c:order val="31"/>
          <c:tx>
            <c:strRef>
              <c:f>results!$A$33</c:f>
              <c:strCache>
                <c:ptCount val="1"/>
                <c:pt idx="0">
                  <c:v>Treatment</c:v>
                </c:pt>
              </c:strCache>
            </c:strRef>
          </c:tx>
          <c:spPr>
            <a:solidFill>
              <a:schemeClr val="accent2">
                <a:lumMod val="5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results!$D$33:$X$33</c:f>
              <c:numCache>
                <c:formatCode>General</c:formatCode>
                <c:ptCount val="21"/>
                <c:pt idx="0">
                  <c:v>2.0548593599999999E-5</c:v>
                </c:pt>
                <c:pt idx="1">
                  <c:v>5.2364487999999993E-4</c:v>
                </c:pt>
                <c:pt idx="2">
                  <c:v>9.0484743999999991E-5</c:v>
                </c:pt>
                <c:pt idx="3">
                  <c:v>8.001138399999999E-6</c:v>
                </c:pt>
                <c:pt idx="4">
                  <c:v>3.2515967999999997E-6</c:v>
                </c:pt>
                <c:pt idx="5">
                  <c:v>7.3870711999999995E-3</c:v>
                </c:pt>
                <c:pt idx="6">
                  <c:v>3.6682191999999997E-5</c:v>
                </c:pt>
                <c:pt idx="7">
                  <c:v>7.1845399999999997E-3</c:v>
                </c:pt>
                <c:pt idx="8">
                  <c:v>3.0136919999999997E-5</c:v>
                </c:pt>
                <c:pt idx="9">
                  <c:v>4.0381391999999997E-5</c:v>
                </c:pt>
                <c:pt idx="10">
                  <c:v>4.1995168E-8</c:v>
                </c:pt>
                <c:pt idx="11">
                  <c:v>4.2432135999999995E-11</c:v>
                </c:pt>
                <c:pt idx="12">
                  <c:v>1.16922464E-6</c:v>
                </c:pt>
                <c:pt idx="13">
                  <c:v>1.37473832E-6</c:v>
                </c:pt>
                <c:pt idx="14">
                  <c:v>2.3975439999999999E-6</c:v>
                </c:pt>
                <c:pt idx="15">
                  <c:v>3.1940279999999995E-7</c:v>
                </c:pt>
                <c:pt idx="16">
                  <c:v>5.4010631999999993E-6</c:v>
                </c:pt>
                <c:pt idx="17">
                  <c:v>2.4620487999999999E-6</c:v>
                </c:pt>
                <c:pt idx="18">
                  <c:v>2.3455239999999998E-5</c:v>
                </c:pt>
                <c:pt idx="19">
                  <c:v>7.0992271999999998E-5</c:v>
                </c:pt>
                <c:pt idx="20">
                  <c:v>1.2723629599999999E-5</c:v>
                </c:pt>
              </c:numCache>
            </c:numRef>
          </c:val>
          <c:extLst>
            <c:ext xmlns:c16="http://schemas.microsoft.com/office/drawing/2014/chart" uri="{C3380CC4-5D6E-409C-BE32-E72D297353CC}">
              <c16:uniqueId val="{00000001-DE19-4BAB-8A0A-3352A2A1E728}"/>
            </c:ext>
          </c:extLst>
        </c:ser>
        <c:ser>
          <c:idx val="32"/>
          <c:order val="32"/>
          <c:tx>
            <c:strRef>
              <c:f>results!$A$34</c:f>
              <c:strCache>
                <c:ptCount val="1"/>
                <c:pt idx="0">
                  <c:v>End of life</c:v>
                </c:pt>
              </c:strCache>
            </c:strRef>
          </c:tx>
          <c:spPr>
            <a:solidFill>
              <a:schemeClr val="accent3">
                <a:lumMod val="50000"/>
              </a:schemeClr>
            </a:solidFill>
            <a:ln>
              <a:noFill/>
            </a:ln>
            <a:effectLst/>
          </c:spPr>
          <c:invertIfNegative val="0"/>
          <c:cat>
            <c:strRef>
              <c:f>results!$D$1:$X$1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results!$D$34:$X$34</c:f>
              <c:numCache>
                <c:formatCode>General</c:formatCode>
                <c:ptCount val="21"/>
                <c:pt idx="0">
                  <c:v>1.4141839976594562E-3</c:v>
                </c:pt>
                <c:pt idx="1">
                  <c:v>2.5741859150323385E-2</c:v>
                </c:pt>
                <c:pt idx="2">
                  <c:v>2.040564867861893E-2</c:v>
                </c:pt>
                <c:pt idx="3">
                  <c:v>1.259567488290372E-4</c:v>
                </c:pt>
                <c:pt idx="4">
                  <c:v>3.0338511685136918E-6</c:v>
                </c:pt>
                <c:pt idx="5">
                  <c:v>0.19403943415768032</c:v>
                </c:pt>
                <c:pt idx="6">
                  <c:v>3.7434134017611202E-3</c:v>
                </c:pt>
                <c:pt idx="7">
                  <c:v>0.13763238742371603</c:v>
                </c:pt>
                <c:pt idx="8">
                  <c:v>8.7148861997501142E-5</c:v>
                </c:pt>
                <c:pt idx="9">
                  <c:v>1.0618983219270921E-3</c:v>
                </c:pt>
                <c:pt idx="10">
                  <c:v>-2.0067377802235963E-4</c:v>
                </c:pt>
                <c:pt idx="11">
                  <c:v>9.6187903448390234E-9</c:v>
                </c:pt>
                <c:pt idx="12">
                  <c:v>9.2069165653980661E-5</c:v>
                </c:pt>
                <c:pt idx="13">
                  <c:v>2.7841054275895175E-4</c:v>
                </c:pt>
                <c:pt idx="14">
                  <c:v>2.3291789911543637E-4</c:v>
                </c:pt>
                <c:pt idx="15">
                  <c:v>2.8080011646097148E-5</c:v>
                </c:pt>
                <c:pt idx="16">
                  <c:v>5.1537156024784774E-3</c:v>
                </c:pt>
                <c:pt idx="17">
                  <c:v>3.7218870732640221E-5</c:v>
                </c:pt>
                <c:pt idx="18">
                  <c:v>2.096019109891887E-3</c:v>
                </c:pt>
                <c:pt idx="19">
                  <c:v>2.4211826199768542E-3</c:v>
                </c:pt>
                <c:pt idx="20">
                  <c:v>2.4962474985065469E-3</c:v>
                </c:pt>
              </c:numCache>
            </c:numRef>
          </c:val>
          <c:extLst>
            <c:ext xmlns:c16="http://schemas.microsoft.com/office/drawing/2014/chart" uri="{C3380CC4-5D6E-409C-BE32-E72D297353CC}">
              <c16:uniqueId val="{00000002-DE19-4BAB-8A0A-3352A2A1E728}"/>
            </c:ext>
          </c:extLst>
        </c:ser>
        <c:dLbls>
          <c:showLegendKey val="0"/>
          <c:showVal val="0"/>
          <c:showCatName val="0"/>
          <c:showSerName val="0"/>
          <c:showPercent val="0"/>
          <c:showBubbleSize val="0"/>
        </c:dLbls>
        <c:gapWidth val="150"/>
        <c:overlap val="100"/>
        <c:axId val="590330352"/>
        <c:axId val="590333304"/>
      </c:barChart>
      <c:catAx>
        <c:axId val="59033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333304"/>
        <c:crosses val="autoZero"/>
        <c:auto val="1"/>
        <c:lblAlgn val="ctr"/>
        <c:lblOffset val="100"/>
        <c:noMultiLvlLbl val="0"/>
      </c:catAx>
      <c:valAx>
        <c:axId val="5903333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330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tx>
            <c:strRef>
              <c:f>Uncertainty!$J$9</c:f>
              <c:strCache>
                <c:ptCount val="1"/>
                <c:pt idx="0">
                  <c:v>EPBT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Uncertainty!$I$10:$I$13</c:f>
              <c:strCache>
                <c:ptCount val="4"/>
                <c:pt idx="0">
                  <c:v>Insolation</c:v>
                </c:pt>
                <c:pt idx="1">
                  <c:v>Module efficiency</c:v>
                </c:pt>
                <c:pt idx="2">
                  <c:v>Primary energy consumption</c:v>
                </c:pt>
                <c:pt idx="3">
                  <c:v>Performance ratio</c:v>
                </c:pt>
              </c:strCache>
            </c:strRef>
          </c:cat>
          <c:val>
            <c:numRef>
              <c:f>Uncertainty!$J$10:$J$13</c:f>
              <c:numCache>
                <c:formatCode>0.000%</c:formatCode>
                <c:ptCount val="4"/>
                <c:pt idx="0">
                  <c:v>-2.103E-2</c:v>
                </c:pt>
                <c:pt idx="1">
                  <c:v>-3.7929999999999998E-2</c:v>
                </c:pt>
                <c:pt idx="2" formatCode="0.00%">
                  <c:v>0.18759999999999999</c:v>
                </c:pt>
                <c:pt idx="3" formatCode="0.00%">
                  <c:v>-0.75339999999999996</c:v>
                </c:pt>
              </c:numCache>
            </c:numRef>
          </c:val>
          <c:extLst>
            <c:ext xmlns:c16="http://schemas.microsoft.com/office/drawing/2014/chart" uri="{C3380CC4-5D6E-409C-BE32-E72D297353CC}">
              <c16:uniqueId val="{00000000-A3BF-47B9-9FFD-284F3676C26E}"/>
            </c:ext>
          </c:extLst>
        </c:ser>
        <c:dLbls>
          <c:dLblPos val="outEnd"/>
          <c:showLegendKey val="0"/>
          <c:showVal val="1"/>
          <c:showCatName val="0"/>
          <c:showSerName val="0"/>
          <c:showPercent val="0"/>
          <c:showBubbleSize val="0"/>
        </c:dLbls>
        <c:gapWidth val="182"/>
        <c:axId val="1356066175"/>
        <c:axId val="1348421519"/>
      </c:barChart>
      <c:catAx>
        <c:axId val="1356066175"/>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48421519"/>
        <c:crosses val="autoZero"/>
        <c:auto val="1"/>
        <c:lblAlgn val="ctr"/>
        <c:lblOffset val="100"/>
        <c:noMultiLvlLbl val="0"/>
      </c:catAx>
      <c:valAx>
        <c:axId val="1348421519"/>
        <c:scaling>
          <c:orientation val="minMax"/>
          <c:min val="-1"/>
        </c:scaling>
        <c:delete val="0"/>
        <c:axPos val="b"/>
        <c:majorGridlines>
          <c:spPr>
            <a:ln w="9525" cap="flat" cmpd="sng" algn="ctr">
              <a:solidFill>
                <a:schemeClr val="bg1"/>
              </a:solidFill>
              <a:round/>
            </a:ln>
            <a:effectLst/>
          </c:spPr>
        </c:majorGridlines>
        <c:numFmt formatCode="0%" sourceLinked="0"/>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560661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0"/>
          <c:order val="0"/>
          <c:tx>
            <c:strRef>
              <c:f>Uncertainty!$L$9</c:f>
              <c:strCache>
                <c:ptCount val="1"/>
                <c:pt idx="0">
                  <c:v>GHG emission factor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Uncertainty!$K$10:$K$14</c:f>
              <c:strCache>
                <c:ptCount val="5"/>
                <c:pt idx="0">
                  <c:v>Insolation</c:v>
                </c:pt>
                <c:pt idx="1">
                  <c:v>Module efficiency</c:v>
                </c:pt>
                <c:pt idx="2">
                  <c:v>Carbon footprint</c:v>
                </c:pt>
                <c:pt idx="3">
                  <c:v>Lifetime</c:v>
                </c:pt>
                <c:pt idx="4">
                  <c:v>Performance ratio</c:v>
                </c:pt>
              </c:strCache>
            </c:strRef>
          </c:cat>
          <c:val>
            <c:numRef>
              <c:f>Uncertainty!$L$10:$L$14</c:f>
              <c:numCache>
                <c:formatCode>0.000%</c:formatCode>
                <c:ptCount val="5"/>
                <c:pt idx="0">
                  <c:v>-1.541E-2</c:v>
                </c:pt>
                <c:pt idx="1">
                  <c:v>-3.0519999999999999E-2</c:v>
                </c:pt>
                <c:pt idx="2" formatCode="0.00%">
                  <c:v>0.13780000000000001</c:v>
                </c:pt>
                <c:pt idx="3" formatCode="0.00%">
                  <c:v>-0.25109999999999999</c:v>
                </c:pt>
                <c:pt idx="4" formatCode="0.00%">
                  <c:v>-0.56510000000000005</c:v>
                </c:pt>
              </c:numCache>
            </c:numRef>
          </c:val>
          <c:extLst>
            <c:ext xmlns:c16="http://schemas.microsoft.com/office/drawing/2014/chart" uri="{C3380CC4-5D6E-409C-BE32-E72D297353CC}">
              <c16:uniqueId val="{00000000-DBD8-44C2-B0AE-7E11C913327A}"/>
            </c:ext>
          </c:extLst>
        </c:ser>
        <c:dLbls>
          <c:dLblPos val="outEnd"/>
          <c:showLegendKey val="0"/>
          <c:showVal val="1"/>
          <c:showCatName val="0"/>
          <c:showSerName val="0"/>
          <c:showPercent val="0"/>
          <c:showBubbleSize val="0"/>
        </c:dLbls>
        <c:gapWidth val="182"/>
        <c:axId val="1200576687"/>
        <c:axId val="1348456079"/>
      </c:barChart>
      <c:catAx>
        <c:axId val="1200576687"/>
        <c:scaling>
          <c:orientation val="minMax"/>
        </c:scaling>
        <c:delete val="0"/>
        <c:axPos val="l"/>
        <c:numFmt formatCode="General"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48456079"/>
        <c:crosses val="autoZero"/>
        <c:auto val="1"/>
        <c:lblAlgn val="ctr"/>
        <c:lblOffset val="100"/>
        <c:noMultiLvlLbl val="0"/>
      </c:catAx>
      <c:valAx>
        <c:axId val="1348456079"/>
        <c:scaling>
          <c:orientation val="minMax"/>
          <c:min val="-0.8"/>
        </c:scaling>
        <c:delete val="0"/>
        <c:axPos val="b"/>
        <c:majorGridlines>
          <c:spPr>
            <a:ln w="9525" cap="flat" cmpd="sng" algn="ctr">
              <a:solidFill>
                <a:schemeClr val="bg1"/>
              </a:solidFill>
              <a:round/>
            </a:ln>
            <a:effectLst/>
          </c:spPr>
        </c:majorGridlines>
        <c:numFmt formatCode="0%" sourceLinked="0"/>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2005766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6</xdr:col>
      <xdr:colOff>2530848</xdr:colOff>
      <xdr:row>51</xdr:row>
      <xdr:rowOff>79562</xdr:rowOff>
    </xdr:from>
    <xdr:to>
      <xdr:col>21</xdr:col>
      <xdr:colOff>453278</xdr:colOff>
      <xdr:row>68</xdr:row>
      <xdr:rowOff>155762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534522</xdr:colOff>
      <xdr:row>52</xdr:row>
      <xdr:rowOff>87406</xdr:rowOff>
    </xdr:from>
    <xdr:to>
      <xdr:col>24</xdr:col>
      <xdr:colOff>756398</xdr:colOff>
      <xdr:row>69</xdr:row>
      <xdr:rowOff>163606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433667</xdr:colOff>
      <xdr:row>58</xdr:row>
      <xdr:rowOff>27734</xdr:rowOff>
    </xdr:from>
    <xdr:to>
      <xdr:col>31</xdr:col>
      <xdr:colOff>128867</xdr:colOff>
      <xdr:row>72</xdr:row>
      <xdr:rowOff>103934</xdr:rowOff>
    </xdr:to>
    <xdr:graphicFrame macro="">
      <xdr:nvGraphicFramePr>
        <xdr:cNvPr id="4" name="图表 3">
          <a:extLst>
            <a:ext uri="{FF2B5EF4-FFF2-40B4-BE49-F238E27FC236}">
              <a16:creationId xmlns:a16="http://schemas.microsoft.com/office/drawing/2014/main" id="{5AAECD89-5E68-4A56-A5D1-85B3FF565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285750</xdr:colOff>
      <xdr:row>14</xdr:row>
      <xdr:rowOff>95250</xdr:rowOff>
    </xdr:from>
    <xdr:to>
      <xdr:col>14</xdr:col>
      <xdr:colOff>1590675</xdr:colOff>
      <xdr:row>28</xdr:row>
      <xdr:rowOff>171450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1495425</xdr:colOff>
      <xdr:row>14</xdr:row>
      <xdr:rowOff>95250</xdr:rowOff>
    </xdr:from>
    <xdr:to>
      <xdr:col>17</xdr:col>
      <xdr:colOff>57150</xdr:colOff>
      <xdr:row>28</xdr:row>
      <xdr:rowOff>171450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776287</xdr:colOff>
      <xdr:row>14</xdr:row>
      <xdr:rowOff>14287</xdr:rowOff>
    </xdr:from>
    <xdr:to>
      <xdr:col>22</xdr:col>
      <xdr:colOff>681037</xdr:colOff>
      <xdr:row>28</xdr:row>
      <xdr:rowOff>90487</xdr:rowOff>
    </xdr:to>
    <xdr:graphicFrame macro="">
      <xdr:nvGraphicFramePr>
        <xdr:cNvPr id="4" name="图表 3">
          <a:extLst>
            <a:ext uri="{FF2B5EF4-FFF2-40B4-BE49-F238E27FC236}">
              <a16:creationId xmlns:a16="http://schemas.microsoft.com/office/drawing/2014/main" id="{D0739963-F649-4DEC-BFE0-AE0AD8F93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252410</xdr:colOff>
      <xdr:row>38</xdr:row>
      <xdr:rowOff>85725</xdr:rowOff>
    </xdr:from>
    <xdr:to>
      <xdr:col>12</xdr:col>
      <xdr:colOff>409575</xdr:colOff>
      <xdr:row>68</xdr:row>
      <xdr:rowOff>9524</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266700</xdr:colOff>
      <xdr:row>0</xdr:row>
      <xdr:rowOff>61912</xdr:rowOff>
    </xdr:from>
    <xdr:to>
      <xdr:col>20</xdr:col>
      <xdr:colOff>571500</xdr:colOff>
      <xdr:row>14</xdr:row>
      <xdr:rowOff>138112</xdr:rowOff>
    </xdr:to>
    <xdr:graphicFrame macro="">
      <xdr:nvGraphicFramePr>
        <xdr:cNvPr id="2" name="Chart 1">
          <a:extLst>
            <a:ext uri="{FF2B5EF4-FFF2-40B4-BE49-F238E27FC236}">
              <a16:creationId xmlns:a16="http://schemas.microsoft.com/office/drawing/2014/main" id="{716BE311-1DF0-4DB6-A359-BA190D2AC2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280987</xdr:colOff>
      <xdr:row>15</xdr:row>
      <xdr:rowOff>100012</xdr:rowOff>
    </xdr:from>
    <xdr:to>
      <xdr:col>20</xdr:col>
      <xdr:colOff>585787</xdr:colOff>
      <xdr:row>29</xdr:row>
      <xdr:rowOff>176212</xdr:rowOff>
    </xdr:to>
    <xdr:graphicFrame macro="">
      <xdr:nvGraphicFramePr>
        <xdr:cNvPr id="3" name="Chart 2">
          <a:extLst>
            <a:ext uri="{FF2B5EF4-FFF2-40B4-BE49-F238E27FC236}">
              <a16:creationId xmlns:a16="http://schemas.microsoft.com/office/drawing/2014/main" id="{8CAA8E54-1309-4D22-B877-1BC873F2C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17</xdr:row>
      <xdr:rowOff>0</xdr:rowOff>
    </xdr:from>
    <xdr:to>
      <xdr:col>7</xdr:col>
      <xdr:colOff>551626</xdr:colOff>
      <xdr:row>38</xdr:row>
      <xdr:rowOff>47119</xdr:rowOff>
    </xdr:to>
    <xdr:pic>
      <xdr:nvPicPr>
        <xdr:cNvPr id="4" name="Picture 3">
          <a:extLst>
            <a:ext uri="{FF2B5EF4-FFF2-40B4-BE49-F238E27FC236}">
              <a16:creationId xmlns:a16="http://schemas.microsoft.com/office/drawing/2014/main" id="{8763FBE8-FE1C-422C-A5DE-21EC2FD5953C}"/>
            </a:ext>
          </a:extLst>
        </xdr:cNvPr>
        <xdr:cNvPicPr>
          <a:picLocks noChangeAspect="1"/>
        </xdr:cNvPicPr>
      </xdr:nvPicPr>
      <xdr:blipFill>
        <a:blip xmlns:r="http://schemas.openxmlformats.org/officeDocument/2006/relationships" r:embed="rId3"/>
        <a:stretch>
          <a:fillRect/>
        </a:stretch>
      </xdr:blipFill>
      <xdr:spPr>
        <a:xfrm>
          <a:off x="0" y="3238500"/>
          <a:ext cx="6590476" cy="4047619"/>
        </a:xfrm>
        <a:prstGeom prst="rect">
          <a:avLst/>
        </a:prstGeom>
      </xdr:spPr>
    </xdr:pic>
    <xdr:clientData/>
  </xdr:twoCellAnchor>
  <xdr:twoCellAnchor editAs="oneCell">
    <xdr:from>
      <xdr:col>8</xdr:col>
      <xdr:colOff>0</xdr:colOff>
      <xdr:row>17</xdr:row>
      <xdr:rowOff>0</xdr:rowOff>
    </xdr:from>
    <xdr:to>
      <xdr:col>13</xdr:col>
      <xdr:colOff>65852</xdr:colOff>
      <xdr:row>38</xdr:row>
      <xdr:rowOff>47119</xdr:rowOff>
    </xdr:to>
    <xdr:pic>
      <xdr:nvPicPr>
        <xdr:cNvPr id="5" name="Picture 4">
          <a:extLst>
            <a:ext uri="{FF2B5EF4-FFF2-40B4-BE49-F238E27FC236}">
              <a16:creationId xmlns:a16="http://schemas.microsoft.com/office/drawing/2014/main" id="{3E2013E1-61C7-4B6A-8C95-EA1F6C92EF01}"/>
            </a:ext>
          </a:extLst>
        </xdr:cNvPr>
        <xdr:cNvPicPr>
          <a:picLocks noChangeAspect="1"/>
        </xdr:cNvPicPr>
      </xdr:nvPicPr>
      <xdr:blipFill>
        <a:blip xmlns:r="http://schemas.openxmlformats.org/officeDocument/2006/relationships" r:embed="rId4"/>
        <a:stretch>
          <a:fillRect/>
        </a:stretch>
      </xdr:blipFill>
      <xdr:spPr>
        <a:xfrm>
          <a:off x="6648450" y="3238500"/>
          <a:ext cx="6580952" cy="404761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25</xdr:row>
      <xdr:rowOff>38100</xdr:rowOff>
    </xdr:from>
    <xdr:to>
      <xdr:col>2</xdr:col>
      <xdr:colOff>1619250</xdr:colOff>
      <xdr:row>39</xdr:row>
      <xdr:rowOff>114300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1895475</xdr:colOff>
      <xdr:row>24</xdr:row>
      <xdr:rowOff>38100</xdr:rowOff>
    </xdr:from>
    <xdr:to>
      <xdr:col>6</xdr:col>
      <xdr:colOff>704850</xdr:colOff>
      <xdr:row>38</xdr:row>
      <xdr:rowOff>114300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1885950</xdr:colOff>
      <xdr:row>54</xdr:row>
      <xdr:rowOff>47625</xdr:rowOff>
    </xdr:from>
    <xdr:to>
      <xdr:col>6</xdr:col>
      <xdr:colOff>695325</xdr:colOff>
      <xdr:row>68</xdr:row>
      <xdr:rowOff>123825</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53</xdr:row>
      <xdr:rowOff>95250</xdr:rowOff>
    </xdr:from>
    <xdr:to>
      <xdr:col>2</xdr:col>
      <xdr:colOff>1619250</xdr:colOff>
      <xdr:row>67</xdr:row>
      <xdr:rowOff>171450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1871662</xdr:colOff>
      <xdr:row>73</xdr:row>
      <xdr:rowOff>109537</xdr:rowOff>
    </xdr:from>
    <xdr:to>
      <xdr:col>6</xdr:col>
      <xdr:colOff>681037</xdr:colOff>
      <xdr:row>87</xdr:row>
      <xdr:rowOff>185737</xdr:rowOff>
    </xdr:to>
    <xdr:graphicFrame macro="">
      <xdr:nvGraphicFramePr>
        <xdr:cNvPr id="8" name="图表 7">
          <a:extLst>
            <a:ext uri="{FF2B5EF4-FFF2-40B4-BE49-F238E27FC236}">
              <a16:creationId xmlns:a16="http://schemas.microsoft.com/office/drawing/2014/main" id="{EB730ED3-F575-436E-9D3E-B2F8BED67B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161925</xdr:colOff>
      <xdr:row>75</xdr:row>
      <xdr:rowOff>147637</xdr:rowOff>
    </xdr:from>
    <xdr:to>
      <xdr:col>2</xdr:col>
      <xdr:colOff>1781175</xdr:colOff>
      <xdr:row>90</xdr:row>
      <xdr:rowOff>33337</xdr:rowOff>
    </xdr:to>
    <xdr:graphicFrame macro="">
      <xdr:nvGraphicFramePr>
        <xdr:cNvPr id="2" name="Chart 1">
          <a:extLst>
            <a:ext uri="{FF2B5EF4-FFF2-40B4-BE49-F238E27FC236}">
              <a16:creationId xmlns:a16="http://schemas.microsoft.com/office/drawing/2014/main" id="{87BF614E-F0B9-4825-8126-319AA28E4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17</xdr:col>
      <xdr:colOff>300037</xdr:colOff>
      <xdr:row>3</xdr:row>
      <xdr:rowOff>147637</xdr:rowOff>
    </xdr:from>
    <xdr:to>
      <xdr:col>24</xdr:col>
      <xdr:colOff>604837</xdr:colOff>
      <xdr:row>17</xdr:row>
      <xdr:rowOff>176212</xdr:rowOff>
    </xdr:to>
    <xdr:graphicFrame macro="">
      <xdr:nvGraphicFramePr>
        <xdr:cNvPr id="2" name="Chart 1">
          <a:extLst>
            <a:ext uri="{FF2B5EF4-FFF2-40B4-BE49-F238E27FC236}">
              <a16:creationId xmlns:a16="http://schemas.microsoft.com/office/drawing/2014/main" id="{D6DBFFD4-689E-4084-965C-FC716BC9B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309562</xdr:colOff>
      <xdr:row>18</xdr:row>
      <xdr:rowOff>138112</xdr:rowOff>
    </xdr:from>
    <xdr:to>
      <xdr:col>25</xdr:col>
      <xdr:colOff>4762</xdr:colOff>
      <xdr:row>33</xdr:row>
      <xdr:rowOff>14287</xdr:rowOff>
    </xdr:to>
    <xdr:graphicFrame macro="">
      <xdr:nvGraphicFramePr>
        <xdr:cNvPr id="3" name="Chart 2">
          <a:extLst>
            <a:ext uri="{FF2B5EF4-FFF2-40B4-BE49-F238E27FC236}">
              <a16:creationId xmlns:a16="http://schemas.microsoft.com/office/drawing/2014/main" id="{983B0E41-F31F-4F65-BD5F-B13563363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252410</xdr:colOff>
      <xdr:row>39</xdr:row>
      <xdr:rowOff>85725</xdr:rowOff>
    </xdr:from>
    <xdr:to>
      <xdr:col>12</xdr:col>
      <xdr:colOff>409575</xdr:colOff>
      <xdr:row>69</xdr:row>
      <xdr:rowOff>9524</xdr:rowOff>
    </xdr:to>
    <xdr:graphicFrame macro="">
      <xdr:nvGraphicFramePr>
        <xdr:cNvPr id="2" name="Chart 1">
          <a:extLst>
            <a:ext uri="{FF2B5EF4-FFF2-40B4-BE49-F238E27FC236}">
              <a16:creationId xmlns:a16="http://schemas.microsoft.com/office/drawing/2014/main" id="{D202DE70-66BD-4A78-908D-5693F0E60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ther%20inventory.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Recycling/0_Raw%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_Raw%20materia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_Raw%20materials-update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6_FAI%20pro.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7_MAB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8_PbBr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_LiTFSI.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Inventory%20for%20recycling.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ecycling/Macro-enable/Module_3_mixed_recycl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bI2"/>
      <sheetName val="CH3NH3I"/>
      <sheetName val="FTO glass"/>
      <sheetName val="ITO glass"/>
      <sheetName val="BL-TiO2 ink"/>
      <sheetName val="spiro-OMeTAD"/>
      <sheetName val="C60"/>
      <sheetName val="PCBM_old"/>
      <sheetName val="PCBM_new"/>
      <sheetName val="PCBM"/>
      <sheetName val="Thiophene"/>
      <sheetName val="PEDOT PSS"/>
    </sheetNames>
    <sheetDataSet>
      <sheetData sheetId="0">
        <row r="18">
          <cell r="D18">
            <v>4.5641478346943822</v>
          </cell>
          <cell r="M18">
            <v>54.273073573167295</v>
          </cell>
          <cell r="N18">
            <v>1.0468647769178421</v>
          </cell>
          <cell r="O18">
            <v>3.8979307535263539</v>
          </cell>
          <cell r="P18">
            <v>1.0346162212323682</v>
          </cell>
          <cell r="Q18">
            <v>7.1263336550358825E-2</v>
          </cell>
          <cell r="R18">
            <v>1.9784839253897545E-3</v>
          </cell>
          <cell r="S18">
            <v>155.93446269487751</v>
          </cell>
          <cell r="T18">
            <v>0.19160131588715665</v>
          </cell>
          <cell r="U18">
            <v>78.202403056174219</v>
          </cell>
          <cell r="V18">
            <v>5.15849037985647E-3</v>
          </cell>
          <cell r="W18">
            <v>0.63220118225686706</v>
          </cell>
          <cell r="X18">
            <v>6.6310885300668149E-4</v>
          </cell>
          <cell r="Y18">
            <v>4.462579856471171E-7</v>
          </cell>
          <cell r="Z18">
            <v>1.1047205555555552E-2</v>
          </cell>
          <cell r="AA18">
            <v>1.554942625587726E-2</v>
          </cell>
          <cell r="AB18">
            <v>3.125296795347686E-2</v>
          </cell>
          <cell r="AC18">
            <v>5.3766239785944065E-3</v>
          </cell>
          <cell r="AD18">
            <v>4.0204006328878987E-2</v>
          </cell>
          <cell r="AE18">
            <v>1.1739803605543183E-2</v>
          </cell>
          <cell r="AF18">
            <v>0.19118482430091563</v>
          </cell>
          <cell r="AG18">
            <v>1.2205381316505814</v>
          </cell>
          <cell r="AH18">
            <v>0.15340474263796092</v>
          </cell>
        </row>
      </sheetData>
      <sheetData sheetId="1">
        <row r="17">
          <cell r="D17">
            <v>161.5361359123435</v>
          </cell>
        </row>
      </sheetData>
      <sheetData sheetId="2">
        <row r="41">
          <cell r="D41">
            <v>0.6900927939999999</v>
          </cell>
          <cell r="M41">
            <v>16.870840664507959</v>
          </cell>
          <cell r="N41">
            <v>1.2304100629300001</v>
          </cell>
          <cell r="O41">
            <v>0.71155339899999992</v>
          </cell>
          <cell r="P41">
            <v>0.16598633829999998</v>
          </cell>
          <cell r="Q41">
            <v>1.9207721611635292E-2</v>
          </cell>
          <cell r="R41">
            <v>4.0224563808999997E-4</v>
          </cell>
          <cell r="S41">
            <v>24.778602629582721</v>
          </cell>
          <cell r="T41">
            <v>4.3648278519999993E-2</v>
          </cell>
          <cell r="U41">
            <v>17.545004398641137</v>
          </cell>
          <cell r="V41">
            <v>2.1058137381999996E-3</v>
          </cell>
          <cell r="W41">
            <v>7.485683762029999</v>
          </cell>
          <cell r="X41">
            <v>5.2843976053999992E-4</v>
          </cell>
          <cell r="Y41">
            <v>4.481888471999999E-8</v>
          </cell>
          <cell r="Z41">
            <v>6.2016636211999999E-3</v>
          </cell>
          <cell r="AA41">
            <v>9.5497049174216204E-3</v>
          </cell>
          <cell r="AB41">
            <v>1.2424807466E-2</v>
          </cell>
          <cell r="AC41">
            <v>1.4737965990842938E-3</v>
          </cell>
          <cell r="AD41">
            <v>2.9310167130999997E-2</v>
          </cell>
          <cell r="AE41">
            <v>1.5347061815999996E-3</v>
          </cell>
          <cell r="AF41">
            <v>0.10118733074544357</v>
          </cell>
          <cell r="AG41">
            <v>0.20367506328805784</v>
          </cell>
          <cell r="AH41">
            <v>0.36744772991999997</v>
          </cell>
        </row>
      </sheetData>
      <sheetData sheetId="3">
        <row r="14">
          <cell r="D14">
            <v>16.837863429999999</v>
          </cell>
        </row>
      </sheetData>
      <sheetData sheetId="4">
        <row r="14">
          <cell r="D14">
            <v>1.816623717028</v>
          </cell>
          <cell r="M14">
            <v>49.235883967569862</v>
          </cell>
          <cell r="N14">
            <v>1.031942146719008</v>
          </cell>
          <cell r="O14">
            <v>1.571679025116</v>
          </cell>
          <cell r="P14">
            <v>0.56452762463599993</v>
          </cell>
          <cell r="Q14">
            <v>3.6490840867999995E-2</v>
          </cell>
          <cell r="R14">
            <v>6.7762399148959987E-4</v>
          </cell>
          <cell r="S14">
            <v>22.165093164199998</v>
          </cell>
          <cell r="T14">
            <v>0.1099822682052</v>
          </cell>
          <cell r="U14">
            <v>18.255521079160001</v>
          </cell>
          <cell r="V14">
            <v>6.0900339802000001E-3</v>
          </cell>
          <cell r="W14">
            <v>6.8993196383600006E-2</v>
          </cell>
          <cell r="X14">
            <v>1.068494039446E-3</v>
          </cell>
          <cell r="Y14">
            <v>1.435786231096E-7</v>
          </cell>
          <cell r="Z14">
            <v>4.5740298416480007E-3</v>
          </cell>
          <cell r="AA14">
            <v>5.7932781494399992E-3</v>
          </cell>
          <cell r="AB14">
            <v>1.4153469894000001E-2</v>
          </cell>
          <cell r="AC14">
            <v>7.7372104642912014E-3</v>
          </cell>
          <cell r="AD14">
            <v>5.9085341149744001E-2</v>
          </cell>
          <cell r="AE14">
            <v>0.34168602040953444</v>
          </cell>
          <cell r="AF14">
            <v>0.32895532035960001</v>
          </cell>
          <cell r="AG14">
            <v>0.21573273067080001</v>
          </cell>
          <cell r="AH14">
            <v>7.1616409671400011E-2</v>
          </cell>
        </row>
      </sheetData>
      <sheetData sheetId="5">
        <row r="33">
          <cell r="D33">
            <v>121.5468471027569</v>
          </cell>
          <cell r="M33">
            <v>1958.021571952163</v>
          </cell>
          <cell r="N33">
            <v>29.767093973383464</v>
          </cell>
          <cell r="O33">
            <v>109.87499824561404</v>
          </cell>
          <cell r="P33">
            <v>35.465421288220554</v>
          </cell>
          <cell r="Q33">
            <v>7.4221536900250635</v>
          </cell>
          <cell r="R33">
            <v>0.12792126052481204</v>
          </cell>
          <cell r="S33">
            <v>6548.1155303258156</v>
          </cell>
          <cell r="T33">
            <v>11.179426375939849</v>
          </cell>
          <cell r="U33">
            <v>5537.7356836591489</v>
          </cell>
          <cell r="V33">
            <v>0.12301502522305767</v>
          </cell>
          <cell r="W33">
            <v>5.0502886230576465</v>
          </cell>
          <cell r="X33">
            <v>9.585345859649123E-3</v>
          </cell>
          <cell r="Y33">
            <v>1.0339000486716796E-5</v>
          </cell>
          <cell r="Z33">
            <v>0.62014124886215527</v>
          </cell>
          <cell r="AA33">
            <v>0.43767035669172932</v>
          </cell>
          <cell r="AB33">
            <v>0.59866097528822071</v>
          </cell>
          <cell r="AC33">
            <v>0.12409401888220552</v>
          </cell>
          <cell r="AD33">
            <v>1.6249439223558895</v>
          </cell>
          <cell r="AE33">
            <v>0.36095372982456142</v>
          </cell>
          <cell r="AF33">
            <v>6.3790381538847116</v>
          </cell>
          <cell r="AG33">
            <v>49.986884340350883</v>
          </cell>
          <cell r="AH33">
            <v>4.4870217719298244</v>
          </cell>
        </row>
      </sheetData>
      <sheetData sheetId="6"/>
      <sheetData sheetId="7"/>
      <sheetData sheetId="8"/>
      <sheetData sheetId="9" refreshError="1"/>
      <sheetData sheetId="10" refreshError="1"/>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sheetName val="production-alphabetical"/>
      <sheetName val="production-alphabetical (2)"/>
      <sheetName val="production-alphabetical (3)"/>
      <sheetName val="direct emissions"/>
      <sheetName val="Jian's"/>
    </sheetNames>
    <sheetDataSet>
      <sheetData sheetId="0">
        <row r="3">
          <cell r="D3">
            <v>2.4752999999999998</v>
          </cell>
        </row>
        <row r="103">
          <cell r="D103">
            <v>5.4259E-3</v>
          </cell>
          <cell r="M103">
            <v>0.17365606929999999</v>
          </cell>
        </row>
      </sheetData>
      <sheetData sheetId="1"/>
      <sheetData sheetId="2"/>
      <sheetData sheetId="3"/>
      <sheetData sheetId="4">
        <row r="15">
          <cell r="D15">
            <v>0</v>
          </cell>
        </row>
      </sheetData>
      <sheetData sheetId="5">
        <row r="4">
          <cell r="D4">
            <v>4.5641478346943822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sheetName val="production-alphabetical"/>
      <sheetName val="production-alphabetical (2)"/>
      <sheetName val="production-alphabetical (3)"/>
      <sheetName val="direct emissions"/>
      <sheetName val="Jian's"/>
    </sheetNames>
    <sheetDataSet>
      <sheetData sheetId="0">
        <row r="3">
          <cell r="D3">
            <v>2.4752999999999998</v>
          </cell>
          <cell r="M3">
            <v>20.685313700000005</v>
          </cell>
          <cell r="N3">
            <v>8.8877999999999999E-2</v>
          </cell>
          <cell r="O3">
            <v>2.2648999999999999</v>
          </cell>
          <cell r="P3">
            <v>0.39137</v>
          </cell>
          <cell r="Q3">
            <v>3.4606999999999999E-2</v>
          </cell>
          <cell r="R3">
            <v>1.4064E-2</v>
          </cell>
          <cell r="S3">
            <v>31.951000000000001</v>
          </cell>
          <cell r="T3">
            <v>0.15866</v>
          </cell>
          <cell r="U3">
            <v>31.074999999999999</v>
          </cell>
          <cell r="V3">
            <v>0.13034999999999999</v>
          </cell>
          <cell r="W3">
            <v>0.17466000000000001</v>
          </cell>
          <cell r="X3">
            <v>1.8164E-4</v>
          </cell>
          <cell r="Y3">
            <v>1.8353E-7</v>
          </cell>
          <cell r="Z3">
            <v>5.0572000000000004E-3</v>
          </cell>
          <cell r="AA3">
            <v>5.9461000000000002E-3</v>
          </cell>
          <cell r="AB3">
            <v>1.0370000000000001E-2</v>
          </cell>
          <cell r="AC3">
            <v>1.3814999999999999E-3</v>
          </cell>
          <cell r="AD3">
            <v>2.3361E-2</v>
          </cell>
          <cell r="AE3">
            <v>1.0649E-2</v>
          </cell>
          <cell r="AF3">
            <v>0.10145</v>
          </cell>
          <cell r="AG3">
            <v>0.30706</v>
          </cell>
          <cell r="AH3">
            <v>5.5032999999999999E-2</v>
          </cell>
        </row>
        <row r="7">
          <cell r="D7">
            <v>0.70992</v>
          </cell>
          <cell r="M7">
            <v>12.491602724200002</v>
          </cell>
          <cell r="N7">
            <v>8.1276999999999999E-4</v>
          </cell>
          <cell r="O7">
            <v>0.66998999999999997</v>
          </cell>
          <cell r="P7">
            <v>0.2959</v>
          </cell>
          <cell r="Q7">
            <v>2.5509999999999999E-3</v>
          </cell>
          <cell r="R7">
            <v>1.2449000000000001E-5</v>
          </cell>
          <cell r="S7">
            <v>5.2184999999999997</v>
          </cell>
          <cell r="T7">
            <v>4.2230000000000002E-3</v>
          </cell>
          <cell r="U7">
            <v>1.5693999999999999</v>
          </cell>
          <cell r="V7">
            <v>6.1474999999999995E-4</v>
          </cell>
          <cell r="W7">
            <v>2.9989999999999999E-3</v>
          </cell>
          <cell r="X7">
            <v>1.1035E-4</v>
          </cell>
          <cell r="Y7">
            <v>5.9294000000000001E-8</v>
          </cell>
          <cell r="Z7">
            <v>7.4861999999999997E-4</v>
          </cell>
          <cell r="AA7">
            <v>2.0135999999999999E-3</v>
          </cell>
          <cell r="AB7">
            <v>2.8999999999999998E-3</v>
          </cell>
          <cell r="AC7">
            <v>5.1903000000000001E-5</v>
          </cell>
          <cell r="AD7">
            <v>3.2011000000000002E-4</v>
          </cell>
          <cell r="AE7">
            <v>8.0185999999999994E-5</v>
          </cell>
          <cell r="AF7">
            <v>1.9613999999999999E-2</v>
          </cell>
          <cell r="AG7">
            <v>6.0482000000000001E-2</v>
          </cell>
          <cell r="AH7">
            <v>3.5621E-2</v>
          </cell>
        </row>
        <row r="34">
          <cell r="D34">
            <v>3.2427000000000001</v>
          </cell>
          <cell r="M34">
            <v>78.503467299999997</v>
          </cell>
          <cell r="N34">
            <v>0.11455</v>
          </cell>
          <cell r="O34">
            <v>2.7587000000000002</v>
          </cell>
          <cell r="P34">
            <v>1.7338</v>
          </cell>
          <cell r="Q34">
            <v>0.10091</v>
          </cell>
          <cell r="R34">
            <v>1.325E-3</v>
          </cell>
          <cell r="S34">
            <v>50.4</v>
          </cell>
          <cell r="T34">
            <v>0.1552</v>
          </cell>
          <cell r="U34">
            <v>41.045000000000002</v>
          </cell>
          <cell r="V34">
            <v>2.7309999999999999E-3</v>
          </cell>
          <cell r="W34">
            <v>0.13256000000000001</v>
          </cell>
          <cell r="X34">
            <v>2.5385000000000002E-4</v>
          </cell>
          <cell r="Y34">
            <v>7.1116999999999998E-7</v>
          </cell>
          <cell r="Z34">
            <v>8.2673999999999994E-3</v>
          </cell>
          <cell r="AA34">
            <v>2.1946E-2</v>
          </cell>
          <cell r="AB34">
            <v>1.4785E-2</v>
          </cell>
          <cell r="AC34">
            <v>1.9043E-3</v>
          </cell>
          <cell r="AD34">
            <v>2.7025E-2</v>
          </cell>
          <cell r="AE34">
            <v>8.4682999999999998E-3</v>
          </cell>
          <cell r="AF34">
            <v>0.12331</v>
          </cell>
          <cell r="AG34">
            <v>0.46032000000000001</v>
          </cell>
          <cell r="AH34">
            <v>0.21404999999999999</v>
          </cell>
        </row>
        <row r="54">
          <cell r="D54">
            <v>1.3996</v>
          </cell>
          <cell r="M54">
            <v>41.582470999999998</v>
          </cell>
          <cell r="N54">
            <v>1.1153999999999999</v>
          </cell>
          <cell r="O54">
            <v>1.2186999999999999</v>
          </cell>
          <cell r="P54">
            <v>0.34281</v>
          </cell>
          <cell r="Q54">
            <v>3.4125999999999997E-2</v>
          </cell>
          <cell r="R54">
            <v>5.6773000000000001E-4</v>
          </cell>
          <cell r="S54">
            <v>16.718</v>
          </cell>
          <cell r="T54">
            <v>8.7052000000000004E-2</v>
          </cell>
          <cell r="U54">
            <v>13.432</v>
          </cell>
          <cell r="V54">
            <v>6.2411999999999997E-3</v>
          </cell>
          <cell r="W54">
            <v>5.4462000000000003E-2</v>
          </cell>
          <cell r="X54">
            <v>1.0508E-3</v>
          </cell>
          <cell r="Y54">
            <v>8.8975000000000001E-8</v>
          </cell>
          <cell r="Z54">
            <v>3.9167000000000004E-3</v>
          </cell>
          <cell r="AA54">
            <v>4.1108999999999998E-3</v>
          </cell>
          <cell r="AB54">
            <v>1.2865E-2</v>
          </cell>
          <cell r="AC54">
            <v>8.2140000000000008E-3</v>
          </cell>
          <cell r="AD54">
            <v>5.9778999999999999E-2</v>
          </cell>
          <cell r="AE54">
            <v>0.37369000000000002</v>
          </cell>
          <cell r="AF54">
            <v>0.34144999999999998</v>
          </cell>
          <cell r="AG54">
            <v>0.16486999999999999</v>
          </cell>
          <cell r="AH54">
            <v>4.3631999999999997E-2</v>
          </cell>
        </row>
        <row r="71">
          <cell r="D71">
            <v>4.0795000000000003</v>
          </cell>
          <cell r="M71">
            <v>110.42456367</v>
          </cell>
          <cell r="N71">
            <v>6.1492999999999999E-2</v>
          </cell>
          <cell r="O71">
            <v>3.6772999999999998</v>
          </cell>
          <cell r="P71">
            <v>2.5369000000000002</v>
          </cell>
          <cell r="Q71">
            <v>1.7544000000000001E-2</v>
          </cell>
          <cell r="R71">
            <v>4.2855999999999998E-4</v>
          </cell>
          <cell r="S71">
            <v>28.675000000000001</v>
          </cell>
          <cell r="T71">
            <v>8.8314000000000004E-2</v>
          </cell>
          <cell r="U71">
            <v>22.437999999999999</v>
          </cell>
          <cell r="V71">
            <v>1.6815E-2</v>
          </cell>
          <cell r="W71">
            <v>0.10779</v>
          </cell>
          <cell r="X71">
            <v>4.1534999999999999E-4</v>
          </cell>
          <cell r="Y71">
            <v>1.9926E-7</v>
          </cell>
          <cell r="Z71">
            <v>6.2411000000000003E-3</v>
          </cell>
          <cell r="AA71">
            <v>9.4280000000000006E-3</v>
          </cell>
          <cell r="AB71">
            <v>2.6443999999999999E-2</v>
          </cell>
          <cell r="AC71">
            <v>2.4615000000000001E-3</v>
          </cell>
          <cell r="AD71">
            <v>9.8277999999999994E-3</v>
          </cell>
          <cell r="AE71">
            <v>9.4646999999999995E-3</v>
          </cell>
          <cell r="AF71">
            <v>0.12259</v>
          </cell>
          <cell r="AG71">
            <v>0.33853</v>
          </cell>
          <cell r="AH71">
            <v>0.30918000000000001</v>
          </cell>
        </row>
        <row r="72">
          <cell r="D72">
            <v>11.087</v>
          </cell>
          <cell r="M72">
            <v>181.805161</v>
          </cell>
          <cell r="N72">
            <v>0.61707999999999996</v>
          </cell>
          <cell r="O72">
            <v>10.166</v>
          </cell>
          <cell r="P72">
            <v>3.73</v>
          </cell>
          <cell r="Q72">
            <v>0.14452999999999999</v>
          </cell>
          <cell r="R72">
            <v>4.7632000000000004E-3</v>
          </cell>
          <cell r="S72">
            <v>215.25</v>
          </cell>
          <cell r="T72">
            <v>0.89961000000000002</v>
          </cell>
          <cell r="U72">
            <v>169.91</v>
          </cell>
          <cell r="V72">
            <v>1.2493000000000001E-2</v>
          </cell>
          <cell r="W72">
            <v>0.67508000000000001</v>
          </cell>
          <cell r="X72">
            <v>1.4947000000000001E-3</v>
          </cell>
          <cell r="Y72">
            <v>2.8059999999999999E-6</v>
          </cell>
          <cell r="Z72">
            <v>2.8736000000000001E-2</v>
          </cell>
          <cell r="AA72">
            <v>3.1737000000000001E-2</v>
          </cell>
          <cell r="AB72">
            <v>5.6224999999999997E-2</v>
          </cell>
          <cell r="AC72">
            <v>1.0362E-2</v>
          </cell>
          <cell r="AD72">
            <v>9.0798000000000004E-2</v>
          </cell>
          <cell r="AE72">
            <v>3.2612000000000002E-2</v>
          </cell>
          <cell r="AF72">
            <v>0.45911000000000002</v>
          </cell>
          <cell r="AG72">
            <v>1.8869</v>
          </cell>
          <cell r="AH72">
            <v>0.47855999999999999</v>
          </cell>
        </row>
        <row r="74">
          <cell r="D74">
            <v>1.7427E-3</v>
          </cell>
          <cell r="M74">
            <v>2.3977627160000001E-2</v>
          </cell>
          <cell r="N74">
            <v>8.0226000000000001E-5</v>
          </cell>
          <cell r="O74">
            <v>1.603E-3</v>
          </cell>
          <cell r="P74">
            <v>4.6108999999999999E-4</v>
          </cell>
          <cell r="Q74">
            <v>2.4029E-5</v>
          </cell>
          <cell r="R74">
            <v>8.5155000000000003E-7</v>
          </cell>
          <cell r="S74">
            <v>3.1862000000000001E-2</v>
          </cell>
          <cell r="T74">
            <v>1.739E-4</v>
          </cell>
          <cell r="U74">
            <v>2.7362999999999998E-2</v>
          </cell>
          <cell r="V74">
            <v>1.7167E-6</v>
          </cell>
          <cell r="W74">
            <v>1.1456E-4</v>
          </cell>
          <cell r="X74">
            <v>2.2113E-7</v>
          </cell>
          <cell r="Y74">
            <v>7.3037000000000003E-10</v>
          </cell>
          <cell r="Z74">
            <v>5.7030000000000003E-6</v>
          </cell>
          <cell r="AA74">
            <v>4.9044E-6</v>
          </cell>
          <cell r="AB74">
            <v>8.8248000000000006E-6</v>
          </cell>
          <cell r="AC74">
            <v>1.4250999999999999E-6</v>
          </cell>
          <cell r="AD74">
            <v>1.5262000000000001E-5</v>
          </cell>
          <cell r="AE74">
            <v>1.3097E-3</v>
          </cell>
          <cell r="AF74">
            <v>7.5106999999999998E-5</v>
          </cell>
          <cell r="AG74">
            <v>2.8687E-4</v>
          </cell>
          <cell r="AH74">
            <v>6.0606000000000002E-5</v>
          </cell>
        </row>
        <row r="75">
          <cell r="D75">
            <v>2.8612000000000002</v>
          </cell>
          <cell r="M75">
            <v>77.822580110000004</v>
          </cell>
          <cell r="N75">
            <v>0.11645</v>
          </cell>
          <cell r="O75">
            <v>2.5897999999999999</v>
          </cell>
          <cell r="P75">
            <v>1.7415</v>
          </cell>
          <cell r="Q75">
            <v>3.6441000000000001E-2</v>
          </cell>
          <cell r="R75">
            <v>9.8305000000000007E-4</v>
          </cell>
          <cell r="S75">
            <v>59.360999999999997</v>
          </cell>
          <cell r="T75">
            <v>0.25631999999999999</v>
          </cell>
          <cell r="U75">
            <v>38.563000000000002</v>
          </cell>
          <cell r="V75">
            <v>1.2496999999999999E-2</v>
          </cell>
          <cell r="W75">
            <v>0.16675999999999999</v>
          </cell>
          <cell r="X75">
            <v>1.0935000000000001E-3</v>
          </cell>
          <cell r="Y75">
            <v>5.2045000000000003E-7</v>
          </cell>
          <cell r="Z75">
            <v>7.2179000000000002E-3</v>
          </cell>
          <cell r="AA75">
            <v>8.7553000000000006E-3</v>
          </cell>
          <cell r="AB75">
            <v>1.839E-2</v>
          </cell>
          <cell r="AC75">
            <v>1.839E-2</v>
          </cell>
          <cell r="AD75">
            <v>2.2100999999999999E-2</v>
          </cell>
          <cell r="AE75">
            <v>7.7352999999999996E-3</v>
          </cell>
          <cell r="AF75">
            <v>0.11523</v>
          </cell>
          <cell r="AG75">
            <v>0.51175000000000004</v>
          </cell>
          <cell r="AH75">
            <v>0.21654000000000001</v>
          </cell>
        </row>
        <row r="89">
          <cell r="D89">
            <v>8.5974000000000004</v>
          </cell>
          <cell r="M89">
            <v>92.21776761000001</v>
          </cell>
          <cell r="N89">
            <v>0.36826999999999999</v>
          </cell>
          <cell r="O89">
            <v>7.4287999999999998</v>
          </cell>
          <cell r="P89">
            <v>1.8311999999999999</v>
          </cell>
          <cell r="Q89">
            <v>0.13183</v>
          </cell>
          <cell r="R89">
            <v>3.4123999999999999E-3</v>
          </cell>
          <cell r="S89">
            <v>121.42</v>
          </cell>
          <cell r="T89">
            <v>0.46332000000000001</v>
          </cell>
          <cell r="U89">
            <v>152.15</v>
          </cell>
          <cell r="V89">
            <v>7.9149000000000008E-3</v>
          </cell>
          <cell r="W89">
            <v>0.23019999999999999</v>
          </cell>
          <cell r="X89">
            <v>1.7210000000000001E-3</v>
          </cell>
          <cell r="Y89">
            <v>7.6133999999999996E-7</v>
          </cell>
          <cell r="Z89">
            <v>1.9774E-2</v>
          </cell>
          <cell r="AA89">
            <v>2.9107000000000001E-2</v>
          </cell>
          <cell r="AB89">
            <v>4.1057999999999997E-2</v>
          </cell>
          <cell r="AC89">
            <v>4.3298E-3</v>
          </cell>
          <cell r="AD89">
            <v>0.1129</v>
          </cell>
          <cell r="AE89">
            <v>7.9020000000000007E-2</v>
          </cell>
          <cell r="AF89">
            <v>0.32826</v>
          </cell>
          <cell r="AG89">
            <v>1.1247</v>
          </cell>
          <cell r="AH89">
            <v>0.25229000000000001</v>
          </cell>
        </row>
        <row r="103">
          <cell r="D103">
            <v>5.4259E-3</v>
          </cell>
          <cell r="M103">
            <v>0.17365606929999999</v>
          </cell>
          <cell r="N103">
            <v>2.8051999999999998E-4</v>
          </cell>
          <cell r="O103">
            <v>5.1062E-3</v>
          </cell>
          <cell r="P103">
            <v>4.0477000000000004E-3</v>
          </cell>
          <cell r="Q103">
            <v>2.4984999999999999E-5</v>
          </cell>
          <cell r="R103">
            <v>6.018E-7</v>
          </cell>
          <cell r="S103">
            <v>3.8490000000000003E-2</v>
          </cell>
          <cell r="T103">
            <v>7.4255000000000002E-4</v>
          </cell>
          <cell r="U103">
            <v>2.7300999999999999E-2</v>
          </cell>
          <cell r="V103">
            <v>1.7286999999999999E-5</v>
          </cell>
          <cell r="W103">
            <v>2.1064E-4</v>
          </cell>
          <cell r="X103">
            <v>-3.9805999999999998E-5</v>
          </cell>
          <cell r="Y103">
            <v>1.908E-9</v>
          </cell>
          <cell r="Z103">
            <v>1.8263000000000001E-5</v>
          </cell>
          <cell r="AA103">
            <v>5.5226000000000003E-5</v>
          </cell>
          <cell r="AB103">
            <v>4.6202000000000003E-5</v>
          </cell>
          <cell r="AC103">
            <v>5.57E-6</v>
          </cell>
          <cell r="AD103">
            <v>1.0223000000000001E-3</v>
          </cell>
          <cell r="AE103">
            <v>7.3827999999999999E-6</v>
          </cell>
          <cell r="AF103">
            <v>4.1576999999999999E-4</v>
          </cell>
          <cell r="AG103">
            <v>4.8026999999999998E-4</v>
          </cell>
          <cell r="AH103">
            <v>4.9516000000000002E-4</v>
          </cell>
        </row>
        <row r="104">
          <cell r="D104">
            <v>1.2696000000000001</v>
          </cell>
          <cell r="M104">
            <v>58.586084650000004</v>
          </cell>
          <cell r="N104">
            <v>5.4158999999999999E-2</v>
          </cell>
          <cell r="O104">
            <v>1.0815999999999999</v>
          </cell>
          <cell r="P104">
            <v>1.3033999999999999</v>
          </cell>
          <cell r="Q104">
            <v>2.2741000000000001E-2</v>
          </cell>
          <cell r="R104">
            <v>5.0582999999999997E-4</v>
          </cell>
          <cell r="S104">
            <v>33.625</v>
          </cell>
          <cell r="T104">
            <v>0.18521000000000001</v>
          </cell>
          <cell r="U104">
            <v>19.648</v>
          </cell>
          <cell r="V104">
            <v>9.9444000000000008E-4</v>
          </cell>
          <cell r="W104">
            <v>0.10894</v>
          </cell>
          <cell r="X104">
            <v>5.6817E-4</v>
          </cell>
          <cell r="Y104">
            <v>3.1627000000000001E-7</v>
          </cell>
          <cell r="Z104">
            <v>1.7206000000000001E-3</v>
          </cell>
          <cell r="AA104">
            <v>3.9411999999999997E-3</v>
          </cell>
          <cell r="AB104">
            <v>5.1390999999999997E-3</v>
          </cell>
          <cell r="AC104">
            <v>9.7420000000000004E-4</v>
          </cell>
          <cell r="AD104">
            <v>9.5762E-3</v>
          </cell>
          <cell r="AE104">
            <v>3.8428999999999998E-3</v>
          </cell>
          <cell r="AF104">
            <v>4.9723000000000003E-2</v>
          </cell>
          <cell r="AG104">
            <v>0.27034000000000002</v>
          </cell>
          <cell r="AH104">
            <v>0.16134000000000001</v>
          </cell>
        </row>
      </sheetData>
      <sheetData sheetId="1"/>
      <sheetData sheetId="2" refreshError="1"/>
      <sheetData sheetId="3" refreshError="1"/>
      <sheetData sheetId="4">
        <row r="15">
          <cell r="D15">
            <v>0</v>
          </cell>
          <cell r="M15">
            <v>0</v>
          </cell>
          <cell r="Q15">
            <v>1.0511520897095683E-5</v>
          </cell>
          <cell r="S15">
            <v>1.4366951661669828E-2</v>
          </cell>
          <cell r="U15">
            <v>1.7867815068253627E-5</v>
          </cell>
          <cell r="AA15">
            <v>0.67398648648648651</v>
          </cell>
          <cell r="AC15">
            <v>3.7179897031113646E-5</v>
          </cell>
          <cell r="AF15">
            <v>8.1614583487299999E-6</v>
          </cell>
          <cell r="AG15">
            <v>3.5455940620700001E-4</v>
          </cell>
        </row>
        <row r="24">
          <cell r="D24">
            <v>0</v>
          </cell>
          <cell r="M24">
            <v>0</v>
          </cell>
          <cell r="AA24">
            <v>0.3175675675675676</v>
          </cell>
          <cell r="AG24">
            <v>1.20830586684E-4</v>
          </cell>
        </row>
        <row r="25">
          <cell r="D25">
            <v>0</v>
          </cell>
          <cell r="M25">
            <v>0</v>
          </cell>
          <cell r="Q25">
            <v>1.8285430284917717E-5</v>
          </cell>
          <cell r="S25">
            <v>0.14896775129815301</v>
          </cell>
          <cell r="U25">
            <v>7.4567515026773893E-5</v>
          </cell>
          <cell r="AA25">
            <v>0.1587837837837838</v>
          </cell>
          <cell r="AC25">
            <v>3.0347324622674447E-5</v>
          </cell>
          <cell r="AF25">
            <v>6.6891399295099997E-6</v>
          </cell>
          <cell r="AG25">
            <v>1.0777560339100001E-3</v>
          </cell>
        </row>
        <row r="26">
          <cell r="D26">
            <v>0</v>
          </cell>
          <cell r="M26">
            <v>0</v>
          </cell>
          <cell r="Q26">
            <v>5.5239331204532241E-6</v>
          </cell>
          <cell r="U26">
            <v>3.2144404879240416E-7</v>
          </cell>
          <cell r="AC26">
            <v>1.3004211950132588E-4</v>
          </cell>
        </row>
        <row r="28">
          <cell r="D28">
            <v>0</v>
          </cell>
          <cell r="M28">
            <v>0</v>
          </cell>
        </row>
        <row r="30">
          <cell r="D30">
            <v>0</v>
          </cell>
          <cell r="M30">
            <v>0</v>
          </cell>
          <cell r="Q30">
            <v>1.7003303175320737E-4</v>
          </cell>
          <cell r="S30">
            <v>0.47081152258220021</v>
          </cell>
          <cell r="U30">
            <v>1.7402003843569559E-3</v>
          </cell>
          <cell r="AC30">
            <v>3.7040677832114982E-4</v>
          </cell>
          <cell r="AF30">
            <v>8.1790920700099996E-5</v>
          </cell>
          <cell r="AG30">
            <v>3.2152982030000002E-3</v>
          </cell>
        </row>
        <row r="31">
          <cell r="D31">
            <v>0</v>
          </cell>
          <cell r="M31">
            <v>0</v>
          </cell>
          <cell r="Q31">
            <v>7.2393455475090209E-4</v>
          </cell>
          <cell r="U31">
            <v>8.2456497860484632E-3</v>
          </cell>
          <cell r="AC31">
            <v>4.2877556391883285E-4</v>
          </cell>
        </row>
      </sheetData>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ion"/>
      <sheetName val="production-alphabetical"/>
      <sheetName val="production-alphabetical (2)"/>
      <sheetName val="production-alphabetical (3)"/>
      <sheetName val="direct emissions"/>
      <sheetName val="Jian's"/>
    </sheetNames>
    <sheetDataSet>
      <sheetData sheetId="0">
        <row r="46">
          <cell r="D46">
            <v>2.6876000000000002</v>
          </cell>
          <cell r="M46">
            <v>40.380196750000003</v>
          </cell>
          <cell r="N46">
            <v>0.14061999999999999</v>
          </cell>
          <cell r="O46">
            <v>2.4859</v>
          </cell>
          <cell r="P46">
            <v>0.71387</v>
          </cell>
          <cell r="Q46">
            <v>3.5333999999999997E-2</v>
          </cell>
          <cell r="R46">
            <v>1.4566E-3</v>
          </cell>
          <cell r="S46">
            <v>46.789000000000001</v>
          </cell>
          <cell r="T46">
            <v>0.41410999999999998</v>
          </cell>
          <cell r="U46">
            <v>40.326999999999998</v>
          </cell>
          <cell r="V46">
            <v>2.4256999999999998E-3</v>
          </cell>
          <cell r="W46">
            <v>3.2414999999999999E-2</v>
          </cell>
          <cell r="X46">
            <v>2.9548999999999998E-4</v>
          </cell>
          <cell r="Y46">
            <v>1.4875000000000001E-7</v>
          </cell>
          <cell r="Z46">
            <v>8.3315000000000004E-3</v>
          </cell>
          <cell r="AA46">
            <v>6.6281999999999999E-3</v>
          </cell>
          <cell r="AB46">
            <v>1.3127E-2</v>
          </cell>
          <cell r="AC46">
            <v>8.9937000000000003E-4</v>
          </cell>
          <cell r="AD46">
            <v>1.5989E-2</v>
          </cell>
          <cell r="AE46">
            <v>1.0525E-2</v>
          </cell>
          <cell r="AF46">
            <v>0.10639</v>
          </cell>
          <cell r="AG46">
            <v>0.42542000000000002</v>
          </cell>
          <cell r="AH46">
            <v>8.7106000000000003E-2</v>
          </cell>
        </row>
        <row r="67">
          <cell r="D67">
            <v>2.3182999999999998</v>
          </cell>
          <cell r="M67">
            <v>67.359827543199998</v>
          </cell>
          <cell r="N67">
            <v>3.815E-4</v>
          </cell>
          <cell r="O67">
            <v>1.9301999999999999</v>
          </cell>
          <cell r="P67">
            <v>1.5439000000000001</v>
          </cell>
          <cell r="Q67">
            <v>1.6306999999999999E-2</v>
          </cell>
          <cell r="R67">
            <v>1.5555000000000001E-4</v>
          </cell>
          <cell r="S67">
            <v>1.0630999999999999</v>
          </cell>
          <cell r="T67">
            <v>3.0912000000000002E-4</v>
          </cell>
          <cell r="U67">
            <v>2.0948000000000002</v>
          </cell>
          <cell r="V67">
            <v>1.8067000000000001E-3</v>
          </cell>
          <cell r="W67">
            <v>1.2439E-3</v>
          </cell>
          <cell r="X67">
            <v>-1.8767000000000001E-7</v>
          </cell>
          <cell r="Y67">
            <v>9.5567000000000007E-10</v>
          </cell>
          <cell r="Z67">
            <v>2.7970999999999998E-3</v>
          </cell>
          <cell r="AA67">
            <v>9.0612999999999996E-3</v>
          </cell>
          <cell r="AB67">
            <v>1.0168E-2</v>
          </cell>
          <cell r="AC67">
            <v>1.794E-4</v>
          </cell>
          <cell r="AD67">
            <v>1.6490999999999999E-4</v>
          </cell>
          <cell r="AE67">
            <v>1.3814E-4</v>
          </cell>
          <cell r="AF67">
            <v>5.3408999999999998E-2</v>
          </cell>
          <cell r="AG67">
            <v>8.3083000000000004E-2</v>
          </cell>
          <cell r="AH67">
            <v>0.1852</v>
          </cell>
        </row>
        <row r="91">
          <cell r="D91">
            <v>1.1845000000000001</v>
          </cell>
          <cell r="M91">
            <v>16.137803399999999</v>
          </cell>
          <cell r="N91">
            <v>4.6581999999999998E-2</v>
          </cell>
          <cell r="O91">
            <v>1.0933999999999999</v>
          </cell>
          <cell r="P91">
            <v>0.30948999999999999</v>
          </cell>
          <cell r="Q91">
            <v>1.4300999999999999E-2</v>
          </cell>
          <cell r="R91">
            <v>5.8091999999999996E-4</v>
          </cell>
          <cell r="S91">
            <v>19.337</v>
          </cell>
          <cell r="T91">
            <v>0.12024</v>
          </cell>
          <cell r="U91">
            <v>16.533999999999999</v>
          </cell>
          <cell r="V91">
            <v>1.0808E-3</v>
          </cell>
          <cell r="W91">
            <v>1.2095E-2</v>
          </cell>
          <cell r="X91">
            <v>1.2846E-4</v>
          </cell>
          <cell r="Y91">
            <v>5.3706999999999999E-8</v>
          </cell>
          <cell r="Z91">
            <v>3.9915000000000003E-3</v>
          </cell>
          <cell r="AA91">
            <v>2.9899000000000002E-3</v>
          </cell>
          <cell r="AB91">
            <v>5.8507000000000003E-3</v>
          </cell>
          <cell r="AC91">
            <v>3.7492999999999999E-4</v>
          </cell>
          <cell r="AD91">
            <v>7.1199999999999996E-3</v>
          </cell>
          <cell r="AE91">
            <v>4.3444E-3</v>
          </cell>
          <cell r="AF91">
            <v>4.5281000000000002E-2</v>
          </cell>
          <cell r="AG91">
            <v>0.17960000000000001</v>
          </cell>
          <cell r="AH91">
            <v>3.7673999999999999E-2</v>
          </cell>
        </row>
        <row r="133">
          <cell r="D133">
            <v>5.0429000000000004</v>
          </cell>
          <cell r="M133">
            <v>72.516837530000004</v>
          </cell>
          <cell r="N133">
            <v>0.36879000000000001</v>
          </cell>
          <cell r="O133">
            <v>4.6026999999999996</v>
          </cell>
          <cell r="P133">
            <v>1.3364</v>
          </cell>
          <cell r="Q133">
            <v>4.9623999999999997</v>
          </cell>
          <cell r="R133">
            <v>0.1462</v>
          </cell>
          <cell r="S133">
            <v>12489</v>
          </cell>
          <cell r="T133">
            <v>0.46650000000000003</v>
          </cell>
          <cell r="U133">
            <v>6530.1</v>
          </cell>
          <cell r="V133">
            <v>3.0044000000000001E-2</v>
          </cell>
          <cell r="W133">
            <v>47.875</v>
          </cell>
          <cell r="X133">
            <v>1.9903999999999998E-3</v>
          </cell>
          <cell r="Y133">
            <v>3.0008000000000002E-7</v>
          </cell>
          <cell r="Z133">
            <v>0.14541000000000001</v>
          </cell>
          <cell r="AA133">
            <v>9.3449000000000004E-2</v>
          </cell>
          <cell r="AB133">
            <v>0.48734</v>
          </cell>
          <cell r="AC133">
            <v>0.61521000000000003</v>
          </cell>
          <cell r="AD133">
            <v>0.43630999999999998</v>
          </cell>
          <cell r="AE133">
            <v>0.16158</v>
          </cell>
          <cell r="AF133">
            <v>2.3043</v>
          </cell>
          <cell r="AG133">
            <v>85.805999999999997</v>
          </cell>
          <cell r="AH133">
            <v>2.3824999999999998</v>
          </cell>
        </row>
      </sheetData>
      <sheetData sheetId="1"/>
      <sheetData sheetId="2"/>
      <sheetData sheetId="3"/>
      <sheetData sheetId="4">
        <row r="39">
          <cell r="D39">
            <v>0</v>
          </cell>
          <cell r="M39">
            <v>0</v>
          </cell>
          <cell r="Q39">
            <v>40.124148502200001</v>
          </cell>
          <cell r="S39">
            <v>52.091288566700001</v>
          </cell>
          <cell r="U39">
            <v>91486.4735506</v>
          </cell>
          <cell r="AC39">
            <v>420.11577236699998</v>
          </cell>
          <cell r="AF39">
            <v>115.505179849</v>
          </cell>
          <cell r="AG39">
            <v>0.35574538533400002</v>
          </cell>
        </row>
      </sheetData>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6">
          <cell r="P26">
            <v>81.665404808643643</v>
          </cell>
          <cell r="Y26">
            <v>1446.6424002801964</v>
          </cell>
          <cell r="Z26">
            <v>1.3692179816810384</v>
          </cell>
          <cell r="AA26">
            <v>76.707040101384948</v>
          </cell>
          <cell r="AB26">
            <v>33.561721051357537</v>
          </cell>
          <cell r="AC26">
            <v>0.35568752372530332</v>
          </cell>
          <cell r="AD26">
            <v>2.704475601813779E-3</v>
          </cell>
          <cell r="AE26">
            <v>639.67448101392915</v>
          </cell>
          <cell r="AF26">
            <v>0.62446710490474078</v>
          </cell>
          <cell r="AG26">
            <v>219.82436527476648</v>
          </cell>
          <cell r="AH26">
            <v>7.5598486052884772E-2</v>
          </cell>
          <cell r="AI26">
            <v>0.43165765893700175</v>
          </cell>
          <cell r="AJ26">
            <v>1.3488754734245786E-2</v>
          </cell>
          <cell r="AK26">
            <v>1.4781877491518088E-4</v>
          </cell>
          <cell r="AL26">
            <v>8.9622580502144666E-2</v>
          </cell>
          <cell r="AM26">
            <v>0.28199200856559198</v>
          </cell>
          <cell r="AN26">
            <v>0.34025771519464187</v>
          </cell>
          <cell r="AO26">
            <v>1.5191694739669524E-2</v>
          </cell>
          <cell r="AP26">
            <v>0.10671875893842762</v>
          </cell>
          <cell r="AQ26">
            <v>0.38963274453124486</v>
          </cell>
          <cell r="AR26">
            <v>2.5744651778326957</v>
          </cell>
          <cell r="AS26">
            <v>7.2256215288857444</v>
          </cell>
          <cell r="AT26">
            <v>4.0444655893107164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0">
          <cell r="K20">
            <v>3619.4165229724927</v>
          </cell>
          <cell r="T20">
            <v>63759.161867241099</v>
          </cell>
          <cell r="U20">
            <v>31.840377212503398</v>
          </cell>
          <cell r="V20">
            <v>3415.5341252106105</v>
          </cell>
          <cell r="W20">
            <v>1504.8676850939303</v>
          </cell>
          <cell r="X20">
            <v>14.971837215344118</v>
          </cell>
          <cell r="Y20">
            <v>9.9188951698497854E-2</v>
          </cell>
          <cell r="Z20">
            <v>28479.24452442132</v>
          </cell>
          <cell r="AA20">
            <v>23.242815202118681</v>
          </cell>
          <cell r="AB20">
            <v>9591.6896222264804</v>
          </cell>
          <cell r="AC20">
            <v>3.1379267584118589</v>
          </cell>
          <cell r="AD20">
            <v>16.202766300404043</v>
          </cell>
          <cell r="AE20">
            <v>0.56292328992403973</v>
          </cell>
          <cell r="AF20">
            <v>3.0438648131477213E-4</v>
          </cell>
          <cell r="AG20">
            <v>3.851403574106639</v>
          </cell>
          <cell r="AH20">
            <v>10.26482617192319</v>
          </cell>
          <cell r="AI20">
            <v>14.816150072128218</v>
          </cell>
          <cell r="AJ20">
            <v>0.32738281630246646</v>
          </cell>
          <cell r="AK20">
            <v>2.1808609132535546</v>
          </cell>
          <cell r="AL20">
            <v>0.49193378894652123</v>
          </cell>
          <cell r="AM20">
            <v>101.31825938616946</v>
          </cell>
          <cell r="AN20">
            <v>321.15289678402326</v>
          </cell>
          <cell r="AO20">
            <v>181.20280974080879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2">
          <cell r="P22">
            <v>3.8500270966288177</v>
          </cell>
          <cell r="Y22">
            <v>50.481588540475641</v>
          </cell>
          <cell r="Z22">
            <v>1.1414143288941561</v>
          </cell>
          <cell r="AA22">
            <v>3.5367107854779132</v>
          </cell>
          <cell r="AB22">
            <v>0.91536753821531702</v>
          </cell>
          <cell r="AC22">
            <v>8.7165002729624477E-2</v>
          </cell>
          <cell r="AD22">
            <v>2.6065481838007604E-3</v>
          </cell>
          <cell r="AE22">
            <v>235.173374582939</v>
          </cell>
          <cell r="AF22">
            <v>0.20365425206538271</v>
          </cell>
          <cell r="AG22">
            <v>101.18297225252564</v>
          </cell>
          <cell r="AH22">
            <v>7.1443014135777159E-3</v>
          </cell>
          <cell r="AI22">
            <v>1.1135693836009284</v>
          </cell>
          <cell r="AJ22">
            <v>5.7698403626534349E-4</v>
          </cell>
          <cell r="AK22">
            <v>3.5068350443499273E-7</v>
          </cell>
          <cell r="AL22">
            <v>1.9455360691902179E-2</v>
          </cell>
          <cell r="AM22">
            <v>4.8956977259526725E-2</v>
          </cell>
          <cell r="AN22">
            <v>5.9582597279202475E-2</v>
          </cell>
          <cell r="AO22">
            <v>5.0805198933465056E-3</v>
          </cell>
          <cell r="AP22">
            <v>4.3553058494069478E-2</v>
          </cell>
          <cell r="AQ22">
            <v>1.8628923628353774E-2</v>
          </cell>
          <cell r="AR22">
            <v>0.1951487691440901</v>
          </cell>
          <cell r="AS22">
            <v>1.7707323806433657</v>
          </cell>
          <cell r="AT22">
            <v>0.16145696265227133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ory"/>
    </sheetNames>
    <sheetDataSet>
      <sheetData sheetId="0">
        <row r="37">
          <cell r="AZ37">
            <v>44.411730993196358</v>
          </cell>
          <cell r="BA37">
            <v>696.68224470958626</v>
          </cell>
          <cell r="BB37">
            <v>3.6806699140222356</v>
          </cell>
          <cell r="BC37">
            <v>37.710629473481568</v>
          </cell>
          <cell r="BD37">
            <v>14.96767734166526</v>
          </cell>
          <cell r="BE37">
            <v>2.1711415769761628</v>
          </cell>
          <cell r="BF37">
            <v>4.1372565220983183E-2</v>
          </cell>
          <cell r="BG37">
            <v>1859.5106856355687</v>
          </cell>
          <cell r="BH37">
            <v>2.0250794512725352</v>
          </cell>
          <cell r="BI37">
            <v>1528.7835608210237</v>
          </cell>
          <cell r="BJ37">
            <v>4.5267001206842225E-2</v>
          </cell>
          <cell r="BK37">
            <v>1.3527509012407135</v>
          </cell>
          <cell r="BL37">
            <v>6.3269573012995871E-3</v>
          </cell>
          <cell r="BM37">
            <v>5.2828318677713405E-6</v>
          </cell>
          <cell r="BN37">
            <v>9.0331570435414718E-2</v>
          </cell>
          <cell r="BO37">
            <v>0.13230009305618093</v>
          </cell>
          <cell r="BP37">
            <v>0.28418680101475047</v>
          </cell>
          <cell r="BQ37">
            <v>3.5106726735657727E-2</v>
          </cell>
          <cell r="BR37">
            <v>0.35671015815232626</v>
          </cell>
          <cell r="BS37">
            <v>9.0768947753529394E-2</v>
          </cell>
          <cell r="BT37">
            <v>1.7668420917082541</v>
          </cell>
          <cell r="BU37">
            <v>14.246940611958491</v>
          </cell>
          <cell r="BV37">
            <v>1.8575517807778932</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O with TiO2"/>
      <sheetName val="ITO"/>
      <sheetName val="FTO with TiO2-old"/>
      <sheetName val="ITO-old"/>
    </sheetNames>
    <sheetDataSet>
      <sheetData sheetId="0">
        <row r="25">
          <cell r="U25">
            <v>2.6824762082719671</v>
          </cell>
          <cell r="V25">
            <v>3.9863997770141872</v>
          </cell>
        </row>
        <row r="33">
          <cell r="U33">
            <v>6.0357972033270002</v>
          </cell>
          <cell r="V33">
            <v>140.95794733817957</v>
          </cell>
        </row>
      </sheetData>
      <sheetData sheetId="1">
        <row r="19">
          <cell r="E19">
            <v>0.15812767160784313</v>
          </cell>
        </row>
      </sheetData>
      <sheetData sheetId="2">
        <row r="28">
          <cell r="Q28">
            <v>6.2954943647999988</v>
          </cell>
        </row>
      </sheetData>
      <sheetData sheetId="3">
        <row r="23">
          <cell r="E23">
            <v>0.15919747552941177</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 inventory"/>
      <sheetName val="SA"/>
      <sheetName val="energy consumption"/>
      <sheetName val="results"/>
      <sheetName val="Uncertainty"/>
      <sheetName val="CB_DATA_"/>
    </sheetNames>
    <sheetDataSet>
      <sheetData sheetId="0">
        <row r="2">
          <cell r="B2">
            <v>0.9</v>
          </cell>
        </row>
        <row r="13">
          <cell r="U13" t="str">
            <v>Carbon footprint</v>
          </cell>
          <cell r="V13" t="str">
            <v>Primary energy consumption</v>
          </cell>
        </row>
        <row r="14">
          <cell r="S14" t="str">
            <v>FTO glass</v>
          </cell>
          <cell r="U14">
            <v>0.34780676817599987</v>
          </cell>
          <cell r="V14">
            <v>8.5029036949120105</v>
          </cell>
        </row>
        <row r="15">
          <cell r="S15" t="str">
            <v>Ethanol</v>
          </cell>
          <cell r="U15">
            <v>7.2156912392727255E-3</v>
          </cell>
          <cell r="V15">
            <v>0.21438001693484721</v>
          </cell>
        </row>
        <row r="16">
          <cell r="S16" t="str">
            <v>Acetone</v>
          </cell>
          <cell r="U16">
            <v>3.4079009999999986E-2</v>
          </cell>
          <cell r="V16">
            <v>0.99018946488503967</v>
          </cell>
        </row>
        <row r="17">
          <cell r="S17" t="str">
            <v>Deionized water</v>
          </cell>
          <cell r="U17">
            <v>5.6916581999999992E-6</v>
          </cell>
          <cell r="V17">
            <v>7.8310930304559991E-5</v>
          </cell>
        </row>
        <row r="18">
          <cell r="U18">
            <v>1.1382696060619048E-3</v>
          </cell>
          <cell r="V18">
            <v>3.0850478127392843E-2</v>
          </cell>
        </row>
        <row r="19">
          <cell r="U19">
            <v>7.2734003999999988E-4</v>
          </cell>
          <cell r="V19">
            <v>7.801623139805999E-3</v>
          </cell>
        </row>
        <row r="20">
          <cell r="U20">
            <v>2.5223725128436875E-2</v>
          </cell>
          <cell r="V20">
            <v>0.44681968269564831</v>
          </cell>
        </row>
        <row r="21">
          <cell r="U21">
            <v>3.967277566008961E-3</v>
          </cell>
          <cell r="V21">
            <v>4.7175585678547176E-2</v>
          </cell>
        </row>
        <row r="22">
          <cell r="U22">
            <v>0.13488413735426555</v>
          </cell>
          <cell r="V22">
            <v>2.376101090413008</v>
          </cell>
        </row>
        <row r="23">
          <cell r="U23">
            <v>4.7014751158128897E-4</v>
          </cell>
          <cell r="V23">
            <v>6.1645782321264834E-3</v>
          </cell>
        </row>
        <row r="24">
          <cell r="U24">
            <v>3.5274443549950076E-3</v>
          </cell>
          <cell r="V24">
            <v>9.594394691044536E-2</v>
          </cell>
        </row>
        <row r="25">
          <cell r="U25">
            <v>4.5597346337695696E-4</v>
          </cell>
          <cell r="V25">
            <v>2.1041036486732889E-2</v>
          </cell>
        </row>
        <row r="26">
          <cell r="U26">
            <v>1.8214246032301103E-2</v>
          </cell>
          <cell r="V26">
            <v>0.44095397902701583</v>
          </cell>
        </row>
        <row r="27">
          <cell r="U27">
            <v>4.4243052345403516E-2</v>
          </cell>
          <cell r="V27">
            <v>0.71271985219058731</v>
          </cell>
        </row>
        <row r="28">
          <cell r="U28">
            <v>1.8929435795174367E-3</v>
          </cell>
          <cell r="V28">
            <v>2.9694410746765015E-2</v>
          </cell>
        </row>
        <row r="29">
          <cell r="U29">
            <v>8.0393424992440069E-4</v>
          </cell>
          <cell r="V29">
            <v>2.1761021881914613E-2</v>
          </cell>
        </row>
        <row r="31">
          <cell r="U31">
            <v>1.4818854345165239E-3</v>
          </cell>
          <cell r="V31">
            <v>2.4300028863157897E-2</v>
          </cell>
        </row>
        <row r="32">
          <cell r="U32">
            <v>3.0363906048000004E-3</v>
          </cell>
          <cell r="V32">
            <v>4.3663258078863364E-2</v>
          </cell>
        </row>
        <row r="33">
          <cell r="U33">
            <v>0.23246925575757577</v>
          </cell>
          <cell r="V33">
            <v>3.4927646546424245</v>
          </cell>
        </row>
        <row r="34">
          <cell r="U34">
            <v>1.0245566060606062E-4</v>
          </cell>
          <cell r="V34">
            <v>1.3958710916654544E-3</v>
          </cell>
        </row>
        <row r="35">
          <cell r="U35">
            <v>0</v>
          </cell>
          <cell r="V35">
            <v>0</v>
          </cell>
        </row>
        <row r="58">
          <cell r="U58">
            <v>5.7228935999999982E-5</v>
          </cell>
          <cell r="V58">
            <v>4.7824445274400002E-4</v>
          </cell>
        </row>
        <row r="65">
          <cell r="F65">
            <v>0.50458404007731994</v>
          </cell>
        </row>
      </sheetData>
      <sheetData sheetId="1" refreshError="1"/>
      <sheetData sheetId="2">
        <row r="3">
          <cell r="N3" t="str">
            <v>Sonication</v>
          </cell>
          <cell r="P3">
            <v>0.28396800022717433</v>
          </cell>
          <cell r="Q3">
            <v>4.9966410936773125</v>
          </cell>
        </row>
        <row r="4">
          <cell r="N4" t="str">
            <v>Spray pyrolysis</v>
          </cell>
          <cell r="P4">
            <v>2.0358858304232818E-6</v>
          </cell>
          <cell r="Q4">
            <v>3.5823018066085824E-5</v>
          </cell>
        </row>
        <row r="5">
          <cell r="N5" t="str">
            <v>ETL spin coating</v>
          </cell>
          <cell r="P5">
            <v>0.21954647633780475</v>
          </cell>
          <cell r="Q5">
            <v>3.8630935343557486</v>
          </cell>
        </row>
        <row r="6">
          <cell r="N6" t="str">
            <v>ETL calcining</v>
          </cell>
          <cell r="P6">
            <v>1.7038080013630461</v>
          </cell>
          <cell r="Q6">
            <v>29.979846562063877</v>
          </cell>
        </row>
        <row r="7">
          <cell r="N7" t="str">
            <v>PL 1st-step spin coating</v>
          </cell>
          <cell r="P7">
            <v>8.4576274476780081E-2</v>
          </cell>
          <cell r="Q7">
            <v>1.4881863036072136</v>
          </cell>
        </row>
        <row r="8">
          <cell r="N8" t="str">
            <v>PL 2nd-step spin coating</v>
          </cell>
          <cell r="P8">
            <v>8.2436494732517538</v>
          </cell>
          <cell r="Q8">
            <v>145.05351901259513</v>
          </cell>
        </row>
        <row r="9">
          <cell r="N9" t="str">
            <v>PL drying</v>
          </cell>
          <cell r="P9">
            <v>15.334272012267418</v>
          </cell>
          <cell r="Q9">
            <v>269.81861905857494</v>
          </cell>
        </row>
        <row r="10">
          <cell r="N10" t="str">
            <v>HTL spin coating</v>
          </cell>
          <cell r="P10">
            <v>1.5223729405820419</v>
          </cell>
          <cell r="Q10">
            <v>26.787353464929854</v>
          </cell>
        </row>
        <row r="11">
          <cell r="N11" t="str">
            <v>Electrode sputtering</v>
          </cell>
          <cell r="P11">
            <v>5.0088800040071035</v>
          </cell>
          <cell r="Q11">
            <v>88.135197069030383</v>
          </cell>
        </row>
        <row r="13">
          <cell r="P13">
            <v>1.6328160013062525E-2</v>
          </cell>
          <cell r="Q13">
            <v>0.28730686288644547</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73"/>
  <sheetViews>
    <sheetView tabSelected="1" topLeftCell="A10" zoomScale="85" zoomScaleNormal="85" workbookViewId="0">
      <selection activeCell="V43" sqref="V43"/>
    </sheetView>
  </sheetViews>
  <sheetFormatPr defaultRowHeight="15"/>
  <cols>
    <col min="1" max="1" width="42.5703125" customWidth="1"/>
    <col min="2" max="5" width="14.85546875" style="4" customWidth="1"/>
    <col min="6" max="6" width="14.28515625" style="63" customWidth="1"/>
    <col min="7" max="7" width="40.140625" customWidth="1"/>
    <col min="8" max="8" width="17.5703125" hidden="1" customWidth="1"/>
    <col min="9" max="16" width="9.140625" hidden="1" customWidth="1"/>
    <col min="17" max="17" width="9.5703125" hidden="1" customWidth="1"/>
    <col min="18" max="18" width="9.7109375" hidden="1" customWidth="1"/>
    <col min="19" max="19" width="22" customWidth="1"/>
    <col min="20" max="20" width="17.5703125" customWidth="1"/>
    <col min="21" max="21" width="20" style="74" customWidth="1"/>
    <col min="22" max="22" width="28.7109375" style="74" customWidth="1"/>
    <col min="23" max="43" width="18.28515625" style="74" customWidth="1"/>
    <col min="44" max="45" width="12.7109375" customWidth="1"/>
  </cols>
  <sheetData>
    <row r="1" spans="1:44" s="3" customFormat="1" ht="30.75" customHeight="1">
      <c r="A1" s="5" t="s">
        <v>164</v>
      </c>
      <c r="B1" s="6" t="s">
        <v>0</v>
      </c>
      <c r="C1" s="6" t="s">
        <v>1</v>
      </c>
      <c r="D1" s="6" t="s">
        <v>2</v>
      </c>
      <c r="E1" s="6" t="s">
        <v>3</v>
      </c>
      <c r="F1" s="60" t="s">
        <v>4</v>
      </c>
      <c r="G1" s="116" t="s">
        <v>5</v>
      </c>
      <c r="H1" s="116"/>
      <c r="S1" s="81"/>
      <c r="T1" s="81"/>
      <c r="U1" s="81"/>
      <c r="V1" s="81"/>
      <c r="W1" s="117" t="s">
        <v>44</v>
      </c>
      <c r="X1" s="117"/>
      <c r="Y1" s="117"/>
      <c r="Z1" s="117"/>
      <c r="AA1" s="117"/>
      <c r="AB1" s="117"/>
      <c r="AC1" s="117"/>
      <c r="AD1" s="117"/>
      <c r="AE1" s="117"/>
      <c r="AF1" s="117"/>
      <c r="AG1" s="117"/>
      <c r="AH1" s="117"/>
      <c r="AI1" s="117"/>
      <c r="AJ1" s="117"/>
      <c r="AK1" s="117"/>
      <c r="AL1" s="117"/>
      <c r="AM1" s="117"/>
      <c r="AN1" s="117"/>
      <c r="AO1" s="118" t="s">
        <v>45</v>
      </c>
      <c r="AP1" s="118"/>
      <c r="AQ1" s="118"/>
    </row>
    <row r="2" spans="1:44">
      <c r="A2" s="7" t="s">
        <v>6</v>
      </c>
      <c r="B2" s="2"/>
      <c r="C2" s="2"/>
      <c r="D2" s="2"/>
      <c r="E2" s="2"/>
      <c r="F2" s="61"/>
      <c r="G2" s="1"/>
      <c r="H2" s="1"/>
      <c r="S2" s="78"/>
      <c r="T2" s="78"/>
      <c r="U2" s="78" t="s">
        <v>42</v>
      </c>
      <c r="V2" s="78" t="s">
        <v>43</v>
      </c>
      <c r="W2" s="79" t="s">
        <v>46</v>
      </c>
      <c r="X2" s="79" t="s">
        <v>47</v>
      </c>
      <c r="Y2" s="79" t="s">
        <v>48</v>
      </c>
      <c r="Z2" s="79" t="s">
        <v>49</v>
      </c>
      <c r="AA2" s="79" t="s">
        <v>50</v>
      </c>
      <c r="AB2" s="79" t="s">
        <v>51</v>
      </c>
      <c r="AC2" s="79" t="s">
        <v>52</v>
      </c>
      <c r="AD2" s="79" t="s">
        <v>53</v>
      </c>
      <c r="AE2" s="79" t="s">
        <v>54</v>
      </c>
      <c r="AF2" s="79" t="s">
        <v>55</v>
      </c>
      <c r="AG2" s="79" t="s">
        <v>56</v>
      </c>
      <c r="AH2" s="79" t="s">
        <v>57</v>
      </c>
      <c r="AI2" s="79" t="s">
        <v>58</v>
      </c>
      <c r="AJ2" s="79" t="s">
        <v>59</v>
      </c>
      <c r="AK2" s="79" t="s">
        <v>60</v>
      </c>
      <c r="AL2" s="79" t="s">
        <v>61</v>
      </c>
      <c r="AM2" s="79" t="s">
        <v>62</v>
      </c>
      <c r="AN2" s="79" t="s">
        <v>63</v>
      </c>
      <c r="AO2" s="80" t="s">
        <v>64</v>
      </c>
      <c r="AP2" s="80" t="s">
        <v>65</v>
      </c>
      <c r="AQ2" s="80" t="s">
        <v>66</v>
      </c>
    </row>
    <row r="3" spans="1:44">
      <c r="A3" s="58" t="s">
        <v>7</v>
      </c>
      <c r="B3" s="2" t="s">
        <v>8</v>
      </c>
      <c r="C3" s="2">
        <v>1</v>
      </c>
      <c r="D3" s="2" t="s">
        <v>8</v>
      </c>
      <c r="E3" s="2">
        <v>1</v>
      </c>
      <c r="F3" s="61">
        <f>5.04/E3</f>
        <v>5.04</v>
      </c>
      <c r="G3" s="1" t="s">
        <v>9</v>
      </c>
      <c r="H3" s="1"/>
      <c r="R3" t="s">
        <v>7</v>
      </c>
      <c r="S3" t="s">
        <v>7</v>
      </c>
      <c r="T3" s="10">
        <f>F3</f>
        <v>5.04</v>
      </c>
      <c r="U3" s="68">
        <f>$T$3*'[1]FTO glass'!D41</f>
        <v>3.4780676817599994</v>
      </c>
      <c r="V3" s="69">
        <f>$T$3*'[1]FTO glass'!M41</f>
        <v>85.029036949120112</v>
      </c>
      <c r="W3" s="68">
        <f>$T$3*'[1]FTO glass'!N41</f>
        <v>6.2012667171672007</v>
      </c>
      <c r="X3" s="68">
        <f>$T$3*'[1]FTO glass'!O41</f>
        <v>3.5862291309599996</v>
      </c>
      <c r="Y3" s="68">
        <f>$T$3*'[1]FTO glass'!P41</f>
        <v>0.83657114503199992</v>
      </c>
      <c r="Z3" s="68">
        <f>$T$3*'[1]FTO glass'!Q41</f>
        <v>9.6806916922641872E-2</v>
      </c>
      <c r="AA3" s="68">
        <f>$T$3*'[1]FTO glass'!R41</f>
        <v>2.0273180159735998E-3</v>
      </c>
      <c r="AB3" s="68">
        <f>$T$3*'[1]FTO glass'!S41</f>
        <v>124.88415725309692</v>
      </c>
      <c r="AC3" s="68">
        <f>$T$3*'[1]FTO glass'!T41</f>
        <v>0.21998732374079996</v>
      </c>
      <c r="AD3" s="68">
        <f>$T$3*'[1]FTO glass'!U41</f>
        <v>88.426822169151336</v>
      </c>
      <c r="AE3" s="68">
        <f>$T$3*'[1]FTO glass'!V41</f>
        <v>1.0613301240527999E-2</v>
      </c>
      <c r="AF3" s="68">
        <f>$T$3*'[1]FTO glass'!W41</f>
        <v>37.727846160631195</v>
      </c>
      <c r="AG3" s="68">
        <f>$T$3*'[1]FTO glass'!X41</f>
        <v>2.6633363931215996E-3</v>
      </c>
      <c r="AH3" s="68">
        <f>$T$3*'[1]FTO glass'!Y41</f>
        <v>2.2588717898879995E-7</v>
      </c>
      <c r="AI3" s="68">
        <f>$T$3*'[1]FTO glass'!Z41</f>
        <v>3.1256384650847999E-2</v>
      </c>
      <c r="AJ3" s="68">
        <f>$T$3*'[1]FTO glass'!AA41</f>
        <v>4.8130512783804966E-2</v>
      </c>
      <c r="AK3" s="68">
        <f>$T$3*'[1]FTO glass'!AB41</f>
        <v>6.2621029628639996E-2</v>
      </c>
      <c r="AL3" s="68">
        <f>$T$3*'[1]FTO glass'!AC41</f>
        <v>7.4279348593848408E-3</v>
      </c>
      <c r="AM3" s="68">
        <f>$T$3*'[1]FTO glass'!AD41</f>
        <v>0.14772324234023998</v>
      </c>
      <c r="AN3" s="68">
        <f>$T$3*'[1]FTO glass'!AE41</f>
        <v>7.7349191552639985E-3</v>
      </c>
      <c r="AO3" s="68">
        <f>$T$3*'[1]FTO glass'!AF41</f>
        <v>0.50998414695703564</v>
      </c>
      <c r="AP3" s="68">
        <f>$T$3*'[1]FTO glass'!AG41</f>
        <v>1.0265223189718116</v>
      </c>
      <c r="AQ3" s="68">
        <f>$T$3*'[1]FTO glass'!AH41</f>
        <v>1.8519365587967997</v>
      </c>
      <c r="AR3" s="10"/>
    </row>
    <row r="4" spans="1:44">
      <c r="A4" s="58" t="s">
        <v>10</v>
      </c>
      <c r="B4" s="2" t="s">
        <v>8</v>
      </c>
      <c r="C4" s="2" t="s">
        <v>8</v>
      </c>
      <c r="D4" s="2" t="s">
        <v>8</v>
      </c>
      <c r="E4" s="2">
        <v>1</v>
      </c>
      <c r="F4" s="61">
        <f>0.02577/E4</f>
        <v>2.5770000000000001E-2</v>
      </c>
      <c r="G4" s="1" t="s">
        <v>11</v>
      </c>
      <c r="H4" s="1"/>
      <c r="R4" t="s">
        <v>10</v>
      </c>
      <c r="S4" t="s">
        <v>10</v>
      </c>
      <c r="T4" s="10">
        <f>F4+F8+F12</f>
        <v>5.1745090909090914E-2</v>
      </c>
      <c r="U4" s="68">
        <f>$T$4*[2]production!D54</f>
        <v>7.2422429236363647E-2</v>
      </c>
      <c r="V4" s="69">
        <f>$T$4*[2]production!M54</f>
        <v>2.1516887421196365</v>
      </c>
      <c r="W4" s="68">
        <f>$T$4*[2]production!N54</f>
        <v>5.7716474400000002E-2</v>
      </c>
      <c r="X4" s="68">
        <f>$T$4*[2]production!O54</f>
        <v>6.3061742290909092E-2</v>
      </c>
      <c r="Y4" s="68">
        <f>$T$4*[2]production!P54</f>
        <v>1.7738734614545455E-2</v>
      </c>
      <c r="Z4" s="68">
        <f>$T$4*[2]production!Q54</f>
        <v>1.7658529723636363E-3</v>
      </c>
      <c r="AA4" s="68">
        <f>$T$4*[2]production!R54</f>
        <v>2.9377240461818185E-5</v>
      </c>
      <c r="AB4" s="68">
        <f>$T$4*[2]production!S54</f>
        <v>0.86507442981818194</v>
      </c>
      <c r="AC4" s="68">
        <f>$T$4*[2]production!T54</f>
        <v>4.5045136538181827E-3</v>
      </c>
      <c r="AD4" s="68">
        <f>$T$4*[2]production!U54</f>
        <v>0.69504006109090921</v>
      </c>
      <c r="AE4" s="68">
        <f>$T$4*[2]production!V54</f>
        <v>3.229514613818182E-4</v>
      </c>
      <c r="AF4" s="68">
        <f>$T$4*[2]production!W54</f>
        <v>2.8181411410909095E-3</v>
      </c>
      <c r="AG4" s="68">
        <f>$T$4*[2]production!X54</f>
        <v>5.4373741527272727E-5</v>
      </c>
      <c r="AH4" s="68">
        <f>$T$4*[2]production!Y54</f>
        <v>4.6040194636363642E-9</v>
      </c>
      <c r="AI4" s="68">
        <f>$T$4*[2]production!Z54</f>
        <v>2.026699975636364E-4</v>
      </c>
      <c r="AJ4" s="68">
        <f>$T$4*[2]production!AA54</f>
        <v>2.1271889421818182E-4</v>
      </c>
      <c r="AK4" s="68">
        <f>$T$4*[2]production!AB54</f>
        <v>6.6570059454545462E-4</v>
      </c>
      <c r="AL4" s="68">
        <f>$T$4*[2]production!AC54</f>
        <v>4.2503417672727281E-4</v>
      </c>
      <c r="AM4" s="68">
        <f>$T$4*[2]production!AD54</f>
        <v>3.0932697894545456E-3</v>
      </c>
      <c r="AN4" s="68">
        <f>$T$4*[2]production!AE54</f>
        <v>1.9336623021818183E-2</v>
      </c>
      <c r="AO4" s="68">
        <f>$T$4*[2]production!AF54</f>
        <v>1.7668361290909092E-2</v>
      </c>
      <c r="AP4" s="68">
        <f>$T$4*[2]production!AG54</f>
        <v>8.5312131381818177E-3</v>
      </c>
      <c r="AQ4" s="68">
        <f>$T$4*[2]production!AH54</f>
        <v>2.2577418065454547E-3</v>
      </c>
      <c r="AR4" s="10"/>
    </row>
    <row r="5" spans="1:44">
      <c r="A5" s="113" t="s">
        <v>174</v>
      </c>
      <c r="B5" s="114" t="s">
        <v>8</v>
      </c>
      <c r="C5" s="114" t="s">
        <v>8</v>
      </c>
      <c r="D5" s="114" t="s">
        <v>8</v>
      </c>
      <c r="E5" s="114">
        <v>1</v>
      </c>
      <c r="F5" s="115">
        <f>0.0000147*10000</f>
        <v>0.14699999999999999</v>
      </c>
      <c r="G5" s="1"/>
      <c r="H5" s="1"/>
      <c r="R5" t="s">
        <v>12</v>
      </c>
      <c r="S5" t="s">
        <v>174</v>
      </c>
      <c r="T5" s="10">
        <f>F5</f>
        <v>0.14699999999999999</v>
      </c>
      <c r="U5" s="68">
        <f>$T$5*[3]production!D67</f>
        <v>0.34079009999999993</v>
      </c>
      <c r="V5" s="68">
        <f>$T$5*[3]production!M67</f>
        <v>9.9018946488503996</v>
      </c>
      <c r="W5" s="68">
        <f>$T$5*[3]production!N67</f>
        <v>5.6080499999999999E-5</v>
      </c>
      <c r="X5" s="68">
        <f>$T$5*[3]production!O67</f>
        <v>0.28373939999999997</v>
      </c>
      <c r="Y5" s="68">
        <f>$T$5*[3]production!P67</f>
        <v>0.2269533</v>
      </c>
      <c r="Z5" s="68">
        <f>$T$5*[3]production!Q67</f>
        <v>2.3971289999999996E-3</v>
      </c>
      <c r="AA5" s="68">
        <f>$T$5*[3]production!R67</f>
        <v>2.2865850000000001E-5</v>
      </c>
      <c r="AB5" s="68">
        <f>$T$5*[3]production!S67</f>
        <v>0.15627569999999999</v>
      </c>
      <c r="AC5" s="68">
        <f>$T$5*[3]production!T67</f>
        <v>4.5440640000000003E-5</v>
      </c>
      <c r="AD5" s="68">
        <f>$T$5*[3]production!U67</f>
        <v>0.30793560000000003</v>
      </c>
      <c r="AE5" s="68">
        <f>$T$5*[3]production!V67</f>
        <v>2.6558490000000001E-4</v>
      </c>
      <c r="AF5" s="68">
        <f>$T$5*[3]production!W67</f>
        <v>1.8285329999999999E-4</v>
      </c>
      <c r="AG5" s="68">
        <f>$T$5*[3]production!X67</f>
        <v>-2.7587490000000001E-8</v>
      </c>
      <c r="AH5" s="68">
        <f>$T$5*[3]production!Y67</f>
        <v>1.4048349E-10</v>
      </c>
      <c r="AI5" s="68">
        <f>$T$5*[3]production!Z67</f>
        <v>4.1117369999999994E-4</v>
      </c>
      <c r="AJ5" s="68">
        <f>$T$5*[3]production!AA67</f>
        <v>1.3320110999999999E-3</v>
      </c>
      <c r="AK5" s="68">
        <f>$T$5*[3]production!AB67</f>
        <v>1.494696E-3</v>
      </c>
      <c r="AL5" s="68">
        <f>$T$5*[3]production!AC67</f>
        <v>2.6371799999999997E-5</v>
      </c>
      <c r="AM5" s="68">
        <f>$T$5*[3]production!AD67</f>
        <v>2.4241769999999997E-5</v>
      </c>
      <c r="AN5" s="68">
        <f>$T$5*[3]production!AE67</f>
        <v>2.0306579999999998E-5</v>
      </c>
      <c r="AO5" s="68">
        <f>$T$5*[3]production!AF67</f>
        <v>7.8511229999999998E-3</v>
      </c>
      <c r="AP5" s="68">
        <f>$T$5*[3]production!AG67</f>
        <v>1.2213201E-2</v>
      </c>
      <c r="AQ5" s="68">
        <f>$T$5*[3]production!AH67</f>
        <v>2.7224399999999999E-2</v>
      </c>
      <c r="AR5" s="10"/>
    </row>
    <row r="6" spans="1:44">
      <c r="A6" s="59" t="s">
        <v>13</v>
      </c>
      <c r="B6" s="2"/>
      <c r="C6" s="2"/>
      <c r="D6" s="2"/>
      <c r="E6" s="2"/>
      <c r="F6" s="61"/>
      <c r="G6" s="1"/>
      <c r="H6" s="1"/>
      <c r="R6" t="s">
        <v>14</v>
      </c>
      <c r="S6" t="s">
        <v>12</v>
      </c>
      <c r="T6" s="10">
        <f>F9</f>
        <v>3.2660000000000002E-2</v>
      </c>
      <c r="U6" s="68">
        <f>$T$6*[2]production!D74</f>
        <v>5.6916582000000001E-5</v>
      </c>
      <c r="V6" s="69">
        <f>$T$6*[2]production!M74</f>
        <v>7.8310930304560005E-4</v>
      </c>
      <c r="W6" s="68">
        <f>$T$6*[2]production!N74</f>
        <v>2.6201811600000002E-6</v>
      </c>
      <c r="X6" s="68">
        <f>$T$6*[2]production!O74</f>
        <v>5.2353980000000006E-5</v>
      </c>
      <c r="Y6" s="68">
        <f>$T$6*[2]production!P74</f>
        <v>1.50591994E-5</v>
      </c>
      <c r="Z6" s="68">
        <f>$T$6*[2]production!Q74</f>
        <v>7.8478714000000003E-7</v>
      </c>
      <c r="AA6" s="68">
        <f>$T$6*[2]production!R74</f>
        <v>2.7811623000000003E-8</v>
      </c>
      <c r="AB6" s="68">
        <f>$T$6*[2]production!S74</f>
        <v>1.04061292E-3</v>
      </c>
      <c r="AC6" s="68">
        <f>$T$6*[2]production!T74</f>
        <v>5.6795740000000004E-6</v>
      </c>
      <c r="AD6" s="68">
        <f>$T$6*[2]production!U74</f>
        <v>8.9367557999999998E-4</v>
      </c>
      <c r="AE6" s="68">
        <f>$T$6*[2]production!V74</f>
        <v>5.6067422000000004E-8</v>
      </c>
      <c r="AF6" s="68">
        <f>$T$6*[2]production!W74</f>
        <v>3.7415296000000003E-6</v>
      </c>
      <c r="AG6" s="68">
        <f>$T$6*[2]production!X74</f>
        <v>7.2221057999999999E-9</v>
      </c>
      <c r="AH6" s="68">
        <f>$T$6*[2]production!Y74</f>
        <v>2.3853884200000003E-11</v>
      </c>
      <c r="AI6" s="68">
        <f>$T$6*[2]production!Z74</f>
        <v>1.8625998000000001E-7</v>
      </c>
      <c r="AJ6" s="68">
        <f>$T$6*[2]production!AA74</f>
        <v>1.60177704E-7</v>
      </c>
      <c r="AK6" s="68">
        <f>$T$6*[2]production!AB74</f>
        <v>2.8821796800000001E-7</v>
      </c>
      <c r="AL6" s="68">
        <f>$T$6*[2]production!AC74</f>
        <v>4.6543766000000001E-8</v>
      </c>
      <c r="AM6" s="68">
        <f>$T$6*[2]production!AD74</f>
        <v>4.9845692000000008E-7</v>
      </c>
      <c r="AN6" s="68">
        <f>$T$6*[2]production!AE74</f>
        <v>4.2774802000000001E-5</v>
      </c>
      <c r="AO6" s="68">
        <f>$T$6*[2]production!AF74</f>
        <v>2.45299462E-6</v>
      </c>
      <c r="AP6" s="68">
        <f>$T$6*[2]production!AG74</f>
        <v>9.3691742000000004E-6</v>
      </c>
      <c r="AQ6" s="68">
        <f>$T$6*[2]production!AH74</f>
        <v>1.9793919600000001E-6</v>
      </c>
      <c r="AR6" s="10"/>
    </row>
    <row r="7" spans="1:44">
      <c r="A7" s="58" t="s">
        <v>14</v>
      </c>
      <c r="B7" s="2">
        <v>30</v>
      </c>
      <c r="C7" s="2">
        <v>0.8</v>
      </c>
      <c r="D7" s="2">
        <v>4230</v>
      </c>
      <c r="E7" s="2">
        <v>0.8</v>
      </c>
      <c r="F7" s="62">
        <f>B7/1000000000*C7*D7/E7/80*190/0.0481*1</f>
        <v>6.265852390852391E-3</v>
      </c>
      <c r="G7" s="1"/>
      <c r="H7" s="1" t="s">
        <v>15</v>
      </c>
      <c r="R7" t="s">
        <v>24</v>
      </c>
      <c r="S7" t="s">
        <v>159</v>
      </c>
      <c r="T7" s="10">
        <f>F7</f>
        <v>6.265852390852391E-3</v>
      </c>
      <c r="U7" s="68">
        <f>$T$7*'[1]BL-TiO2 ink'!D14</f>
        <v>1.1382696060619051E-2</v>
      </c>
      <c r="V7" s="69">
        <f>$T$7*'[1]BL-TiO2 ink'!M14</f>
        <v>0.3085047812739285</v>
      </c>
      <c r="W7" s="68">
        <f>$T$7*'[1]BL-TiO2 ink'!N14</f>
        <v>6.4659971672406452E-3</v>
      </c>
      <c r="X7" s="68">
        <f>$T$7*'[1]BL-TiO2 ink'!O14</f>
        <v>9.847908777175644E-3</v>
      </c>
      <c r="Y7" s="68">
        <f>$T$7*'[1]BL-TiO2 ink'!P14</f>
        <v>3.5372467665277011E-3</v>
      </c>
      <c r="Z7" s="68">
        <f>$T$7*'[1]BL-TiO2 ink'!Q14</f>
        <v>2.286462224969719E-4</v>
      </c>
      <c r="AA7" s="68">
        <f>$T$7*'[1]BL-TiO2 ink'!R14</f>
        <v>4.2458919071740499E-6</v>
      </c>
      <c r="AB7" s="68">
        <f>$T$7*'[1]BL-TiO2 ink'!S14</f>
        <v>0.13888320199636855</v>
      </c>
      <c r="AC7" s="68">
        <f>$T$7*'[1]BL-TiO2 ink'!T14</f>
        <v>6.8913265818492135E-4</v>
      </c>
      <c r="AD7" s="68">
        <f>$T$7*'[1]BL-TiO2 ink'!U14</f>
        <v>0.11438640040011092</v>
      </c>
      <c r="AE7" s="68">
        <f>$T$7*'[1]BL-TiO2 ink'!V14</f>
        <v>3.815925397520847E-5</v>
      </c>
      <c r="AF7" s="68">
        <f>$T$7*'[1]BL-TiO2 ink'!W14</f>
        <v>4.3230118451272862E-4</v>
      </c>
      <c r="AG7" s="68">
        <f>$T$7*'[1]BL-TiO2 ink'!X14</f>
        <v>6.695025931674248E-6</v>
      </c>
      <c r="AH7" s="68">
        <f>$T$7*'[1]BL-TiO2 ink'!Y14</f>
        <v>8.996424588865815E-10</v>
      </c>
      <c r="AI7" s="68">
        <f>$T$7*'[1]BL-TiO2 ink'!Z14</f>
        <v>2.8660195819120308E-5</v>
      </c>
      <c r="AJ7" s="68">
        <f>$T$7*'[1]BL-TiO2 ink'!AA14</f>
        <v>3.6299825743541536E-5</v>
      </c>
      <c r="AK7" s="68">
        <f>$T$7*'[1]BL-TiO2 ink'!AB14</f>
        <v>8.8683553174177246E-5</v>
      </c>
      <c r="AL7" s="68">
        <f>$T$7*'[1]BL-TiO2 ink'!AC14</f>
        <v>4.848021868620716E-5</v>
      </c>
      <c r="AM7" s="68">
        <f>$T$7*'[1]BL-TiO2 ink'!AD14</f>
        <v>3.7022002610745261E-4</v>
      </c>
      <c r="AN7" s="68">
        <f>$T$7*'[1]BL-TiO2 ink'!AE14</f>
        <v>2.1409541679039204E-3</v>
      </c>
      <c r="AO7" s="68">
        <f>$T$7*'[1]BL-TiO2 ink'!AF14</f>
        <v>2.0611854805588138E-3</v>
      </c>
      <c r="AP7" s="68">
        <f>$T$7*'[1]BL-TiO2 ink'!AG14</f>
        <v>1.3517494462587471E-3</v>
      </c>
      <c r="AQ7" s="68">
        <f>$T$7*'[1]BL-TiO2 ink'!AH14</f>
        <v>4.4873785176380608E-4</v>
      </c>
      <c r="AR7" s="10"/>
    </row>
    <row r="8" spans="1:44">
      <c r="A8" s="58" t="s">
        <v>10</v>
      </c>
      <c r="B8" s="2" t="s">
        <v>8</v>
      </c>
      <c r="C8" s="2" t="s">
        <v>8</v>
      </c>
      <c r="D8" s="2" t="s">
        <v>8</v>
      </c>
      <c r="E8" s="2">
        <v>1</v>
      </c>
      <c r="F8" s="61">
        <f>F4</f>
        <v>2.5770000000000001E-2</v>
      </c>
      <c r="G8" s="1" t="s">
        <v>11</v>
      </c>
      <c r="R8" t="s">
        <v>33</v>
      </c>
      <c r="S8" t="s">
        <v>160</v>
      </c>
      <c r="T8" s="10">
        <f>F11</f>
        <v>1.1280000000000001E-3</v>
      </c>
      <c r="U8" s="68">
        <f>$T$8*[2]production!D89</f>
        <v>9.6978672000000016E-3</v>
      </c>
      <c r="V8" s="69">
        <f>$T$8*[2]production!M89</f>
        <v>0.10402164186408001</v>
      </c>
      <c r="W8" s="68">
        <f>$T$8*[2]production!N89</f>
        <v>4.1540856000000002E-4</v>
      </c>
      <c r="X8" s="68">
        <f>$T$8*[2]production!O89</f>
        <v>8.3796864000000009E-3</v>
      </c>
      <c r="Y8" s="68">
        <f>$T$8*[2]production!P89</f>
        <v>2.0655936000000003E-3</v>
      </c>
      <c r="Z8" s="68">
        <f>$T$8*[2]production!Q89</f>
        <v>1.4870424000000001E-4</v>
      </c>
      <c r="AA8" s="68">
        <f>$T$8*[2]production!R89</f>
        <v>3.8491872000000005E-6</v>
      </c>
      <c r="AB8" s="68">
        <f>$T$8*[2]production!S89</f>
        <v>0.13696176000000002</v>
      </c>
      <c r="AC8" s="68">
        <f>$T$8*[2]production!T89</f>
        <v>5.2262496000000003E-4</v>
      </c>
      <c r="AD8" s="68">
        <f>$T$8*[2]production!U89</f>
        <v>0.17162520000000003</v>
      </c>
      <c r="AE8" s="68">
        <f>$T$8*[2]production!V89</f>
        <v>8.9280072000000023E-6</v>
      </c>
      <c r="AF8" s="68">
        <f>$T$8*[2]production!W89</f>
        <v>2.596656E-4</v>
      </c>
      <c r="AG8" s="68">
        <f>$T$8*[2]production!X89</f>
        <v>1.9412880000000005E-6</v>
      </c>
      <c r="AH8" s="68">
        <f>$T$8*[2]production!Y89</f>
        <v>8.5879152000000004E-10</v>
      </c>
      <c r="AI8" s="68">
        <f>$T$8*[2]production!Z89</f>
        <v>2.2305072000000001E-5</v>
      </c>
      <c r="AJ8" s="68">
        <f>$T$8*[2]production!AA89</f>
        <v>3.2832696000000004E-5</v>
      </c>
      <c r="AK8" s="68">
        <f>$T$8*[2]production!AB89</f>
        <v>4.6313424000000002E-5</v>
      </c>
      <c r="AL8" s="68">
        <f>$T$8*[2]production!AC89</f>
        <v>4.8840144000000007E-6</v>
      </c>
      <c r="AM8" s="68">
        <f>$T$8*[2]production!AD89</f>
        <v>1.2735120000000001E-4</v>
      </c>
      <c r="AN8" s="68">
        <f>$T$8*[2]production!AE89</f>
        <v>8.9134560000000016E-5</v>
      </c>
      <c r="AO8" s="68">
        <f>$T$8*[2]production!AF89</f>
        <v>3.7027728000000004E-4</v>
      </c>
      <c r="AP8" s="68">
        <f>$T$8*[2]production!AG89</f>
        <v>1.2686616000000001E-3</v>
      </c>
      <c r="AQ8" s="68">
        <f>$T$8*[2]production!AH89</f>
        <v>2.8458312000000004E-4</v>
      </c>
      <c r="AR8" s="10"/>
    </row>
    <row r="9" spans="1:44">
      <c r="A9" s="58" t="s">
        <v>12</v>
      </c>
      <c r="B9" s="2" t="s">
        <v>8</v>
      </c>
      <c r="C9" s="2" t="s">
        <v>8</v>
      </c>
      <c r="D9" s="2" t="s">
        <v>8</v>
      </c>
      <c r="E9" s="2">
        <v>1</v>
      </c>
      <c r="F9" s="61">
        <f>0.03266/E9</f>
        <v>3.2660000000000002E-2</v>
      </c>
      <c r="G9" s="1"/>
      <c r="R9" t="s">
        <v>18</v>
      </c>
      <c r="S9" t="s">
        <v>33</v>
      </c>
      <c r="T9" s="10">
        <f t="shared" ref="T9:T14" si="0">F14</f>
        <v>4.1182228366328817E-4</v>
      </c>
      <c r="U9" s="68">
        <f>$T$9*[4]Sheet1!P26</f>
        <v>3.3631633504582502E-2</v>
      </c>
      <c r="V9" s="69">
        <f>$T$9*[4]Sheet1!Y26</f>
        <v>0.59575957692753112</v>
      </c>
      <c r="W9" s="68">
        <f>$T$9*[4]Sheet1!Z26</f>
        <v>5.6387447604872346E-4</v>
      </c>
      <c r="X9" s="68">
        <f>$T$9*[4]Sheet1!AA26</f>
        <v>3.1589668427603773E-2</v>
      </c>
      <c r="Y9" s="68">
        <f>$T$9*[4]Sheet1!AB26</f>
        <v>1.3821464607040314E-2</v>
      </c>
      <c r="Z9" s="68">
        <f>$T$9*[4]Sheet1!AC26</f>
        <v>1.464800482910944E-4</v>
      </c>
      <c r="AA9" s="68">
        <f>$T$9*[4]Sheet1!AD26</f>
        <v>1.1137633184505961E-6</v>
      </c>
      <c r="AB9" s="68">
        <f>$T$9*[4]Sheet1!AE26</f>
        <v>0.26343220557228497</v>
      </c>
      <c r="AC9" s="68">
        <f>$T$9*[4]Sheet1!AF26</f>
        <v>2.5716946921447247E-4</v>
      </c>
      <c r="AD9" s="68">
        <f>$T$9*[4]Sheet1!AG26</f>
        <v>9.0528572112287153E-2</v>
      </c>
      <c r="AE9" s="68">
        <f>$T$9*[4]Sheet1!AH26</f>
        <v>3.113314116778625E-5</v>
      </c>
      <c r="AF9" s="68">
        <f>$T$9*[4]Sheet1!AI26</f>
        <v>1.7776624286418484E-4</v>
      </c>
      <c r="AG9" s="68">
        <f>$T$9*[4]Sheet1!AJ26</f>
        <v>5.5549697784310894E-6</v>
      </c>
      <c r="AH9" s="68">
        <f>$T$9*[4]Sheet1!AK26</f>
        <v>6.0875065453879367E-8</v>
      </c>
      <c r="AI9" s="68">
        <f>$T$9*[4]Sheet1!AL26</f>
        <v>3.6908575770190104E-5</v>
      </c>
      <c r="AJ9" s="68">
        <f>$T$9*[4]Sheet1!AM26</f>
        <v>1.1613059294227961E-4</v>
      </c>
      <c r="AK9" s="68">
        <f>$T$9*[4]Sheet1!AN26</f>
        <v>1.4012570930551014E-4</v>
      </c>
      <c r="AL9" s="68">
        <f>$T$9*[4]Sheet1!AO26</f>
        <v>6.2562784204062656E-6</v>
      </c>
      <c r="AM9" s="68">
        <f>$T$9*[4]Sheet1!AP26</f>
        <v>4.3949163015735211E-5</v>
      </c>
      <c r="AN9" s="68">
        <f>$T$9*[4]Sheet1!AQ26</f>
        <v>1.604594466428518E-4</v>
      </c>
      <c r="AO9" s="68">
        <f>$T$9*[4]Sheet1!AR26</f>
        <v>1.0602221287466741E-3</v>
      </c>
      <c r="AP9" s="68">
        <f>$T$9*[4]Sheet1!AS26</f>
        <v>2.9756719589123471E-3</v>
      </c>
      <c r="AQ9" s="68">
        <f>$T$9*[4]Sheet1!AT26</f>
        <v>1.6656010551875258E-3</v>
      </c>
      <c r="AR9" s="10"/>
    </row>
    <row r="10" spans="1:44">
      <c r="A10" s="59" t="s">
        <v>16</v>
      </c>
      <c r="B10" s="2"/>
      <c r="C10" s="2"/>
      <c r="D10" s="2"/>
      <c r="E10" s="2"/>
      <c r="F10" s="61"/>
      <c r="G10" s="1"/>
      <c r="R10" t="s">
        <v>34</v>
      </c>
      <c r="S10" t="s">
        <v>161</v>
      </c>
      <c r="T10" s="10">
        <f t="shared" si="0"/>
        <v>1.1589684674838065E-3</v>
      </c>
      <c r="U10" s="68">
        <f>$T$10*[1]PbI2!D18</f>
        <v>5.2897034213452822E-3</v>
      </c>
      <c r="V10" s="69">
        <f>$T$10*[1]PbI2!M18</f>
        <v>6.2900780904729572E-2</v>
      </c>
      <c r="W10" s="68">
        <f>$T$10*[1]PbI2!N18</f>
        <v>1.2132832661672483E-3</v>
      </c>
      <c r="X10" s="68">
        <f>$T$10*[1]PbI2!O18</f>
        <v>4.5175788317724369E-3</v>
      </c>
      <c r="Y10" s="68">
        <f>$T$10*[1]PbI2!P18</f>
        <v>1.1990875763555646E-3</v>
      </c>
      <c r="Z10" s="68">
        <f>$T$10*[1]PbI2!Q18</f>
        <v>8.2591959949552095E-5</v>
      </c>
      <c r="AA10" s="68">
        <f>$T$10*[1]PbI2!R18</f>
        <v>2.2930004829503093E-6</v>
      </c>
      <c r="AB10" s="68">
        <f>$T$10*[1]PbI2!S18</f>
        <v>0.18072312525739298</v>
      </c>
      <c r="AC10" s="68">
        <f>$T$10*[1]PbI2!T18</f>
        <v>2.2205988344161864E-4</v>
      </c>
      <c r="AD10" s="68">
        <f>$T$10*[1]PbI2!U18</f>
        <v>9.0634119223565179E-2</v>
      </c>
      <c r="AE10" s="68">
        <f>$T$10*[1]PbI2!V18</f>
        <v>5.978527690072212E-6</v>
      </c>
      <c r="AF10" s="68">
        <f>$T$10*[1]PbI2!W18</f>
        <v>7.3270123534169187E-4</v>
      </c>
      <c r="AG10" s="68">
        <f>$T$10*[1]PbI2!X18</f>
        <v>7.6852225114409837E-7</v>
      </c>
      <c r="AH10" s="68">
        <f>$T$10*[1]PbI2!Y18</f>
        <v>5.1719893372784982E-10</v>
      </c>
      <c r="AI10" s="68">
        <f>$T$10*[1]PbI2!Z18</f>
        <v>1.2803362892700811E-5</v>
      </c>
      <c r="AJ10" s="68">
        <f>$T$10*[1]PbI2!AA18</f>
        <v>1.8021294718026529E-5</v>
      </c>
      <c r="AK10" s="68">
        <f>$T$10*[1]PbI2!AB18</f>
        <v>3.6221204373361588E-5</v>
      </c>
      <c r="AL10" s="68">
        <f>$T$10*[1]PbI2!AC18</f>
        <v>6.2313376527082455E-6</v>
      </c>
      <c r="AM10" s="68">
        <f>$T$10*[1]PbI2!AD18</f>
        <v>4.6595175601690134E-5</v>
      </c>
      <c r="AN10" s="68">
        <f>$T$10*[1]PbI2!AE18</f>
        <v>1.360606219327725E-5</v>
      </c>
      <c r="AO10" s="68">
        <f>$T$10*[1]PbI2!AF18</f>
        <v>2.21577182826193E-4</v>
      </c>
      <c r="AP10" s="68">
        <f>$T$10*[1]PbI2!AG18</f>
        <v>1.4145652079446229E-3</v>
      </c>
      <c r="AQ10" s="68">
        <f>$T$10*[1]PbI2!AH18</f>
        <v>1.7779125947986531E-4</v>
      </c>
      <c r="AR10" s="10"/>
    </row>
    <row r="11" spans="1:44">
      <c r="A11" s="58" t="s">
        <v>24</v>
      </c>
      <c r="B11" s="2">
        <v>200</v>
      </c>
      <c r="C11" s="2">
        <v>0.8</v>
      </c>
      <c r="D11" s="2">
        <v>4230</v>
      </c>
      <c r="E11" s="2">
        <v>0.6</v>
      </c>
      <c r="F11" s="62">
        <f>B11*C11/1000000000*D11/E11</f>
        <v>1.1280000000000001E-3</v>
      </c>
      <c r="G11" s="1"/>
      <c r="R11" t="s">
        <v>35</v>
      </c>
      <c r="S11" t="s">
        <v>34</v>
      </c>
      <c r="T11" s="10">
        <f t="shared" si="0"/>
        <v>4.9689090860604683E-5</v>
      </c>
      <c r="U11" s="68">
        <f>$T$11*[5]Sheet1!K20</f>
        <v>0.17984551647235406</v>
      </c>
      <c r="V11" s="69">
        <f>$T$11*[5]Sheet1!T20</f>
        <v>3.1681347872173444</v>
      </c>
      <c r="W11" s="68">
        <f>$T$11*[5]Sheet1!U20</f>
        <v>1.5821193963480081E-3</v>
      </c>
      <c r="X11" s="68">
        <f>$T$11*[5]Sheet1!V20</f>
        <v>0.16971478548508595</v>
      </c>
      <c r="Y11" s="68">
        <f>$T$11*[5]Sheet1!W20</f>
        <v>7.4775507137820135E-2</v>
      </c>
      <c r="Z11" s="68">
        <f>$T$11*[5]Sheet1!X20</f>
        <v>7.4393697974341644E-4</v>
      </c>
      <c r="AA11" s="68">
        <f>$T$11*[5]Sheet1!Y20</f>
        <v>4.9286088333147887E-6</v>
      </c>
      <c r="AB11" s="68">
        <f>$T$11*[5]Sheet1!Z20</f>
        <v>1.4151077688153493</v>
      </c>
      <c r="AC11" s="68">
        <f>$T$11*[5]Sheet1!AA20</f>
        <v>1.1549143564343188E-3</v>
      </c>
      <c r="AD11" s="68">
        <f>$T$11*[5]Sheet1!AB20</f>
        <v>0.47660233714553057</v>
      </c>
      <c r="AE11" s="68">
        <f>$T$11*[5]Sheet1!AC20</f>
        <v>1.5592072781264957E-4</v>
      </c>
      <c r="AF11" s="68">
        <f>$T$11*[5]Sheet1!AD20</f>
        <v>8.0510072689392006E-4</v>
      </c>
      <c r="AG11" s="68">
        <f>$T$11*[5]Sheet1!AE20</f>
        <v>2.7971146500586121E-5</v>
      </c>
      <c r="AH11" s="68">
        <f>$T$11*[5]Sheet1!AF20</f>
        <v>1.5124687526789461E-8</v>
      </c>
      <c r="AI11" s="68">
        <f>$T$11*[5]Sheet1!AG20</f>
        <v>1.9137274213464241E-4</v>
      </c>
      <c r="AJ11" s="68">
        <f>$T$11*[5]Sheet1!AH20</f>
        <v>5.1004988032500435E-4</v>
      </c>
      <c r="AK11" s="68">
        <f>$T$11*[5]Sheet1!AI20</f>
        <v>7.362010271383337E-4</v>
      </c>
      <c r="AL11" s="68">
        <f>$T$11*[5]Sheet1!AJ20</f>
        <v>1.6267354505453908E-5</v>
      </c>
      <c r="AM11" s="68">
        <f>$T$11*[5]Sheet1!AK20</f>
        <v>1.0836499607299718E-4</v>
      </c>
      <c r="AN11" s="68">
        <f>$T$11*[5]Sheet1!AL20</f>
        <v>2.4443742736365222E-5</v>
      </c>
      <c r="AO11" s="68">
        <f>$T$11*[5]Sheet1!AM20</f>
        <v>5.0344121964776877E-3</v>
      </c>
      <c r="AP11" s="68">
        <f>$T$11*[5]Sheet1!AN20</f>
        <v>1.5957795468447729E-2</v>
      </c>
      <c r="AQ11" s="68">
        <f>$T$11*[5]Sheet1!AO20</f>
        <v>9.0038028774079119E-3</v>
      </c>
      <c r="AR11" s="10"/>
    </row>
    <row r="12" spans="1:44">
      <c r="A12" s="58" t="s">
        <v>10</v>
      </c>
      <c r="B12" s="2"/>
      <c r="C12" s="2"/>
      <c r="D12" s="2"/>
      <c r="E12" s="2">
        <v>0.6</v>
      </c>
      <c r="F12" s="62">
        <f>F11/5.5</f>
        <v>2.0509090909090911E-4</v>
      </c>
      <c r="G12" s="1" t="s">
        <v>23</v>
      </c>
      <c r="H12" s="1"/>
      <c r="R12" t="s">
        <v>36</v>
      </c>
      <c r="S12" t="s">
        <v>162</v>
      </c>
      <c r="T12" s="10">
        <f t="shared" si="0"/>
        <v>1.6282050308787427E-4</v>
      </c>
      <c r="U12" s="68">
        <f>$T$12*[6]Sheet1!P22</f>
        <v>6.2686334877505199E-4</v>
      </c>
      <c r="V12" s="69">
        <f>$T$12*[6]Sheet1!Y22</f>
        <v>8.2194376428353123E-3</v>
      </c>
      <c r="W12" s="68">
        <f>$T$12*[6]Sheet1!Z22</f>
        <v>1.8584565526225488E-4</v>
      </c>
      <c r="X12" s="68">
        <f>$T$12*[6]Sheet1!AA22</f>
        <v>5.7584902936782482E-4</v>
      </c>
      <c r="Y12" s="68">
        <f>$T$12*[6]Sheet1!AB22</f>
        <v>1.4904060308252689E-4</v>
      </c>
      <c r="Z12" s="68">
        <f>$T$12*[6]Sheet1!AC22</f>
        <v>1.4192249596093392E-5</v>
      </c>
      <c r="AA12" s="68">
        <f>$T$12*[6]Sheet1!AD22</f>
        <v>4.243994866092248E-7</v>
      </c>
      <c r="AB12" s="68">
        <f>$T$12*[6]Sheet1!AE22</f>
        <v>3.8291047162467236E-2</v>
      </c>
      <c r="AC12" s="68">
        <f>$T$12*[6]Sheet1!AF22</f>
        <v>3.3159087777270369E-5</v>
      </c>
      <c r="AD12" s="68">
        <f>$T$12*[6]Sheet1!AG22</f>
        <v>1.6474662446082648E-2</v>
      </c>
      <c r="AE12" s="68">
        <f>$T$12*[6]Sheet1!AH22</f>
        <v>1.1632387503701351E-6</v>
      </c>
      <c r="AF12" s="68">
        <f>$T$12*[6]Sheet1!AI22</f>
        <v>1.8131192726115721E-4</v>
      </c>
      <c r="AG12" s="68">
        <f>$T$12*[6]Sheet1!AJ22</f>
        <v>9.3944831058395518E-8</v>
      </c>
      <c r="AH12" s="68">
        <f>$T$12*[6]Sheet1!AK22</f>
        <v>5.7098464616724307E-11</v>
      </c>
      <c r="AI12" s="68">
        <f>$T$12*[6]Sheet1!AL22</f>
        <v>3.1677316156115665E-6</v>
      </c>
      <c r="AJ12" s="68">
        <f>$T$12*[6]Sheet1!AM22</f>
        <v>7.9711996670577615E-6</v>
      </c>
      <c r="AK12" s="68">
        <f>$T$12*[6]Sheet1!AN22</f>
        <v>9.7012684642819558E-6</v>
      </c>
      <c r="AL12" s="68">
        <f>$T$12*[6]Sheet1!AO22</f>
        <v>8.2721280498263134E-7</v>
      </c>
      <c r="AM12" s="68">
        <f>$T$12*[6]Sheet1!AP22</f>
        <v>7.0913308950200087E-6</v>
      </c>
      <c r="AN12" s="68">
        <f>$T$12*[6]Sheet1!AQ22</f>
        <v>3.0331707171541498E-6</v>
      </c>
      <c r="AO12" s="68">
        <f>$T$12*[6]Sheet1!AR22</f>
        <v>3.1774220769020189E-5</v>
      </c>
      <c r="AP12" s="68">
        <f>$T$12*[6]Sheet1!AS22</f>
        <v>2.883115370503421E-4</v>
      </c>
      <c r="AQ12" s="68">
        <f>$T$12*[6]Sheet1!AT22</f>
        <v>2.6288503886082944E-5</v>
      </c>
      <c r="AR12" s="10"/>
    </row>
    <row r="13" spans="1:44">
      <c r="A13" s="7" t="s">
        <v>17</v>
      </c>
      <c r="B13" s="2"/>
      <c r="C13" s="2"/>
      <c r="D13" s="2"/>
      <c r="E13" s="2"/>
      <c r="F13" s="61"/>
      <c r="G13" s="1"/>
      <c r="J13" s="1" t="s">
        <v>26</v>
      </c>
      <c r="K13">
        <v>150</v>
      </c>
      <c r="L13" t="s">
        <v>27</v>
      </c>
      <c r="M13">
        <f>1.4*2.4</f>
        <v>3.36</v>
      </c>
      <c r="N13" t="s">
        <v>28</v>
      </c>
      <c r="R13" t="s">
        <v>37</v>
      </c>
      <c r="S13" t="s">
        <v>36</v>
      </c>
      <c r="T13" s="10">
        <f t="shared" si="0"/>
        <v>1.6438064937765074E-3</v>
      </c>
      <c r="U13" s="68">
        <f>$T$13*[2]production!D75</f>
        <v>4.7032591399933429E-3</v>
      </c>
      <c r="V13" s="69">
        <f>$T$13*[2]production!M75</f>
        <v>0.12792526254726047</v>
      </c>
      <c r="W13" s="68">
        <f>$T$13*[2]production!N75</f>
        <v>1.9142126620027428E-4</v>
      </c>
      <c r="X13" s="68">
        <f>$T$13*[2]production!O75</f>
        <v>4.2571300575823985E-3</v>
      </c>
      <c r="Y13" s="68">
        <f>$T$13*[2]production!P75</f>
        <v>2.8626890089117878E-3</v>
      </c>
      <c r="Z13" s="68">
        <f>$T$13*[2]production!Q75</f>
        <v>5.9901952439709709E-5</v>
      </c>
      <c r="AA13" s="68">
        <f>$T$13*[2]production!R75</f>
        <v>1.6159439737069958E-6</v>
      </c>
      <c r="AB13" s="68">
        <f>$T$13*[2]production!S75</f>
        <v>9.7577997277067244E-2</v>
      </c>
      <c r="AC13" s="68">
        <f>$T$13*[2]production!T75</f>
        <v>4.2134048048479434E-4</v>
      </c>
      <c r="AD13" s="68">
        <f>$T$13*[2]production!U75</f>
        <v>6.3390109819503451E-2</v>
      </c>
      <c r="AE13" s="68">
        <f>$T$13*[2]production!V75</f>
        <v>2.054264975272501E-5</v>
      </c>
      <c r="AF13" s="68">
        <f>$T$13*[2]production!W75</f>
        <v>2.7412117090217035E-4</v>
      </c>
      <c r="AG13" s="68">
        <f>$T$13*[2]production!X75</f>
        <v>1.7975024009446109E-6</v>
      </c>
      <c r="AH13" s="68">
        <f>$T$13*[2]production!Y75</f>
        <v>8.5551908968598325E-10</v>
      </c>
      <c r="AI13" s="68">
        <f>$T$13*[2]production!Z75</f>
        <v>1.1864830891429453E-5</v>
      </c>
      <c r="AJ13" s="68">
        <f>$T$13*[2]production!AA75</f>
        <v>1.4392018994961456E-5</v>
      </c>
      <c r="AK13" s="68">
        <f>$T$13*[2]production!AB75</f>
        <v>3.022960142054997E-5</v>
      </c>
      <c r="AL13" s="68">
        <f>$T$13*[2]production!AC75</f>
        <v>3.022960142054997E-5</v>
      </c>
      <c r="AM13" s="68">
        <f>$T$13*[2]production!AD75</f>
        <v>3.6329767318954588E-5</v>
      </c>
      <c r="AN13" s="68">
        <f>$T$13*[2]production!AE75</f>
        <v>1.2715336371309417E-5</v>
      </c>
      <c r="AO13" s="68">
        <f>$T$13*[2]production!AF75</f>
        <v>1.8941582227786693E-4</v>
      </c>
      <c r="AP13" s="68">
        <f>$T$13*[2]production!AG75</f>
        <v>8.4121797319012767E-4</v>
      </c>
      <c r="AQ13" s="68">
        <f>$T$13*[2]production!AH75</f>
        <v>3.5594985816236494E-4</v>
      </c>
      <c r="AR13" s="10"/>
    </row>
    <row r="14" spans="1:44">
      <c r="A14" s="1" t="s">
        <v>33</v>
      </c>
      <c r="B14" s="31">
        <f>500/$J$20*J16</f>
        <v>287.31787232322426</v>
      </c>
      <c r="C14" s="2">
        <v>0.8</v>
      </c>
      <c r="D14" s="2">
        <f>1000/160*172</f>
        <v>1075</v>
      </c>
      <c r="E14" s="2">
        <v>0.6</v>
      </c>
      <c r="F14" s="62">
        <f>I16/1000/$N$16/E14</f>
        <v>4.1182228366328817E-4</v>
      </c>
      <c r="G14" s="1">
        <v>172</v>
      </c>
      <c r="J14" s="1"/>
      <c r="K14">
        <f>M14*10000/M13*K13/1000000</f>
        <v>0.4464285714285714</v>
      </c>
      <c r="L14" t="s">
        <v>30</v>
      </c>
      <c r="M14">
        <v>1</v>
      </c>
      <c r="N14" t="s">
        <v>29</v>
      </c>
      <c r="R14" t="s">
        <v>32</v>
      </c>
      <c r="S14" t="s">
        <v>37</v>
      </c>
      <c r="T14" s="10">
        <f t="shared" si="0"/>
        <v>4.7886312053870711E-4</v>
      </c>
      <c r="U14" s="68">
        <f>$T$14*[2]production!D104</f>
        <v>6.0796461783594257E-4</v>
      </c>
      <c r="V14" s="69">
        <f>$T$14*[2]production!M104</f>
        <v>2.8054715315643849E-2</v>
      </c>
      <c r="W14" s="68">
        <f>$T$14*[2]production!N104</f>
        <v>2.5934747745255836E-5</v>
      </c>
      <c r="X14" s="68">
        <f>$T$14*[2]production!O104</f>
        <v>5.1793835117466553E-4</v>
      </c>
      <c r="Y14" s="68">
        <f>$T$14*[2]production!P104</f>
        <v>6.2415019131015085E-4</v>
      </c>
      <c r="Z14" s="68">
        <f>$T$14*[2]production!Q104</f>
        <v>1.0889826224170739E-5</v>
      </c>
      <c r="AA14" s="68">
        <f>$T$14*[2]production!R104</f>
        <v>2.422233322620942E-7</v>
      </c>
      <c r="AB14" s="68">
        <f>$T$14*[2]production!S104</f>
        <v>1.6101772428114027E-2</v>
      </c>
      <c r="AC14" s="68">
        <f>$T$14*[2]production!T104</f>
        <v>8.8690238554973945E-5</v>
      </c>
      <c r="AD14" s="68">
        <f>$T$14*[2]production!U104</f>
        <v>9.4087025923445169E-3</v>
      </c>
      <c r="AE14" s="68">
        <f>$T$14*[2]production!V104</f>
        <v>4.7620064158851191E-7</v>
      </c>
      <c r="AF14" s="68">
        <f>$T$14*[2]production!W104</f>
        <v>5.2167348351486753E-5</v>
      </c>
      <c r="AG14" s="68">
        <f>$T$14*[2]production!X104</f>
        <v>2.7207565919647719E-7</v>
      </c>
      <c r="AH14" s="68">
        <f>$T$14*[2]production!Y104</f>
        <v>1.5145003913277689E-10</v>
      </c>
      <c r="AI14" s="68">
        <f>$T$14*[2]production!Z104</f>
        <v>8.2393188519889954E-7</v>
      </c>
      <c r="AJ14" s="68">
        <f>$T$14*[2]production!AA104</f>
        <v>1.8872953306671523E-6</v>
      </c>
      <c r="AK14" s="68">
        <f>$T$14*[2]production!AB104</f>
        <v>2.4609254627604694E-6</v>
      </c>
      <c r="AL14" s="68">
        <f>$T$14*[2]production!AC104</f>
        <v>4.665084520288085E-7</v>
      </c>
      <c r="AM14" s="68">
        <f>$T$14*[2]production!AD104</f>
        <v>4.585689014902767E-6</v>
      </c>
      <c r="AN14" s="68">
        <f>$T$14*[2]production!AE104</f>
        <v>1.8402230859181974E-6</v>
      </c>
      <c r="AO14" s="68">
        <f>$T$14*[2]production!AF104</f>
        <v>2.3810510942546137E-5</v>
      </c>
      <c r="AP14" s="68">
        <f>$T$14*[2]production!AG104</f>
        <v>1.2945585600643408E-4</v>
      </c>
      <c r="AQ14" s="68">
        <f>$T$14*[2]production!AH104</f>
        <v>7.7259775867715005E-5</v>
      </c>
      <c r="AR14" s="10"/>
    </row>
    <row r="15" spans="1:44">
      <c r="A15" s="1" t="s">
        <v>18</v>
      </c>
      <c r="B15" s="31">
        <f t="shared" ref="B15:B17" si="1">500/$J$20*J17</f>
        <v>141.10817380078808</v>
      </c>
      <c r="C15" s="2">
        <v>0.8</v>
      </c>
      <c r="D15" s="2">
        <v>6160</v>
      </c>
      <c r="E15" s="2">
        <v>0.6</v>
      </c>
      <c r="F15" s="62">
        <f>I17/1000/$N$16/E15</f>
        <v>1.1589684674838065E-3</v>
      </c>
      <c r="G15" s="1">
        <v>461</v>
      </c>
      <c r="H15" s="1" t="s">
        <v>91</v>
      </c>
      <c r="I15" t="s">
        <v>92</v>
      </c>
      <c r="R15" t="s">
        <v>31</v>
      </c>
      <c r="S15" t="s">
        <v>32</v>
      </c>
      <c r="T15" s="10">
        <f>F20+F27</f>
        <v>7.4486333877328992E-3</v>
      </c>
      <c r="U15" s="68">
        <f>$T$15*[2]production!D34</f>
        <v>2.4153683486401473E-2</v>
      </c>
      <c r="V15" s="69">
        <f>$T$15*[2]production!M34</f>
        <v>0.58474354758357783</v>
      </c>
      <c r="W15" s="68">
        <f>$T$15*[2]production!N34</f>
        <v>8.5324095456480362E-4</v>
      </c>
      <c r="X15" s="68">
        <f>$T$15*[2]production!O34</f>
        <v>2.054854492673875E-2</v>
      </c>
      <c r="Y15" s="68">
        <f>$T$15*[2]production!P34</f>
        <v>1.29144405676513E-2</v>
      </c>
      <c r="Z15" s="68">
        <f>$T$15*[2]production!Q34</f>
        <v>7.516415951561269E-4</v>
      </c>
      <c r="AA15" s="68">
        <f>$T$15*[2]production!R34</f>
        <v>9.8694392387460913E-6</v>
      </c>
      <c r="AB15" s="68">
        <f>$T$15*[2]production!S34</f>
        <v>0.3754111227417381</v>
      </c>
      <c r="AC15" s="68">
        <f>$T$15*[2]production!T34</f>
        <v>1.156027901776146E-3</v>
      </c>
      <c r="AD15" s="68">
        <f>$T$15*[2]production!U34</f>
        <v>0.30572915739949685</v>
      </c>
      <c r="AE15" s="68">
        <f>$T$15*[2]production!V34</f>
        <v>2.0342217781898546E-5</v>
      </c>
      <c r="AF15" s="68">
        <f>$T$15*[2]production!W34</f>
        <v>9.8739084187787329E-4</v>
      </c>
      <c r="AG15" s="68">
        <f>$T$15*[2]production!X34</f>
        <v>1.8908355854759965E-6</v>
      </c>
      <c r="AH15" s="68">
        <f>$T$15*[2]production!Y34</f>
        <v>5.2972446063540057E-9</v>
      </c>
      <c r="AI15" s="68">
        <f>$T$15*[2]production!Z34</f>
        <v>6.1580831669742964E-5</v>
      </c>
      <c r="AJ15" s="68">
        <f>$T$15*[2]production!AA34</f>
        <v>1.634677083271862E-4</v>
      </c>
      <c r="AK15" s="68">
        <f>$T$15*[2]production!AB34</f>
        <v>1.1012804463763091E-4</v>
      </c>
      <c r="AL15" s="68">
        <f>$T$15*[2]production!AC34</f>
        <v>1.418443256025976E-5</v>
      </c>
      <c r="AM15" s="68">
        <f>$T$15*[2]production!AD34</f>
        <v>2.0129931730348161E-4</v>
      </c>
      <c r="AN15" s="68">
        <f>$T$15*[2]production!AE34</f>
        <v>6.3077262117338515E-5</v>
      </c>
      <c r="AO15" s="68">
        <f>$T$15*[2]production!AF34</f>
        <v>9.1849098304134385E-4</v>
      </c>
      <c r="AP15" s="68">
        <f>$T$15*[2]production!AG34</f>
        <v>3.4287549210412081E-3</v>
      </c>
      <c r="AQ15" s="68">
        <f>$T$15*[2]production!AH34</f>
        <v>1.594379976644227E-3</v>
      </c>
      <c r="AR15" s="10"/>
    </row>
    <row r="16" spans="1:44">
      <c r="A16" s="1" t="s">
        <v>34</v>
      </c>
      <c r="B16" s="31">
        <f t="shared" si="1"/>
        <v>53.238311636362162</v>
      </c>
      <c r="C16" s="2">
        <v>0.8</v>
      </c>
      <c r="D16" s="2">
        <f>1000/160*112</f>
        <v>700</v>
      </c>
      <c r="E16" s="2">
        <v>0.6</v>
      </c>
      <c r="F16" s="62">
        <f>I18/1000/$N$16/E16</f>
        <v>4.9689090860604683E-5</v>
      </c>
      <c r="G16" s="1">
        <v>112</v>
      </c>
      <c r="H16" s="1">
        <v>1</v>
      </c>
      <c r="I16">
        <f>G14*H16</f>
        <v>172</v>
      </c>
      <c r="J16">
        <f>I16/1000/D14/C14*1000000000</f>
        <v>199999.99999999997</v>
      </c>
      <c r="N16">
        <f>J20/500</f>
        <v>696.09314026593427</v>
      </c>
      <c r="P16" s="10">
        <f>F14*1000/G14</f>
        <v>2.3943156026935359E-3</v>
      </c>
      <c r="Q16" s="10">
        <f>P16/1.1</f>
        <v>2.1766505479032141E-3</v>
      </c>
      <c r="R16" t="s">
        <v>152</v>
      </c>
      <c r="S16" t="s">
        <v>31</v>
      </c>
      <c r="T16" s="10">
        <f>F22</f>
        <v>4.8533333333333338E-4</v>
      </c>
      <c r="U16" s="68">
        <f>$T$16*'[1]spiro-OMeTAD'!D33</f>
        <v>5.8990736460538019E-2</v>
      </c>
      <c r="V16" s="69">
        <f>$T$16*'[1]spiro-OMeTAD'!M33</f>
        <v>0.95029313625411649</v>
      </c>
      <c r="W16" s="68">
        <f>$T$16*'[1]spiro-OMeTAD'!N33</f>
        <v>1.4446962941748775E-2</v>
      </c>
      <c r="X16" s="68">
        <f>$T$16*'[1]spiro-OMeTAD'!O33</f>
        <v>5.3325999148538021E-2</v>
      </c>
      <c r="Y16" s="68">
        <f>$T$16*'[1]spiro-OMeTAD'!P33</f>
        <v>1.7212551131883046E-2</v>
      </c>
      <c r="Z16" s="68">
        <f>$T$16*'[1]spiro-OMeTAD'!Q33</f>
        <v>3.6022185908921645E-3</v>
      </c>
      <c r="AA16" s="68">
        <f>$T$16*'[1]spiro-OMeTAD'!R33</f>
        <v>6.2084451774708786E-5</v>
      </c>
      <c r="AB16" s="68">
        <f>$T$16*'[1]spiro-OMeTAD'!S33</f>
        <v>3.1780187373847961</v>
      </c>
      <c r="AC16" s="68">
        <f>$T$16*'[1]spiro-OMeTAD'!T33</f>
        <v>5.425748267789474E-3</v>
      </c>
      <c r="AD16" s="68">
        <f>$T$16*'[1]spiro-OMeTAD'!U33</f>
        <v>2.6876477184692407</v>
      </c>
      <c r="AE16" s="68">
        <f>$T$16*'[1]spiro-OMeTAD'!V33</f>
        <v>5.9703292241590662E-5</v>
      </c>
      <c r="AF16" s="68">
        <f>$T$16*'[1]spiro-OMeTAD'!W33</f>
        <v>2.4510734117239781E-3</v>
      </c>
      <c r="AG16" s="68">
        <f>$T$16*'[1]spiro-OMeTAD'!X33</f>
        <v>4.6520878572163748E-6</v>
      </c>
      <c r="AH16" s="68">
        <f>$T$16*'[1]spiro-OMeTAD'!Y33</f>
        <v>5.0178615695532183E-9</v>
      </c>
      <c r="AI16" s="68">
        <f>$T$16*'[1]spiro-OMeTAD'!Z33</f>
        <v>3.0097521944776604E-4</v>
      </c>
      <c r="AJ16" s="68">
        <f>$T$16*'[1]spiro-OMeTAD'!AA33</f>
        <v>2.1241601311438598E-4</v>
      </c>
      <c r="AK16" s="68">
        <f>$T$16*'[1]spiro-OMeTAD'!AB33</f>
        <v>2.905501266732165E-4</v>
      </c>
      <c r="AL16" s="68">
        <f>$T$16*'[1]spiro-OMeTAD'!AC33</f>
        <v>6.0226963830830417E-5</v>
      </c>
      <c r="AM16" s="68">
        <f>$T$16*'[1]spiro-OMeTAD'!AD33</f>
        <v>7.8863945031672515E-4</v>
      </c>
      <c r="AN16" s="68">
        <f>$T$16*'[1]spiro-OMeTAD'!AE33</f>
        <v>1.7518287687485383E-4</v>
      </c>
      <c r="AO16" s="68">
        <f>$T$16*'[1]spiro-OMeTAD'!AF33</f>
        <v>3.0959598506853803E-3</v>
      </c>
      <c r="AP16" s="68">
        <f>$T$16*'[1]spiro-OMeTAD'!AG33</f>
        <v>2.4260301199850298E-2</v>
      </c>
      <c r="AQ16" s="68">
        <f>$T$16*'[1]spiro-OMeTAD'!AH33</f>
        <v>2.1777012333099419E-3</v>
      </c>
      <c r="AR16" s="10"/>
    </row>
    <row r="17" spans="1:45">
      <c r="A17" s="1" t="s">
        <v>35</v>
      </c>
      <c r="B17" s="31">
        <f t="shared" si="1"/>
        <v>18.335642239625479</v>
      </c>
      <c r="C17" s="2">
        <v>0.8</v>
      </c>
      <c r="D17" s="2">
        <v>6660</v>
      </c>
      <c r="E17" s="2">
        <v>0.6</v>
      </c>
      <c r="F17" s="62">
        <f>I19/1000/$N$16/E17</f>
        <v>1.6282050308787427E-4</v>
      </c>
      <c r="G17" s="1">
        <v>367</v>
      </c>
      <c r="H17" s="1">
        <v>1.05</v>
      </c>
      <c r="I17">
        <f>G15*H17</f>
        <v>484.05</v>
      </c>
      <c r="J17">
        <f>I17/1000/D15/C15*1000000000</f>
        <v>98224.431818181809</v>
      </c>
      <c r="P17" s="10">
        <f>F15*1000/G15</f>
        <v>2.5140313828282139E-3</v>
      </c>
      <c r="Q17" s="10"/>
      <c r="R17" t="s">
        <v>25</v>
      </c>
      <c r="S17" t="s">
        <v>152</v>
      </c>
      <c r="T17" s="10">
        <f>F23</f>
        <v>5.6830137358901132E-5</v>
      </c>
      <c r="U17" s="68">
        <f>$T$17*[7]inventory!AZ37</f>
        <v>2.5239247726899154E-3</v>
      </c>
      <c r="V17" s="69">
        <f>$T$17*[7]inventory!BA37</f>
        <v>3.9592547662353358E-2</v>
      </c>
      <c r="W17" s="68">
        <f>$T$17*[7]inventory!BB37</f>
        <v>2.0917297678665848E-4</v>
      </c>
      <c r="X17" s="68">
        <f>$T$17*[7]inventory!BC37</f>
        <v>2.1431002528685831E-3</v>
      </c>
      <c r="Y17" s="68">
        <f>$T$17*[7]inventory!BD37</f>
        <v>8.5061515927054888E-4</v>
      </c>
      <c r="Z17" s="68">
        <f>$T$17*[7]inventory!BE37</f>
        <v>1.2338627404517654E-4</v>
      </c>
      <c r="AA17" s="68">
        <f>$T$17*[7]inventory!BF37</f>
        <v>2.3512085643985703E-6</v>
      </c>
      <c r="AB17" s="68">
        <f>$T$17*[7]inventory!BG37</f>
        <v>0.1056762476850138</v>
      </c>
      <c r="AC17" s="68">
        <f>$T$17*[7]inventory!BH37</f>
        <v>1.1508554337850631E-4</v>
      </c>
      <c r="AD17" s="68">
        <f>$T$17*[7]inventory!BI37</f>
        <v>8.6880979753488755E-2</v>
      </c>
      <c r="AE17" s="68">
        <f>$T$17*[7]inventory!BJ37</f>
        <v>2.572529896410387E-6</v>
      </c>
      <c r="AF17" s="68">
        <f>$T$17*[7]inventory!BK37</f>
        <v>7.6877019529887055E-5</v>
      </c>
      <c r="AG17" s="68">
        <f>$T$17*[7]inventory!BL37</f>
        <v>3.5956185249675795E-7</v>
      </c>
      <c r="AH17" s="68">
        <f>$T$17*[7]inventory!BM37</f>
        <v>3.0022406068942548E-10</v>
      </c>
      <c r="AI17" s="68">
        <f>$T$17*[7]inventory!BN37</f>
        <v>5.1335555556898712E-6</v>
      </c>
      <c r="AJ17" s="68">
        <f>$T$17*[7]inventory!BO37</f>
        <v>7.5186324609781637E-6</v>
      </c>
      <c r="AK17" s="68">
        <f>$T$17*[7]inventory!BP37</f>
        <v>1.6150374937254973E-5</v>
      </c>
      <c r="AL17" s="68">
        <f>$T$17*[7]inventory!BQ37</f>
        <v>1.9951201026088355E-6</v>
      </c>
      <c r="AM17" s="68">
        <f>$T$17*[7]inventory!BR37</f>
        <v>2.0271887285112048E-5</v>
      </c>
      <c r="AN17" s="68">
        <f>$T$17*[7]inventory!BS37</f>
        <v>5.1584117687559955E-6</v>
      </c>
      <c r="AO17" s="68">
        <f>$T$17*[7]inventory!BT37</f>
        <v>1.0040987876326827E-4</v>
      </c>
      <c r="AP17" s="68">
        <f>$T$17*[7]inventory!BU37</f>
        <v>8.0965559192170799E-4</v>
      </c>
      <c r="AQ17" s="68">
        <f>$T$17*[7]inventory!BV37</f>
        <v>1.0556492285287907E-4</v>
      </c>
    </row>
    <row r="18" spans="1:45">
      <c r="A18" s="1" t="s">
        <v>36</v>
      </c>
      <c r="B18" s="2"/>
      <c r="C18" s="2"/>
      <c r="D18" s="2">
        <v>944</v>
      </c>
      <c r="E18" s="2">
        <v>0.6</v>
      </c>
      <c r="F18" s="62">
        <f>Q16*0.8/1000*D18</f>
        <v>1.6438064937765074E-3</v>
      </c>
      <c r="H18" s="1">
        <f>H19</f>
        <v>0.18529411764705883</v>
      </c>
      <c r="I18">
        <f>G16*H18</f>
        <v>20.752941176470589</v>
      </c>
      <c r="J18">
        <f>I18/1000/D16/C16*1000000000</f>
        <v>37058.823529411769</v>
      </c>
      <c r="R18" t="s">
        <v>40</v>
      </c>
      <c r="S18" t="s">
        <v>25</v>
      </c>
      <c r="T18" s="10">
        <f>F24</f>
        <v>2.627558115535076E-4</v>
      </c>
      <c r="U18" s="68">
        <f>$T$18*[2]production!D71</f>
        <v>1.0719123332325344E-3</v>
      </c>
      <c r="V18" s="69">
        <f>$T$18*[2]production!M71</f>
        <v>2.9014695842552819E-2</v>
      </c>
      <c r="W18" s="68">
        <f>$T$18*[2]production!N71</f>
        <v>1.6157643119859841E-5</v>
      </c>
      <c r="X18" s="68">
        <f>$T$18*[2]production!O71</f>
        <v>9.6623194582571344E-4</v>
      </c>
      <c r="Y18" s="68">
        <f>$T$18*[2]production!P71</f>
        <v>6.6658521833009351E-4</v>
      </c>
      <c r="Z18" s="68">
        <f>$T$18*[2]production!Q71</f>
        <v>4.6097879578947376E-6</v>
      </c>
      <c r="AA18" s="68">
        <f>$T$18*[2]production!R71</f>
        <v>1.1260663059937121E-7</v>
      </c>
      <c r="AB18" s="68">
        <f>$T$18*[2]production!S71</f>
        <v>7.5345228962968303E-3</v>
      </c>
      <c r="AC18" s="68">
        <f>$T$18*[2]production!T71</f>
        <v>2.320501674153647E-5</v>
      </c>
      <c r="AD18" s="68">
        <f>$T$18*[2]production!U71</f>
        <v>5.8957148996376029E-3</v>
      </c>
      <c r="AE18" s="68">
        <f>$T$18*[2]production!V71</f>
        <v>4.41823897127223E-6</v>
      </c>
      <c r="AF18" s="68">
        <f>$T$18*[2]production!W71</f>
        <v>2.8322448927352582E-5</v>
      </c>
      <c r="AG18" s="68">
        <f>$T$18*[2]production!X71</f>
        <v>1.0913562632874938E-7</v>
      </c>
      <c r="AH18" s="68">
        <f>$T$18*[2]production!Y71</f>
        <v>5.2356723010151925E-11</v>
      </c>
      <c r="AI18" s="68">
        <f>$T$18*[2]production!Z71</f>
        <v>1.6398852954865964E-6</v>
      </c>
      <c r="AJ18" s="68">
        <f>$T$18*[2]production!AA71</f>
        <v>2.4772617913264698E-6</v>
      </c>
      <c r="AK18" s="68">
        <f>$T$18*[2]production!AB71</f>
        <v>6.9483146807209546E-6</v>
      </c>
      <c r="AL18" s="68">
        <f>$T$18*[2]production!AC71</f>
        <v>6.46773430138959E-7</v>
      </c>
      <c r="AM18" s="68">
        <f>$T$18*[2]production!AD71</f>
        <v>2.5823115647855619E-6</v>
      </c>
      <c r="AN18" s="68">
        <f>$T$18*[2]production!AE71</f>
        <v>2.4869049296104832E-6</v>
      </c>
      <c r="AO18" s="68">
        <f>$T$18*[2]production!AF71</f>
        <v>3.2211234938344495E-5</v>
      </c>
      <c r="AP18" s="68">
        <f>$T$18*[2]production!AG71</f>
        <v>8.8950724885208926E-5</v>
      </c>
      <c r="AQ18" s="68">
        <f>$T$18*[2]production!AH71</f>
        <v>8.1238841816113478E-5</v>
      </c>
    </row>
    <row r="19" spans="1:45">
      <c r="A19" s="1" t="s">
        <v>37</v>
      </c>
      <c r="B19" s="2"/>
      <c r="C19" s="2"/>
      <c r="D19" s="2">
        <v>1100</v>
      </c>
      <c r="E19" s="2">
        <v>0.6</v>
      </c>
      <c r="F19" s="62">
        <f>Q16*0.2/1000*D19</f>
        <v>4.7886312053870711E-4</v>
      </c>
      <c r="H19" s="1">
        <f>H17/0.85*0.15</f>
        <v>0.18529411764705883</v>
      </c>
      <c r="I19">
        <f>G17*H19</f>
        <v>68.002941176470586</v>
      </c>
      <c r="J19">
        <f>I19/1000/D17/C17*1000000000</f>
        <v>12763.314785373608</v>
      </c>
      <c r="R19" t="s">
        <v>38</v>
      </c>
      <c r="S19" t="s">
        <v>40</v>
      </c>
      <c r="T19" s="10">
        <f>F25</f>
        <v>1.7856940024479806E-5</v>
      </c>
      <c r="U19" s="70"/>
      <c r="V19" s="71"/>
      <c r="W19" s="70"/>
      <c r="X19" s="70"/>
      <c r="Y19" s="70"/>
      <c r="Z19" s="70"/>
      <c r="AA19" s="70"/>
      <c r="AB19" s="70"/>
      <c r="AC19" s="70"/>
      <c r="AD19" s="70"/>
      <c r="AE19" s="70"/>
      <c r="AF19" s="70"/>
      <c r="AG19" s="70"/>
      <c r="AH19" s="70"/>
      <c r="AI19" s="70"/>
      <c r="AJ19" s="70"/>
      <c r="AK19" s="70"/>
      <c r="AL19" s="70"/>
      <c r="AM19" s="70"/>
      <c r="AN19" s="70"/>
      <c r="AO19" s="70"/>
      <c r="AP19" s="70"/>
      <c r="AQ19" s="70"/>
    </row>
    <row r="20" spans="1:45">
      <c r="A20" s="1" t="s">
        <v>32</v>
      </c>
      <c r="B20" s="2"/>
      <c r="C20" s="2"/>
      <c r="D20" s="2"/>
      <c r="E20" s="2">
        <v>1</v>
      </c>
      <c r="F20" s="62">
        <f>110/1000000*1000*1.11/1000</f>
        <v>1.2210000000000001E-4</v>
      </c>
      <c r="H20" s="1" t="s">
        <v>27</v>
      </c>
      <c r="J20">
        <f>SUM(J16:J19)</f>
        <v>348046.57013296714</v>
      </c>
      <c r="R20" t="s">
        <v>165</v>
      </c>
      <c r="S20" t="s">
        <v>38</v>
      </c>
      <c r="T20" s="10">
        <f>F26</f>
        <v>1.7821297429620566E-4</v>
      </c>
      <c r="U20" s="68">
        <f>$T$20*[2]production!D72</f>
        <v>1.9758472460220324E-3</v>
      </c>
      <c r="V20" s="69">
        <f>$T$20*[2]production!M72</f>
        <v>3.2400038484210532E-2</v>
      </c>
      <c r="W20" s="68">
        <f>$T$20*[2]production!N72</f>
        <v>1.0997166217870259E-4</v>
      </c>
      <c r="X20" s="68">
        <f>$T$20*[2]production!O72</f>
        <v>1.8117130966952269E-3</v>
      </c>
      <c r="Y20" s="68">
        <f>$T$20*[2]production!P72</f>
        <v>6.6473439412484717E-4</v>
      </c>
      <c r="Z20" s="68">
        <f>$T$20*[2]production!Q72</f>
        <v>2.5757121175030602E-5</v>
      </c>
      <c r="AA20" s="68">
        <f>$T$20*[2]production!R72</f>
        <v>8.4886403916768693E-7</v>
      </c>
      <c r="AB20" s="68">
        <f>$T$20*[2]production!S72</f>
        <v>3.8360342717258272E-2</v>
      </c>
      <c r="AC20" s="68">
        <f>$T$20*[2]production!T72</f>
        <v>1.6032217380660958E-4</v>
      </c>
      <c r="AD20" s="68">
        <f>$T$20*[2]production!U72</f>
        <v>3.0280166462668304E-2</v>
      </c>
      <c r="AE20" s="68">
        <f>$T$20*[2]production!V72</f>
        <v>2.2264146878824974E-6</v>
      </c>
      <c r="AF20" s="68">
        <f>$T$20*[2]production!W72</f>
        <v>1.2030801468788252E-4</v>
      </c>
      <c r="AG20" s="68">
        <f>$T$20*[2]production!X72</f>
        <v>2.6637493268053864E-7</v>
      </c>
      <c r="AH20" s="68">
        <f>$T$20*[2]production!Y72</f>
        <v>5.0006560587515303E-10</v>
      </c>
      <c r="AI20" s="68">
        <f>$T$20*[2]production!Z72</f>
        <v>5.1211280293757666E-6</v>
      </c>
      <c r="AJ20" s="68">
        <f>$T$20*[2]production!AA72</f>
        <v>5.6559451652386792E-6</v>
      </c>
      <c r="AK20" s="68">
        <f>$T$20*[2]production!AB72</f>
        <v>1.0020024479804162E-5</v>
      </c>
      <c r="AL20" s="68">
        <f>$T$20*[2]production!AC72</f>
        <v>1.8466428396572831E-6</v>
      </c>
      <c r="AM20" s="68">
        <f>$T$20*[2]production!AD72</f>
        <v>1.6181381640146883E-5</v>
      </c>
      <c r="AN20" s="68">
        <f>$T$20*[2]production!AE72</f>
        <v>5.8118815177478598E-6</v>
      </c>
      <c r="AO20" s="68">
        <f>$T$20*[2]production!AF72</f>
        <v>8.1819358629130987E-5</v>
      </c>
      <c r="AP20" s="68">
        <f>$T$20*[2]production!AG72</f>
        <v>3.3627006119951047E-4</v>
      </c>
      <c r="AQ20" s="68">
        <f>$T$20*[2]production!AH72</f>
        <v>8.5285600979192187E-5</v>
      </c>
      <c r="AR20" s="10"/>
    </row>
    <row r="21" spans="1:45">
      <c r="A21" s="7" t="s">
        <v>19</v>
      </c>
      <c r="B21" s="2"/>
      <c r="C21" s="2"/>
      <c r="D21" s="2"/>
      <c r="E21" s="2"/>
      <c r="F21" s="61"/>
      <c r="G21" s="1"/>
      <c r="H21" s="1"/>
      <c r="S21" s="76" t="s">
        <v>165</v>
      </c>
      <c r="T21" s="77">
        <f>F29</f>
        <v>1.1468800000000001E-3</v>
      </c>
      <c r="U21" s="77">
        <f>$T$21*[3]production!D133</f>
        <v>5.7836011520000005E-3</v>
      </c>
      <c r="V21" s="77">
        <f>$T$21*[3]production!M133</f>
        <v>8.3168110626406416E-2</v>
      </c>
      <c r="W21" s="77">
        <f>$T$21*[3]production!N133</f>
        <v>4.2295787520000005E-4</v>
      </c>
      <c r="X21" s="77">
        <f>$T$21*[3]production!O133</f>
        <v>5.2787445759999996E-3</v>
      </c>
      <c r="Y21" s="77">
        <f>$T$21*[3]production!P133</f>
        <v>1.5326904320000002E-3</v>
      </c>
      <c r="Z21" s="77">
        <f>$T$21*[3]production!Q133</f>
        <v>5.6912773120000003E-3</v>
      </c>
      <c r="AA21" s="77">
        <f>$T$21*[3]production!R133</f>
        <v>1.6767385600000001E-4</v>
      </c>
      <c r="AB21" s="77">
        <f>$T$21*[3]production!S133</f>
        <v>14.323384320000001</v>
      </c>
      <c r="AC21" s="77">
        <f>$T$21*[3]production!T133</f>
        <v>5.3501952000000006E-4</v>
      </c>
      <c r="AD21" s="77">
        <f>$T$21*[3]production!U133</f>
        <v>7.4892410880000009</v>
      </c>
      <c r="AE21" s="77">
        <f>$T$21*[3]production!V133</f>
        <v>3.4456862720000002E-5</v>
      </c>
      <c r="AF21" s="77">
        <f>$T$21*[3]production!W133</f>
        <v>5.4906880000000005E-2</v>
      </c>
      <c r="AG21" s="77">
        <f>$T$21*[3]production!X133</f>
        <v>2.2827499520000001E-6</v>
      </c>
      <c r="AH21" s="77">
        <f>$T$21*[3]production!Y133</f>
        <v>3.4415575040000006E-10</v>
      </c>
      <c r="AI21" s="77">
        <f>$T$21*[3]production!Z133</f>
        <v>1.6676782080000003E-4</v>
      </c>
      <c r="AJ21" s="77">
        <f>$T$21*[3]production!AA133</f>
        <v>1.0717478912000002E-4</v>
      </c>
      <c r="AK21" s="77">
        <f>$T$21*[3]production!AB133</f>
        <v>5.5892049919999999E-4</v>
      </c>
      <c r="AL21" s="77">
        <f>$T$21*[3]production!AC133</f>
        <v>7.0557204480000009E-4</v>
      </c>
      <c r="AM21" s="77">
        <f>$T$21*[3]production!AD133</f>
        <v>5.003952128E-4</v>
      </c>
      <c r="AN21" s="77">
        <f>$T$21*[3]production!AE133</f>
        <v>1.8531287040000002E-4</v>
      </c>
      <c r="AO21" s="77">
        <f>$T$21*[3]production!AF133</f>
        <v>2.6427555840000004E-3</v>
      </c>
      <c r="AP21" s="77">
        <f>$T$21*[3]production!AG133</f>
        <v>9.8409185280000006E-2</v>
      </c>
      <c r="AQ21" s="77">
        <f>$T$21*[3]production!AH133</f>
        <v>2.7324416000000002E-3</v>
      </c>
    </row>
    <row r="22" spans="1:45">
      <c r="A22" s="1" t="s">
        <v>31</v>
      </c>
      <c r="B22" s="2">
        <v>200</v>
      </c>
      <c r="C22" s="2">
        <v>0.8</v>
      </c>
      <c r="D22" s="2">
        <v>1820</v>
      </c>
      <c r="E22" s="2">
        <v>0.6</v>
      </c>
      <c r="F22" s="62">
        <f>B22/1000000000*C22*D22/E22</f>
        <v>4.8533333333333338E-4</v>
      </c>
      <c r="G22" s="9">
        <f>F22*1000/1225.5</f>
        <v>3.9602883176934587E-4</v>
      </c>
      <c r="H22" s="1" t="s">
        <v>39</v>
      </c>
      <c r="S22" s="76" t="s">
        <v>166</v>
      </c>
      <c r="T22" s="77">
        <f t="shared" ref="T22:T23" si="2">F30</f>
        <v>8.6496969696969697E-2</v>
      </c>
      <c r="U22" s="77">
        <f>$T$22*[3]production!D46</f>
        <v>0.23246925575757577</v>
      </c>
      <c r="V22" s="77">
        <f>$T$22*[3]production!M46</f>
        <v>3.4927646546424245</v>
      </c>
      <c r="W22" s="77">
        <f>$T$22*[3]production!N46</f>
        <v>1.2163203878787878E-2</v>
      </c>
      <c r="X22" s="77">
        <f>$T$22*[3]production!O46</f>
        <v>0.21502281696969697</v>
      </c>
      <c r="Y22" s="77">
        <f>$T$22*[3]production!P46</f>
        <v>6.1747591757575757E-2</v>
      </c>
      <c r="Z22" s="77">
        <f>$T$22*[3]production!Q46</f>
        <v>3.0562839272727268E-3</v>
      </c>
      <c r="AA22" s="77">
        <f>$T$22*[3]production!R46</f>
        <v>1.2599148606060606E-4</v>
      </c>
      <c r="AB22" s="77">
        <f>$T$22*[3]production!S46</f>
        <v>4.0471067151515152</v>
      </c>
      <c r="AC22" s="77">
        <f>$T$22*[3]production!T46</f>
        <v>3.5819260121212122E-2</v>
      </c>
      <c r="AD22" s="77">
        <f>$T$22*[3]production!U46</f>
        <v>3.488163296969697</v>
      </c>
      <c r="AE22" s="77">
        <f>$T$22*[3]production!V46</f>
        <v>2.0981569939393938E-4</v>
      </c>
      <c r="AF22" s="77">
        <f>$T$22*[3]production!W46</f>
        <v>2.8037992727272727E-3</v>
      </c>
      <c r="AG22" s="77">
        <f>$T$22*[3]production!X46</f>
        <v>2.5558989575757575E-5</v>
      </c>
      <c r="AH22" s="77">
        <f>$T$22*[3]production!Y46</f>
        <v>1.2866424242424243E-8</v>
      </c>
      <c r="AI22" s="77">
        <f>$T$22*[3]production!Z46</f>
        <v>7.2064950303030303E-4</v>
      </c>
      <c r="AJ22" s="77">
        <f>$T$22*[3]production!AA46</f>
        <v>5.7331921454545451E-4</v>
      </c>
      <c r="AK22" s="77">
        <f>$T$22*[3]production!AB46</f>
        <v>1.1354457212121212E-3</v>
      </c>
      <c r="AL22" s="77">
        <f>$T$22*[3]production!AC46</f>
        <v>7.7792779636363637E-5</v>
      </c>
      <c r="AM22" s="77">
        <f>$T$22*[3]production!AD46</f>
        <v>1.3830000484848484E-3</v>
      </c>
      <c r="AN22" s="77">
        <f>$T$22*[3]production!AE46</f>
        <v>9.1038060606060602E-4</v>
      </c>
      <c r="AO22" s="77">
        <f>$T$22*[3]production!AF46</f>
        <v>9.2024126060606063E-3</v>
      </c>
      <c r="AP22" s="77">
        <f>$T$22*[3]production!AG46</f>
        <v>3.6797540848484848E-2</v>
      </c>
      <c r="AQ22" s="77">
        <f>$T$22*[3]production!AH46</f>
        <v>7.534405042424243E-3</v>
      </c>
      <c r="AR22" s="10"/>
      <c r="AS22" s="10"/>
    </row>
    <row r="23" spans="1:45">
      <c r="A23" s="1" t="s">
        <v>146</v>
      </c>
      <c r="B23" s="2" t="s">
        <v>8</v>
      </c>
      <c r="C23" s="2" t="s">
        <v>8</v>
      </c>
      <c r="D23" s="2" t="s">
        <v>8</v>
      </c>
      <c r="E23" s="2">
        <v>0.6</v>
      </c>
      <c r="F23" s="62">
        <f>G22/0.06*0.03*287/1000</f>
        <v>5.6830137358901132E-5</v>
      </c>
      <c r="S23" s="76" t="s">
        <v>167</v>
      </c>
      <c r="T23" s="77">
        <f t="shared" si="2"/>
        <v>8.6496969696969701E-5</v>
      </c>
      <c r="U23" s="77">
        <f>$T$23*[3]production!D91</f>
        <v>1.0245566060606062E-4</v>
      </c>
      <c r="V23" s="77">
        <f>$T$23*[3]production!M91</f>
        <v>1.3958710916654544E-3</v>
      </c>
      <c r="W23" s="77">
        <f>$T$23*[3]production!N91</f>
        <v>4.0292018424242424E-6</v>
      </c>
      <c r="X23" s="77">
        <f>$T$23*[3]production!O91</f>
        <v>9.4575786666666658E-5</v>
      </c>
      <c r="Y23" s="77">
        <f>$T$23*[3]production!P91</f>
        <v>2.6769947151515151E-5</v>
      </c>
      <c r="Z23" s="77">
        <f>$T$23*[3]production!Q91</f>
        <v>1.2369931636363636E-6</v>
      </c>
      <c r="AA23" s="77">
        <f>$T$23*[3]production!R91</f>
        <v>5.0247819636363637E-8</v>
      </c>
      <c r="AB23" s="77">
        <f>$T$23*[3]production!S91</f>
        <v>1.6725919030303031E-3</v>
      </c>
      <c r="AC23" s="77">
        <f>$T$23*[3]production!T91</f>
        <v>1.0400395636363637E-5</v>
      </c>
      <c r="AD23" s="77">
        <f>$T$23*[3]production!U91</f>
        <v>1.430140896969697E-3</v>
      </c>
      <c r="AE23" s="77">
        <f>$T$23*[3]production!V91</f>
        <v>9.3485924848484851E-8</v>
      </c>
      <c r="AF23" s="77">
        <f>$T$23*[3]production!W91</f>
        <v>1.0461808484848485E-6</v>
      </c>
      <c r="AG23" s="77">
        <f>$T$23*[3]production!X91</f>
        <v>1.1111400727272729E-8</v>
      </c>
      <c r="AH23" s="77">
        <f>$T$23*[3]production!Y91</f>
        <v>4.6454927515151515E-12</v>
      </c>
      <c r="AI23" s="77">
        <f>$T$23*[3]production!Z91</f>
        <v>3.4525265454545459E-7</v>
      </c>
      <c r="AJ23" s="77">
        <f>$T$23*[3]production!AA91</f>
        <v>2.5861728969696971E-7</v>
      </c>
      <c r="AK23" s="77">
        <f>$T$23*[3]production!AB91</f>
        <v>5.0606782060606061E-7</v>
      </c>
      <c r="AL23" s="77">
        <f>$T$23*[3]production!AC91</f>
        <v>3.2430308848484847E-8</v>
      </c>
      <c r="AM23" s="77">
        <f>$T$23*[3]production!AD91</f>
        <v>6.1585842424242428E-7</v>
      </c>
      <c r="AN23" s="77">
        <f>$T$23*[3]production!AE91</f>
        <v>3.7577743515151514E-7</v>
      </c>
      <c r="AO23" s="77">
        <f>$T$23*[3]production!AF91</f>
        <v>3.9166692848484848E-6</v>
      </c>
      <c r="AP23" s="77">
        <f>$T$23*[3]production!AG91</f>
        <v>1.5534855757575758E-5</v>
      </c>
      <c r="AQ23" s="77">
        <f>$T$23*[3]production!AH91</f>
        <v>3.2586868363636362E-6</v>
      </c>
      <c r="AR23" s="10"/>
      <c r="AS23" s="10"/>
    </row>
    <row r="24" spans="1:45">
      <c r="A24" s="1" t="s">
        <v>25</v>
      </c>
      <c r="F24" s="62">
        <f>F23*1000000/170*1*0.786/1000</f>
        <v>2.627558115535076E-4</v>
      </c>
      <c r="S24" s="11" t="s">
        <v>21</v>
      </c>
      <c r="T24" s="10"/>
      <c r="U24" s="72">
        <f>SUM(U25:U45)</f>
        <v>0</v>
      </c>
      <c r="V24" s="72">
        <f t="shared" ref="V24:AQ24" si="3">SUM(V25:V45)</f>
        <v>0</v>
      </c>
      <c r="W24" s="72">
        <f t="shared" si="3"/>
        <v>0</v>
      </c>
      <c r="X24" s="72">
        <f t="shared" si="3"/>
        <v>0</v>
      </c>
      <c r="Y24" s="72">
        <f t="shared" si="3"/>
        <v>0</v>
      </c>
      <c r="Z24" s="72">
        <f t="shared" si="3"/>
        <v>2.3008993825820227E-2</v>
      </c>
      <c r="AA24" s="72">
        <f t="shared" si="3"/>
        <v>0</v>
      </c>
      <c r="AB24" s="72">
        <f>SUM(AB25:AB45)</f>
        <v>3.0107065010989028E-2</v>
      </c>
      <c r="AC24" s="72">
        <f t="shared" si="3"/>
        <v>0</v>
      </c>
      <c r="AD24" s="72">
        <f t="shared" si="3"/>
        <v>52.462004997903506</v>
      </c>
      <c r="AE24" s="72">
        <f t="shared" si="3"/>
        <v>0</v>
      </c>
      <c r="AF24" s="72">
        <f t="shared" si="3"/>
        <v>0</v>
      </c>
      <c r="AG24" s="72">
        <f t="shared" si="3"/>
        <v>0</v>
      </c>
      <c r="AH24" s="72">
        <f t="shared" si="3"/>
        <v>0</v>
      </c>
      <c r="AI24" s="72">
        <f t="shared" si="3"/>
        <v>0</v>
      </c>
      <c r="AJ24" s="72">
        <f t="shared" si="3"/>
        <v>4.1230354323475099E-3</v>
      </c>
      <c r="AK24" s="72">
        <f t="shared" si="3"/>
        <v>0</v>
      </c>
      <c r="AL24" s="72">
        <f t="shared" si="3"/>
        <v>0.24091160627675037</v>
      </c>
      <c r="AM24" s="72">
        <f t="shared" si="3"/>
        <v>0</v>
      </c>
      <c r="AN24" s="72">
        <f t="shared" si="3"/>
        <v>0</v>
      </c>
      <c r="AO24" s="72">
        <f t="shared" si="3"/>
        <v>6.6235361163490158E-2</v>
      </c>
      <c r="AP24" s="72">
        <f t="shared" si="3"/>
        <v>2.0717798916663425E-4</v>
      </c>
      <c r="AQ24" s="72">
        <f t="shared" si="3"/>
        <v>0</v>
      </c>
      <c r="AR24" s="10"/>
      <c r="AS24" s="10"/>
    </row>
    <row r="25" spans="1:45">
      <c r="A25" s="1" t="s">
        <v>40</v>
      </c>
      <c r="B25" s="2" t="s">
        <v>8</v>
      </c>
      <c r="C25" s="2" t="s">
        <v>8</v>
      </c>
      <c r="D25" s="2" t="s">
        <v>8</v>
      </c>
      <c r="E25" s="2">
        <v>0.6</v>
      </c>
      <c r="F25" s="62">
        <f>G22*0.03*1503/1000</f>
        <v>1.7856940024479806E-5</v>
      </c>
      <c r="S25" t="str">
        <f t="shared" ref="S25:S43" si="4">A33</f>
        <v>Ethanol</v>
      </c>
      <c r="T25" s="10">
        <f t="shared" ref="T25:T45" si="5">F33</f>
        <v>5.8944848799848803E-3</v>
      </c>
      <c r="U25" s="68">
        <f>$T$25*'[2]direct emissions'!D15</f>
        <v>0</v>
      </c>
      <c r="V25" s="68">
        <f>$T$25*'[2]direct emissions'!M15</f>
        <v>0</v>
      </c>
      <c r="W25" s="68">
        <f>$T$25*'[2]direct emissions'!N15</f>
        <v>0</v>
      </c>
      <c r="X25" s="68">
        <f>$T$25*'[2]direct emissions'!O15</f>
        <v>0</v>
      </c>
      <c r="Y25" s="68">
        <f>$T$25*'[2]direct emissions'!P15</f>
        <v>0</v>
      </c>
      <c r="Z25" s="68">
        <f>$T$25*'[2]direct emissions'!Q15</f>
        <v>6.196000099357561E-8</v>
      </c>
      <c r="AA25" s="68">
        <f>$T$25*'[2]direct emissions'!R15</f>
        <v>0</v>
      </c>
      <c r="AB25" s="68">
        <f>$T$25*'[2]direct emissions'!S15</f>
        <v>8.4685779341186454E-5</v>
      </c>
      <c r="AC25" s="68">
        <f>$T$25*'[2]direct emissions'!T15</f>
        <v>0</v>
      </c>
      <c r="AD25" s="68">
        <f>$T$25*'[2]direct emissions'!U15</f>
        <v>1.0532156575818702E-7</v>
      </c>
      <c r="AE25" s="68">
        <f>$T$25*'[2]direct emissions'!V15</f>
        <v>0</v>
      </c>
      <c r="AF25" s="68">
        <f>$T$25*'[2]direct emissions'!W15</f>
        <v>0</v>
      </c>
      <c r="AG25" s="68">
        <f>$T$25*'[2]direct emissions'!X15</f>
        <v>0</v>
      </c>
      <c r="AH25" s="68">
        <f>$T$25*'[2]direct emissions'!Y15</f>
        <v>0</v>
      </c>
      <c r="AI25" s="68">
        <f>$T$25*'[2]direct emissions'!Z15</f>
        <v>0</v>
      </c>
      <c r="AJ25" s="68">
        <f>$T$25*'[2]direct emissions'!AA15</f>
        <v>3.9728031539087282E-3</v>
      </c>
      <c r="AK25" s="68">
        <f>$T$25*'[2]direct emissions'!AB15</f>
        <v>0</v>
      </c>
      <c r="AL25" s="68">
        <f>$T$25*'[2]direct emissions'!AC15</f>
        <v>2.1915634088929412E-7</v>
      </c>
      <c r="AM25" s="68">
        <f>$T$25*'[2]direct emissions'!AD15</f>
        <v>0</v>
      </c>
      <c r="AN25" s="68">
        <f>$T$25*'[2]direct emissions'!AE15</f>
        <v>0</v>
      </c>
      <c r="AO25" s="68">
        <f>$T$25*'[2]direct emissions'!AF15</f>
        <v>4.8107592835215354E-8</v>
      </c>
      <c r="AP25" s="68">
        <f>$T$25*'[2]direct emissions'!AG15</f>
        <v>2.0899450589435789E-6</v>
      </c>
      <c r="AQ25" s="68">
        <f>$T$25*'[2]direct emissions'!AH15</f>
        <v>0</v>
      </c>
    </row>
    <row r="26" spans="1:45">
      <c r="A26" s="1" t="s">
        <v>38</v>
      </c>
      <c r="B26" s="2" t="s">
        <v>8</v>
      </c>
      <c r="C26" s="2" t="s">
        <v>8</v>
      </c>
      <c r="D26" s="2" t="s">
        <v>8</v>
      </c>
      <c r="E26" s="2">
        <v>0.6</v>
      </c>
      <c r="F26" s="62">
        <f>G22/0.06*0.2*135/1000</f>
        <v>1.7821297429620566E-4</v>
      </c>
      <c r="G26" s="1"/>
      <c r="H26" s="3"/>
      <c r="R26" s="10"/>
      <c r="S26" t="str">
        <f t="shared" si="4"/>
        <v>Titanium tetrachloride</v>
      </c>
      <c r="T26" s="10">
        <f t="shared" si="5"/>
        <v>6.027749999999998E-5</v>
      </c>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10"/>
      <c r="AS26" s="10"/>
    </row>
    <row r="27" spans="1:45">
      <c r="A27" s="1" t="s">
        <v>32</v>
      </c>
      <c r="B27" s="2" t="s">
        <v>8</v>
      </c>
      <c r="C27" s="2" t="s">
        <v>8</v>
      </c>
      <c r="D27" s="2" t="s">
        <v>8</v>
      </c>
      <c r="E27" s="2">
        <v>0.6</v>
      </c>
      <c r="F27" s="62">
        <f>G22/0.06*1000*1.11/1000</f>
        <v>7.3265333877328993E-3</v>
      </c>
      <c r="G27" s="1"/>
      <c r="H27" s="3"/>
      <c r="S27" t="str">
        <f t="shared" si="4"/>
        <v>Isopropanol</v>
      </c>
      <c r="T27" s="10">
        <f t="shared" si="5"/>
        <v>3.8096382536382536E-4</v>
      </c>
      <c r="U27" s="68">
        <f>$T$27*'[2]direct emissions'!D24</f>
        <v>0</v>
      </c>
      <c r="V27" s="68">
        <f>$T$27*'[2]direct emissions'!M24</f>
        <v>0</v>
      </c>
      <c r="W27" s="68">
        <f>$T$27*'[2]direct emissions'!N24</f>
        <v>0</v>
      </c>
      <c r="X27" s="68">
        <f>$T$27*'[2]direct emissions'!O24</f>
        <v>0</v>
      </c>
      <c r="Y27" s="68">
        <f>$T$27*'[2]direct emissions'!P24</f>
        <v>0</v>
      </c>
      <c r="Z27" s="68">
        <f>$T$27*'[2]direct emissions'!Q24</f>
        <v>0</v>
      </c>
      <c r="AA27" s="68">
        <f>$T$27*'[2]direct emissions'!R24</f>
        <v>0</v>
      </c>
      <c r="AB27" s="68">
        <f>$T$27*'[2]direct emissions'!S24</f>
        <v>0</v>
      </c>
      <c r="AC27" s="68">
        <f>$T$27*'[2]direct emissions'!T24</f>
        <v>0</v>
      </c>
      <c r="AD27" s="68">
        <f>$T$27*'[2]direct emissions'!U24</f>
        <v>0</v>
      </c>
      <c r="AE27" s="68">
        <f>$T$27*'[2]direct emissions'!V24</f>
        <v>0</v>
      </c>
      <c r="AF27" s="68">
        <f>$T$27*'[2]direct emissions'!W24</f>
        <v>0</v>
      </c>
      <c r="AG27" s="68">
        <f>$T$27*'[2]direct emissions'!X24</f>
        <v>0</v>
      </c>
      <c r="AH27" s="68">
        <f>$T$27*'[2]direct emissions'!Y24</f>
        <v>0</v>
      </c>
      <c r="AI27" s="68">
        <f>$T$27*'[2]direct emissions'!Z24</f>
        <v>0</v>
      </c>
      <c r="AJ27" s="68">
        <f>$T$27*'[2]direct emissions'!AA24</f>
        <v>1.2098175535202564E-4</v>
      </c>
      <c r="AK27" s="68">
        <f>$T$27*'[2]direct emissions'!AB24</f>
        <v>0</v>
      </c>
      <c r="AL27" s="68">
        <f>$T$27*'[2]direct emissions'!AC24</f>
        <v>0</v>
      </c>
      <c r="AM27" s="68">
        <f>$T$27*'[2]direct emissions'!AD24</f>
        <v>0</v>
      </c>
      <c r="AN27" s="68">
        <f>$T$27*'[2]direct emissions'!AE24</f>
        <v>0</v>
      </c>
      <c r="AO27" s="68">
        <f>$T$27*'[2]direct emissions'!AF24</f>
        <v>0</v>
      </c>
      <c r="AP27" s="68">
        <f>$T$27*'[2]direct emissions'!AG24</f>
        <v>4.6032082524091939E-8</v>
      </c>
      <c r="AQ27" s="68">
        <f>$T$27*'[2]direct emissions'!AH24</f>
        <v>0</v>
      </c>
    </row>
    <row r="28" spans="1:45">
      <c r="A28" s="7" t="s">
        <v>20</v>
      </c>
      <c r="B28" s="2"/>
      <c r="C28" s="2"/>
      <c r="D28" s="2"/>
      <c r="E28" s="2"/>
      <c r="F28" s="61"/>
      <c r="G28" s="1"/>
      <c r="H28" s="3"/>
      <c r="S28" t="str">
        <f t="shared" si="4"/>
        <v>acetone</v>
      </c>
      <c r="T28" s="10">
        <f t="shared" si="5"/>
        <v>1.842160602910603E-4</v>
      </c>
      <c r="U28" s="68">
        <f>$T$28*'[2]direct emissions'!D25</f>
        <v>0</v>
      </c>
      <c r="V28" s="68">
        <f>$T$28*'[2]direct emissions'!M25</f>
        <v>0</v>
      </c>
      <c r="W28" s="68">
        <f>$T$28*'[2]direct emissions'!N25</f>
        <v>0</v>
      </c>
      <c r="X28" s="68">
        <f>$T$28*'[2]direct emissions'!O25</f>
        <v>0</v>
      </c>
      <c r="Y28" s="68">
        <f>$T$28*'[2]direct emissions'!P25</f>
        <v>0</v>
      </c>
      <c r="Z28" s="68">
        <f>$T$28*'[2]direct emissions'!Q25</f>
        <v>3.368469927814382E-9</v>
      </c>
      <c r="AA28" s="68">
        <f>$T$28*'[2]direct emissions'!R25</f>
        <v>0</v>
      </c>
      <c r="AB28" s="68">
        <f>$T$28*'[2]direct emissions'!S25</f>
        <v>2.7442252254564231E-5</v>
      </c>
      <c r="AC28" s="68">
        <f>$T$28*'[2]direct emissions'!T25</f>
        <v>0</v>
      </c>
      <c r="AD28" s="68">
        <f>$T$28*'[2]direct emissions'!U25</f>
        <v>1.3736533843926724E-8</v>
      </c>
      <c r="AE28" s="68">
        <f>$T$28*'[2]direct emissions'!V25</f>
        <v>0</v>
      </c>
      <c r="AF28" s="68">
        <f>$T$28*'[2]direct emissions'!W25</f>
        <v>0</v>
      </c>
      <c r="AG28" s="68">
        <f>$T$28*'[2]direct emissions'!X25</f>
        <v>0</v>
      </c>
      <c r="AH28" s="68">
        <f>$T$28*'[2]direct emissions'!Y25</f>
        <v>0</v>
      </c>
      <c r="AI28" s="68">
        <f>$T$28*'[2]direct emissions'!Z25</f>
        <v>0</v>
      </c>
      <c r="AJ28" s="68">
        <f>$T$28*'[2]direct emissions'!AA25</f>
        <v>2.9250523086756198E-5</v>
      </c>
      <c r="AK28" s="68">
        <f>$T$28*'[2]direct emissions'!AB25</f>
        <v>0</v>
      </c>
      <c r="AL28" s="68">
        <f>$T$28*'[2]direct emissions'!AC25</f>
        <v>5.5904645823629749E-9</v>
      </c>
      <c r="AM28" s="68">
        <f>$T$28*'[2]direct emissions'!AD25</f>
        <v>0</v>
      </c>
      <c r="AN28" s="68">
        <f>$T$28*'[2]direct emissions'!AE25</f>
        <v>0</v>
      </c>
      <c r="AO28" s="68">
        <f>$T$28*'[2]direct emissions'!AF25</f>
        <v>1.2322470045499529E-9</v>
      </c>
      <c r="AP28" s="68">
        <f>$T$28*'[2]direct emissions'!AG25</f>
        <v>1.9853997052181859E-7</v>
      </c>
      <c r="AQ28" s="68">
        <f>$T$28*'[2]direct emissions'!AH25</f>
        <v>0</v>
      </c>
    </row>
    <row r="29" spans="1:45">
      <c r="A29" s="66" t="s">
        <v>165</v>
      </c>
      <c r="B29" s="64">
        <v>80</v>
      </c>
      <c r="C29" s="64">
        <v>0.8</v>
      </c>
      <c r="D29" s="64">
        <v>8960</v>
      </c>
      <c r="E29" s="64">
        <v>0.5</v>
      </c>
      <c r="F29" s="65">
        <f>B29*C29*D29/E29/1000000000</f>
        <v>1.1468800000000001E-3</v>
      </c>
      <c r="G29" s="1"/>
      <c r="H29" s="1"/>
      <c r="R29" s="10"/>
      <c r="S29" t="str">
        <f t="shared" si="4"/>
        <v>acetic anhydride</v>
      </c>
      <c r="T29" s="10">
        <f t="shared" si="5"/>
        <v>3.2457115384615387E-4</v>
      </c>
      <c r="U29" s="68">
        <f>$T$29*'[2]direct emissions'!D26</f>
        <v>0</v>
      </c>
      <c r="V29" s="68">
        <f>$T$29*'[2]direct emissions'!M26</f>
        <v>0</v>
      </c>
      <c r="W29" s="68">
        <f>$T$29*'[2]direct emissions'!N26</f>
        <v>0</v>
      </c>
      <c r="X29" s="68">
        <f>$T$29*'[2]direct emissions'!O26</f>
        <v>0</v>
      </c>
      <c r="Y29" s="68">
        <f>$T$29*'[2]direct emissions'!P26</f>
        <v>0</v>
      </c>
      <c r="Z29" s="68">
        <f>$T$29*'[2]direct emissions'!Q26</f>
        <v>1.7929093466744882E-9</v>
      </c>
      <c r="AA29" s="68">
        <f>$T$29*'[2]direct emissions'!R26</f>
        <v>0</v>
      </c>
      <c r="AB29" s="68">
        <f>$T$29*'[2]direct emissions'!S26</f>
        <v>0</v>
      </c>
      <c r="AC29" s="68">
        <f>$T$29*'[2]direct emissions'!T26</f>
        <v>0</v>
      </c>
      <c r="AD29" s="68">
        <f>$T$29*'[2]direct emissions'!U26</f>
        <v>1.0433146581353E-10</v>
      </c>
      <c r="AE29" s="68">
        <f>$T$29*'[2]direct emissions'!V26</f>
        <v>0</v>
      </c>
      <c r="AF29" s="68">
        <f>$T$29*'[2]direct emissions'!W26</f>
        <v>0</v>
      </c>
      <c r="AG29" s="68">
        <f>$T$29*'[2]direct emissions'!X26</f>
        <v>0</v>
      </c>
      <c r="AH29" s="68">
        <f>$T$29*'[2]direct emissions'!Y26</f>
        <v>0</v>
      </c>
      <c r="AI29" s="68">
        <f>$T$29*'[2]direct emissions'!Z26</f>
        <v>0</v>
      </c>
      <c r="AJ29" s="68">
        <f>$T$29*'[2]direct emissions'!AA26</f>
        <v>0</v>
      </c>
      <c r="AK29" s="68">
        <f>$T$29*'[2]direct emissions'!AB26</f>
        <v>0</v>
      </c>
      <c r="AL29" s="68">
        <f>$T$29*'[2]direct emissions'!AC26</f>
        <v>4.2207920775144769E-8</v>
      </c>
      <c r="AM29" s="68">
        <f>$T$29*'[2]direct emissions'!AD26</f>
        <v>0</v>
      </c>
      <c r="AN29" s="68">
        <f>$T$29*'[2]direct emissions'!AE26</f>
        <v>0</v>
      </c>
      <c r="AO29" s="68">
        <f>$T$29*'[2]direct emissions'!AF26</f>
        <v>0</v>
      </c>
      <c r="AP29" s="68">
        <f>$T$29*'[2]direct emissions'!AG26</f>
        <v>0</v>
      </c>
      <c r="AQ29" s="68">
        <f>$T$29*'[2]direct emissions'!AH26</f>
        <v>0</v>
      </c>
    </row>
    <row r="30" spans="1:45">
      <c r="A30" s="64" t="s">
        <v>166</v>
      </c>
      <c r="B30" s="67"/>
      <c r="C30" s="64"/>
      <c r="D30" s="64"/>
      <c r="E30" s="64"/>
      <c r="F30" s="65">
        <f>20/10*10000/1000*1.784/1000*'energy consumption'!D20/60</f>
        <v>8.6496969696969697E-2</v>
      </c>
      <c r="G30" s="1"/>
      <c r="H30" s="1"/>
      <c r="S30" t="str">
        <f t="shared" si="4"/>
        <v>TiO2</v>
      </c>
      <c r="T30" s="10">
        <f t="shared" si="5"/>
        <v>7.896E-4</v>
      </c>
      <c r="U30" s="70"/>
      <c r="V30" s="70"/>
      <c r="W30" s="70"/>
      <c r="X30" s="70"/>
      <c r="Y30" s="70"/>
      <c r="Z30" s="70"/>
      <c r="AA30" s="70"/>
      <c r="AB30" s="70"/>
      <c r="AC30" s="70"/>
      <c r="AD30" s="70"/>
      <c r="AE30" s="70"/>
      <c r="AF30" s="70"/>
      <c r="AG30" s="70"/>
      <c r="AH30" s="70"/>
      <c r="AI30" s="70"/>
      <c r="AJ30" s="70"/>
      <c r="AK30" s="70"/>
      <c r="AL30" s="70"/>
      <c r="AM30" s="70"/>
      <c r="AN30" s="70"/>
      <c r="AO30" s="70"/>
      <c r="AP30" s="70"/>
      <c r="AQ30" s="70"/>
    </row>
    <row r="31" spans="1:45">
      <c r="A31" s="64" t="s">
        <v>167</v>
      </c>
      <c r="B31" s="67"/>
      <c r="C31" s="64"/>
      <c r="D31" s="64"/>
      <c r="E31" s="64"/>
      <c r="F31" s="65">
        <f>F30*0.1/100</f>
        <v>8.6496969696969701E-5</v>
      </c>
      <c r="G31" s="1"/>
      <c r="H31" s="1"/>
      <c r="S31" t="str">
        <f t="shared" si="4"/>
        <v>FAI</v>
      </c>
      <c r="T31" s="10">
        <f t="shared" si="5"/>
        <v>2.8827559856430169E-4</v>
      </c>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10"/>
      <c r="AS31" s="10"/>
    </row>
    <row r="32" spans="1:45">
      <c r="A32" s="7" t="s">
        <v>21</v>
      </c>
      <c r="B32" s="2"/>
      <c r="C32" s="2"/>
      <c r="D32" s="2"/>
      <c r="E32" s="2"/>
      <c r="F32" s="61"/>
      <c r="G32" s="1"/>
      <c r="H32" s="1"/>
      <c r="S32" t="str">
        <f t="shared" si="4"/>
        <v>PbI2</v>
      </c>
      <c r="T32" s="10">
        <f t="shared" si="5"/>
        <v>8.1127792723866444E-4</v>
      </c>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10"/>
      <c r="AS32" s="10"/>
    </row>
    <row r="33" spans="1:45">
      <c r="A33" s="1" t="s">
        <v>10</v>
      </c>
      <c r="B33" s="2"/>
      <c r="C33" s="2"/>
      <c r="D33" s="2"/>
      <c r="E33" s="2"/>
      <c r="F33" s="61">
        <f>F12+F7/1*0.908</f>
        <v>5.8944848799848803E-3</v>
      </c>
      <c r="G33" s="1" t="s">
        <v>90</v>
      </c>
      <c r="H33" s="1"/>
      <c r="S33" t="str">
        <f t="shared" si="4"/>
        <v>MABr</v>
      </c>
      <c r="T33" s="10">
        <f t="shared" si="5"/>
        <v>3.4782363602423276E-5</v>
      </c>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10"/>
      <c r="AS33" s="10"/>
    </row>
    <row r="34" spans="1:45">
      <c r="A34" s="1" t="s">
        <v>147</v>
      </c>
      <c r="F34" s="61">
        <f>F7/1*0.0481*(1-E7)</f>
        <v>6.027749999999998E-5</v>
      </c>
      <c r="G34" s="1" t="s">
        <v>90</v>
      </c>
      <c r="H34" s="1"/>
      <c r="S34" t="str">
        <f t="shared" si="4"/>
        <v>PbBr2</v>
      </c>
      <c r="T34" s="10">
        <f t="shared" si="5"/>
        <v>1.1397435216151198E-4</v>
      </c>
      <c r="U34" s="73"/>
      <c r="V34" s="73"/>
      <c r="W34" s="73"/>
      <c r="X34" s="73"/>
      <c r="Y34" s="73"/>
      <c r="Z34" s="73"/>
      <c r="AA34" s="73"/>
      <c r="AB34" s="73"/>
      <c r="AC34" s="73"/>
      <c r="AD34" s="73"/>
      <c r="AE34" s="73"/>
      <c r="AF34" s="73"/>
      <c r="AG34" s="73"/>
      <c r="AH34" s="73"/>
      <c r="AI34" s="73"/>
      <c r="AJ34" s="73"/>
      <c r="AK34" s="73"/>
      <c r="AL34" s="73"/>
      <c r="AM34" s="73"/>
      <c r="AN34" s="73"/>
      <c r="AO34" s="73"/>
      <c r="AP34" s="73"/>
      <c r="AQ34" s="73"/>
      <c r="AR34" s="10"/>
      <c r="AS34" s="10"/>
    </row>
    <row r="35" spans="1:45">
      <c r="A35" s="1" t="s">
        <v>41</v>
      </c>
      <c r="B35" s="2"/>
      <c r="C35" s="2"/>
      <c r="D35" s="2"/>
      <c r="E35" s="2"/>
      <c r="F35" s="61">
        <f>F7/1*0.0608</f>
        <v>3.8096382536382536E-4</v>
      </c>
      <c r="G35" s="1" t="s">
        <v>90</v>
      </c>
      <c r="H35" s="1"/>
      <c r="S35" t="str">
        <f t="shared" si="4"/>
        <v>DMF</v>
      </c>
      <c r="T35" s="10">
        <f t="shared" si="5"/>
        <v>1.6438064937765074E-3</v>
      </c>
      <c r="U35" s="68">
        <f>$T$35*'[2]direct emissions'!D28</f>
        <v>0</v>
      </c>
      <c r="V35" s="68">
        <f>$T$35*'[2]direct emissions'!M28</f>
        <v>0</v>
      </c>
      <c r="W35" s="68">
        <f>$T$35*'[2]direct emissions'!N28</f>
        <v>0</v>
      </c>
      <c r="X35" s="68">
        <f>$T$35*'[2]direct emissions'!O28</f>
        <v>0</v>
      </c>
      <c r="Y35" s="68">
        <f>$T$35*'[2]direct emissions'!P28</f>
        <v>0</v>
      </c>
      <c r="Z35" s="68">
        <f>$T$35*'[2]direct emissions'!Q28</f>
        <v>0</v>
      </c>
      <c r="AA35" s="68">
        <f>$T$35*'[2]direct emissions'!R28</f>
        <v>0</v>
      </c>
      <c r="AB35" s="68">
        <f>$T$35*'[2]direct emissions'!S28</f>
        <v>0</v>
      </c>
      <c r="AC35" s="68">
        <f>$T$35*'[2]direct emissions'!T28</f>
        <v>0</v>
      </c>
      <c r="AD35" s="68">
        <f>$T$35*'[2]direct emissions'!U28</f>
        <v>0</v>
      </c>
      <c r="AE35" s="68">
        <f>$T$35*'[2]direct emissions'!V28</f>
        <v>0</v>
      </c>
      <c r="AF35" s="68">
        <f>$T$35*'[2]direct emissions'!W28</f>
        <v>0</v>
      </c>
      <c r="AG35" s="68">
        <f>$T$35*'[2]direct emissions'!X28</f>
        <v>0</v>
      </c>
      <c r="AH35" s="68">
        <f>$T$35*'[2]direct emissions'!Y28</f>
        <v>0</v>
      </c>
      <c r="AI35" s="68">
        <f>$T$35*'[2]direct emissions'!Z28</f>
        <v>0</v>
      </c>
      <c r="AJ35" s="68">
        <f>$T$35*'[2]direct emissions'!AA28</f>
        <v>0</v>
      </c>
      <c r="AK35" s="68">
        <f>$T$35*'[2]direct emissions'!AB28</f>
        <v>0</v>
      </c>
      <c r="AL35" s="68">
        <f>$T$35*'[2]direct emissions'!AC28</f>
        <v>0</v>
      </c>
      <c r="AM35" s="68">
        <f>$T$35*'[2]direct emissions'!AD28</f>
        <v>0</v>
      </c>
      <c r="AN35" s="68">
        <f>$T$35*'[2]direct emissions'!AE28</f>
        <v>0</v>
      </c>
      <c r="AO35" s="68">
        <f>$T$35*'[2]direct emissions'!AF28</f>
        <v>0</v>
      </c>
      <c r="AP35" s="68">
        <f>$T$35*'[2]direct emissions'!AG28</f>
        <v>0</v>
      </c>
      <c r="AQ35" s="68">
        <f>$T$35*'[2]direct emissions'!AH28</f>
        <v>0</v>
      </c>
    </row>
    <row r="36" spans="1:45">
      <c r="A36" s="1" t="s">
        <v>148</v>
      </c>
      <c r="B36" s="2"/>
      <c r="C36" s="2"/>
      <c r="D36" s="2"/>
      <c r="E36" s="2"/>
      <c r="F36" s="61">
        <f>F7/1*0.0294</f>
        <v>1.842160602910603E-4</v>
      </c>
      <c r="G36" s="1" t="s">
        <v>90</v>
      </c>
      <c r="H36" s="1"/>
      <c r="S36" t="str">
        <f t="shared" si="4"/>
        <v>DMSO</v>
      </c>
      <c r="T36" s="10">
        <f t="shared" si="5"/>
        <v>4.7886312053870711E-4</v>
      </c>
      <c r="U36" s="73"/>
      <c r="V36" s="73"/>
      <c r="W36" s="73"/>
      <c r="X36" s="73"/>
      <c r="Y36" s="73"/>
      <c r="Z36" s="73"/>
      <c r="AA36" s="73"/>
      <c r="AB36" s="73"/>
      <c r="AC36" s="73"/>
      <c r="AD36" s="73"/>
      <c r="AE36" s="73"/>
      <c r="AF36" s="73"/>
      <c r="AG36" s="73"/>
      <c r="AH36" s="73"/>
      <c r="AI36" s="73"/>
      <c r="AJ36" s="73"/>
      <c r="AK36" s="73"/>
      <c r="AL36" s="73"/>
      <c r="AM36" s="73"/>
      <c r="AN36" s="73"/>
      <c r="AO36" s="73"/>
      <c r="AP36" s="73"/>
      <c r="AQ36" s="73"/>
    </row>
    <row r="37" spans="1:45">
      <c r="A37" s="1" t="s">
        <v>149</v>
      </c>
      <c r="B37" s="2"/>
      <c r="C37" s="2"/>
      <c r="D37" s="2"/>
      <c r="E37" s="2"/>
      <c r="F37" s="61">
        <f>F7/1*0.0518</f>
        <v>3.2457115384615387E-4</v>
      </c>
      <c r="G37" s="1" t="s">
        <v>90</v>
      </c>
      <c r="H37" s="1"/>
      <c r="S37" t="str">
        <f t="shared" si="4"/>
        <v>Chlorobenzene</v>
      </c>
      <c r="T37" s="10">
        <f t="shared" si="5"/>
        <v>7.4486333877328992E-3</v>
      </c>
      <c r="U37" s="73"/>
      <c r="V37" s="73"/>
      <c r="W37" s="73"/>
      <c r="X37" s="73"/>
      <c r="Y37" s="73"/>
      <c r="Z37" s="73"/>
      <c r="AA37" s="73"/>
      <c r="AB37" s="73"/>
      <c r="AC37" s="73"/>
      <c r="AD37" s="73"/>
      <c r="AE37" s="73"/>
      <c r="AF37" s="73"/>
      <c r="AG37" s="73"/>
      <c r="AH37" s="73"/>
      <c r="AI37" s="73"/>
      <c r="AJ37" s="73"/>
      <c r="AK37" s="73"/>
      <c r="AL37" s="73"/>
      <c r="AM37" s="73"/>
      <c r="AN37" s="73"/>
      <c r="AO37" s="73"/>
      <c r="AP37" s="73"/>
      <c r="AQ37" s="73"/>
      <c r="AR37" s="10"/>
      <c r="AS37" s="10"/>
    </row>
    <row r="38" spans="1:45">
      <c r="A38" s="1" t="s">
        <v>24</v>
      </c>
      <c r="B38" s="2"/>
      <c r="C38" s="2"/>
      <c r="D38" s="2"/>
      <c r="E38" s="2"/>
      <c r="F38" s="61">
        <f>F11*0.7</f>
        <v>7.896E-4</v>
      </c>
      <c r="G38" s="1" t="s">
        <v>90</v>
      </c>
      <c r="H38" s="1"/>
      <c r="S38" t="str">
        <f t="shared" si="4"/>
        <v>spiro-OMeTAD</v>
      </c>
      <c r="T38" s="10">
        <f t="shared" si="5"/>
        <v>3.3973333333333337E-4</v>
      </c>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10"/>
      <c r="AS38" s="10"/>
    </row>
    <row r="39" spans="1:45">
      <c r="A39" s="1" t="s">
        <v>33</v>
      </c>
      <c r="B39" s="2"/>
      <c r="C39" s="2"/>
      <c r="D39" s="2"/>
      <c r="E39" s="2"/>
      <c r="F39" s="61">
        <f>F14*0.7</f>
        <v>2.8827559856430169E-4</v>
      </c>
      <c r="G39" s="1" t="s">
        <v>90</v>
      </c>
      <c r="H39" s="1"/>
      <c r="S39" t="str">
        <f t="shared" si="4"/>
        <v>bis(trifluoromethanesulfonyl)imide</v>
      </c>
      <c r="T39" s="10">
        <f t="shared" si="5"/>
        <v>3.9781096151230787E-5</v>
      </c>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10"/>
      <c r="AS39" s="10"/>
    </row>
    <row r="40" spans="1:45">
      <c r="A40" s="1" t="s">
        <v>18</v>
      </c>
      <c r="B40" s="2"/>
      <c r="C40" s="2"/>
      <c r="D40" s="2"/>
      <c r="E40" s="2"/>
      <c r="F40" s="61">
        <f>F15*0.7</f>
        <v>8.1127792723866444E-4</v>
      </c>
      <c r="G40" s="1" t="s">
        <v>90</v>
      </c>
      <c r="H40" s="1"/>
      <c r="S40" t="str">
        <f t="shared" si="4"/>
        <v>Acetonitrile</v>
      </c>
      <c r="T40" s="10">
        <f t="shared" si="5"/>
        <v>2.627558115535076E-4</v>
      </c>
      <c r="U40" s="68">
        <f>$T$40*'[2]direct emissions'!D30</f>
        <v>0</v>
      </c>
      <c r="V40" s="68">
        <f>$T$40*'[2]direct emissions'!M30</f>
        <v>0</v>
      </c>
      <c r="W40" s="68">
        <f>$T$40*'[2]direct emissions'!N30</f>
        <v>0</v>
      </c>
      <c r="X40" s="68">
        <f>$T$40*'[2]direct emissions'!O30</f>
        <v>0</v>
      </c>
      <c r="Y40" s="68">
        <f>$T$40*'[2]direct emissions'!P30</f>
        <v>0</v>
      </c>
      <c r="Z40" s="68">
        <f>$T$40*'[2]direct emissions'!Q30</f>
        <v>4.467716724921733E-8</v>
      </c>
      <c r="AA40" s="68">
        <f>$T$40*'[2]direct emissions'!R30</f>
        <v>0</v>
      </c>
      <c r="AB40" s="68">
        <f>$T$40*'[2]direct emissions'!S30</f>
        <v>1.2370846370482859E-4</v>
      </c>
      <c r="AC40" s="68">
        <f>$T$40*'[2]direct emissions'!T30</f>
        <v>0</v>
      </c>
      <c r="AD40" s="68">
        <f>$T$40*'[2]direct emissions'!U30</f>
        <v>4.5724776425743781E-7</v>
      </c>
      <c r="AE40" s="68">
        <f>$T$40*'[2]direct emissions'!V30</f>
        <v>0</v>
      </c>
      <c r="AF40" s="68">
        <f>$T$40*'[2]direct emissions'!W30</f>
        <v>0</v>
      </c>
      <c r="AG40" s="68">
        <f>$T$40*'[2]direct emissions'!X30</f>
        <v>0</v>
      </c>
      <c r="AH40" s="68">
        <f>$T$40*'[2]direct emissions'!Y30</f>
        <v>0</v>
      </c>
      <c r="AI40" s="68">
        <f>$T$40*'[2]direct emissions'!Z30</f>
        <v>0</v>
      </c>
      <c r="AJ40" s="68">
        <f>$T$40*'[2]direct emissions'!AA30</f>
        <v>0</v>
      </c>
      <c r="AK40" s="68">
        <f>$T$40*'[2]direct emissions'!AB30</f>
        <v>0</v>
      </c>
      <c r="AL40" s="68">
        <f>$T$40*'[2]direct emissions'!AC30</f>
        <v>9.7326533642693907E-8</v>
      </c>
      <c r="AM40" s="68">
        <f>$T$40*'[2]direct emissions'!AD30</f>
        <v>0</v>
      </c>
      <c r="AN40" s="68">
        <f>$T$40*'[2]direct emissions'!AE30</f>
        <v>0</v>
      </c>
      <c r="AO40" s="68">
        <f>$T$40*'[2]direct emissions'!AF30</f>
        <v>2.1491039746263359E-8</v>
      </c>
      <c r="AP40" s="68">
        <f>$T$40*'[2]direct emissions'!AG30</f>
        <v>8.4483828871579962E-7</v>
      </c>
      <c r="AQ40" s="68">
        <f>$T$40*'[2]direct emissions'!AH30</f>
        <v>0</v>
      </c>
    </row>
    <row r="41" spans="1:45">
      <c r="A41" s="1" t="s">
        <v>34</v>
      </c>
      <c r="B41" s="2"/>
      <c r="C41" s="2"/>
      <c r="D41" s="2"/>
      <c r="E41" s="2"/>
      <c r="F41" s="61">
        <f>F16*0.7</f>
        <v>3.4782363602423276E-5</v>
      </c>
      <c r="G41" s="1" t="s">
        <v>90</v>
      </c>
      <c r="H41" s="1"/>
      <c r="S41" t="str">
        <f t="shared" si="4"/>
        <v>FK209</v>
      </c>
      <c r="T41" s="10">
        <f t="shared" si="5"/>
        <v>1.2499858017135863E-5</v>
      </c>
      <c r="U41" s="73"/>
      <c r="V41" s="73"/>
      <c r="W41" s="73"/>
      <c r="X41" s="73"/>
      <c r="Y41" s="73"/>
      <c r="Z41" s="73"/>
      <c r="AA41" s="73"/>
      <c r="AB41" s="73"/>
      <c r="AC41" s="73"/>
      <c r="AD41" s="73"/>
      <c r="AE41" s="73"/>
      <c r="AF41" s="73"/>
      <c r="AG41" s="73"/>
      <c r="AH41" s="73"/>
      <c r="AI41" s="73"/>
      <c r="AJ41" s="73"/>
      <c r="AK41" s="73"/>
      <c r="AL41" s="73"/>
      <c r="AM41" s="73"/>
      <c r="AN41" s="73"/>
      <c r="AO41" s="73"/>
      <c r="AP41" s="73"/>
      <c r="AQ41" s="73"/>
    </row>
    <row r="42" spans="1:45">
      <c r="A42" s="1" t="s">
        <v>35</v>
      </c>
      <c r="B42" s="2"/>
      <c r="C42" s="2"/>
      <c r="D42" s="2"/>
      <c r="E42" s="2"/>
      <c r="F42" s="61">
        <f>F17*0.7</f>
        <v>1.1397435216151198E-4</v>
      </c>
      <c r="G42" s="1" t="s">
        <v>90</v>
      </c>
      <c r="H42" s="1"/>
      <c r="S42" t="str">
        <f t="shared" si="4"/>
        <v>4-tert-Butylpyridine</v>
      </c>
      <c r="T42" s="10">
        <f t="shared" si="5"/>
        <v>1.2474908200734396E-4</v>
      </c>
      <c r="U42" s="68">
        <f>$T$42*'[2]direct emissions'!D31</f>
        <v>0</v>
      </c>
      <c r="V42" s="68">
        <f>$T$42*'[2]direct emissions'!M31</f>
        <v>0</v>
      </c>
      <c r="W42" s="68">
        <f>$T$42*'[2]direct emissions'!N31</f>
        <v>0</v>
      </c>
      <c r="X42" s="68">
        <f>$T$42*'[2]direct emissions'!O31</f>
        <v>0</v>
      </c>
      <c r="Y42" s="68">
        <f>$T$42*'[2]direct emissions'!P31</f>
        <v>0</v>
      </c>
      <c r="Z42" s="68">
        <f>$T$42*'[2]direct emissions'!Q31</f>
        <v>9.031017113857032E-8</v>
      </c>
      <c r="AA42" s="68">
        <f>$T$42*'[2]direct emissions'!R31</f>
        <v>0</v>
      </c>
      <c r="AB42" s="68">
        <f>$T$42*'[2]direct emissions'!S31</f>
        <v>0</v>
      </c>
      <c r="AC42" s="68">
        <f>$T$42*'[2]direct emissions'!T31</f>
        <v>0</v>
      </c>
      <c r="AD42" s="68">
        <f>$T$42*'[2]direct emissions'!U31</f>
        <v>1.0286372413635979E-6</v>
      </c>
      <c r="AE42" s="68">
        <f>$T$42*'[2]direct emissions'!V31</f>
        <v>0</v>
      </c>
      <c r="AF42" s="68">
        <f>$T$42*'[2]direct emissions'!W31</f>
        <v>0</v>
      </c>
      <c r="AG42" s="68">
        <f>$T$42*'[2]direct emissions'!X31</f>
        <v>0</v>
      </c>
      <c r="AH42" s="68">
        <f>$T$42*'[2]direct emissions'!Y31</f>
        <v>0</v>
      </c>
      <c r="AI42" s="68">
        <f>$T$42*'[2]direct emissions'!Z31</f>
        <v>0</v>
      </c>
      <c r="AJ42" s="68">
        <f>$T$42*'[2]direct emissions'!AA31</f>
        <v>0</v>
      </c>
      <c r="AK42" s="68">
        <f>$T$42*'[2]direct emissions'!AB31</f>
        <v>0</v>
      </c>
      <c r="AL42" s="68">
        <f>$T$42*'[2]direct emissions'!AC31</f>
        <v>5.3489357986055632E-8</v>
      </c>
      <c r="AM42" s="68">
        <f>$T$42*'[2]direct emissions'!AD31</f>
        <v>0</v>
      </c>
      <c r="AN42" s="68">
        <f>$T$42*'[2]direct emissions'!AE31</f>
        <v>0</v>
      </c>
      <c r="AO42" s="68">
        <f>$T$42*'[2]direct emissions'!AF31</f>
        <v>0</v>
      </c>
      <c r="AP42" s="68">
        <f>$T$42*'[2]direct emissions'!AG31</f>
        <v>0</v>
      </c>
      <c r="AQ42" s="68">
        <f>$T$42*'[2]direct emissions'!AH31</f>
        <v>0</v>
      </c>
      <c r="AR42" s="10"/>
    </row>
    <row r="43" spans="1:45">
      <c r="A43" s="1" t="s">
        <v>36</v>
      </c>
      <c r="B43" s="2"/>
      <c r="C43" s="2"/>
      <c r="D43" s="2"/>
      <c r="E43" s="2"/>
      <c r="F43" s="61">
        <f>F18</f>
        <v>1.6438064937765074E-3</v>
      </c>
      <c r="G43" s="1" t="s">
        <v>90</v>
      </c>
      <c r="H43" s="1"/>
      <c r="S43" s="76" t="str">
        <f t="shared" si="4"/>
        <v>Cu</v>
      </c>
      <c r="T43" s="77">
        <f t="shared" si="5"/>
        <v>5.7344000000000004E-4</v>
      </c>
      <c r="U43" s="77">
        <f>$T$43*'[3]direct emissions'!D39</f>
        <v>0</v>
      </c>
      <c r="V43" s="77">
        <f>$T$43*'[3]direct emissions'!M39</f>
        <v>0</v>
      </c>
      <c r="W43" s="77">
        <f>$T$43*'[3]direct emissions'!N39</f>
        <v>0</v>
      </c>
      <c r="X43" s="77">
        <f>$T$43*'[3]direct emissions'!O39</f>
        <v>0</v>
      </c>
      <c r="Y43" s="77">
        <f>$T$43*'[3]direct emissions'!P39</f>
        <v>0</v>
      </c>
      <c r="Z43" s="77">
        <f>$T$43*'[3]direct emissions'!Q39</f>
        <v>2.300879171710157E-2</v>
      </c>
      <c r="AA43" s="77">
        <f>$T$43*'[3]direct emissions'!R39</f>
        <v>0</v>
      </c>
      <c r="AB43" s="77">
        <f>$T$43*'[3]direct emissions'!S39</f>
        <v>2.987122851568845E-2</v>
      </c>
      <c r="AC43" s="77">
        <f>$T$43*'[3]direct emissions'!T39</f>
        <v>0</v>
      </c>
      <c r="AD43" s="77">
        <f>$T$43*'[3]direct emissions'!U39</f>
        <v>52.462003392856069</v>
      </c>
      <c r="AE43" s="77">
        <f>$T$43*'[3]direct emissions'!V39</f>
        <v>0</v>
      </c>
      <c r="AF43" s="77">
        <f>$T$43*'[3]direct emissions'!W39</f>
        <v>0</v>
      </c>
      <c r="AG43" s="77">
        <f>$T$43*'[3]direct emissions'!X39</f>
        <v>0</v>
      </c>
      <c r="AH43" s="77">
        <f>$T$43*'[3]direct emissions'!Y39</f>
        <v>0</v>
      </c>
      <c r="AI43" s="77">
        <f>$T$43*'[3]direct emissions'!Z39</f>
        <v>0</v>
      </c>
      <c r="AJ43" s="77">
        <f>$T$43*'[3]direct emissions'!AA39</f>
        <v>0</v>
      </c>
      <c r="AK43" s="77">
        <f>$T$43*'[3]direct emissions'!AB39</f>
        <v>0</v>
      </c>
      <c r="AL43" s="77">
        <f>$T$43*'[3]direct emissions'!AC39</f>
        <v>0.2409111885061325</v>
      </c>
      <c r="AM43" s="77">
        <f>$T$43*'[3]direct emissions'!AD39</f>
        <v>0</v>
      </c>
      <c r="AN43" s="77">
        <f>$T$43*'[3]direct emissions'!AE39</f>
        <v>0</v>
      </c>
      <c r="AO43" s="77">
        <f>$T$43*'[3]direct emissions'!AF39</f>
        <v>6.6235290332610566E-2</v>
      </c>
      <c r="AP43" s="77">
        <f>$T$43*'[3]direct emissions'!AG39</f>
        <v>2.0399863376592897E-4</v>
      </c>
      <c r="AQ43" s="77">
        <f>$T$43*'[3]direct emissions'!AH39</f>
        <v>0</v>
      </c>
      <c r="AR43" s="77"/>
    </row>
    <row r="44" spans="1:45">
      <c r="A44" s="1" t="s">
        <v>37</v>
      </c>
      <c r="B44" s="2"/>
      <c r="C44" s="2"/>
      <c r="D44" s="2"/>
      <c r="E44" s="2"/>
      <c r="F44" s="61">
        <f>F19</f>
        <v>4.7886312053870711E-4</v>
      </c>
      <c r="G44" s="1" t="s">
        <v>90</v>
      </c>
      <c r="H44" s="1"/>
      <c r="S44" s="76" t="s">
        <v>166</v>
      </c>
      <c r="T44" s="77">
        <f t="shared" si="5"/>
        <v>8.6496969696969697E-2</v>
      </c>
      <c r="U44" s="77"/>
      <c r="V44" s="77"/>
      <c r="W44" s="77"/>
      <c r="X44" s="77"/>
      <c r="Y44" s="77"/>
      <c r="Z44" s="77"/>
      <c r="AA44" s="77"/>
      <c r="AB44" s="77"/>
      <c r="AC44" s="77"/>
      <c r="AD44" s="77"/>
      <c r="AE44" s="77"/>
      <c r="AF44" s="77"/>
      <c r="AG44" s="77"/>
      <c r="AH44" s="77"/>
      <c r="AI44" s="77"/>
      <c r="AJ44" s="77"/>
      <c r="AK44" s="77"/>
      <c r="AL44" s="77"/>
      <c r="AM44" s="77"/>
      <c r="AN44" s="77"/>
      <c r="AO44" s="77"/>
      <c r="AP44" s="77"/>
      <c r="AQ44" s="77"/>
    </row>
    <row r="45" spans="1:45">
      <c r="A45" s="1" t="s">
        <v>32</v>
      </c>
      <c r="B45" s="2"/>
      <c r="C45" s="2"/>
      <c r="D45" s="2"/>
      <c r="E45" s="2"/>
      <c r="F45" s="61">
        <f>F20+F27</f>
        <v>7.4486333877328992E-3</v>
      </c>
      <c r="G45" s="1" t="s">
        <v>90</v>
      </c>
      <c r="H45" s="1"/>
      <c r="S45" s="76" t="s">
        <v>167</v>
      </c>
      <c r="T45" s="77">
        <f t="shared" si="5"/>
        <v>8.6496969696969701E-5</v>
      </c>
      <c r="U45" s="77"/>
      <c r="V45" s="77"/>
      <c r="W45" s="77"/>
      <c r="X45" s="77"/>
      <c r="Y45" s="77"/>
      <c r="Z45" s="77"/>
      <c r="AA45" s="77"/>
      <c r="AB45" s="77"/>
      <c r="AC45" s="77"/>
      <c r="AD45" s="77"/>
      <c r="AE45" s="77"/>
      <c r="AF45" s="77"/>
      <c r="AG45" s="77"/>
      <c r="AH45" s="77"/>
      <c r="AI45" s="77"/>
      <c r="AJ45" s="77"/>
      <c r="AK45" s="77"/>
      <c r="AL45" s="77"/>
      <c r="AM45" s="77"/>
      <c r="AN45" s="77"/>
      <c r="AO45" s="77"/>
      <c r="AP45" s="77"/>
      <c r="AQ45" s="77"/>
    </row>
    <row r="46" spans="1:45">
      <c r="A46" s="1" t="s">
        <v>31</v>
      </c>
      <c r="B46" s="2"/>
      <c r="C46" s="2"/>
      <c r="D46" s="2"/>
      <c r="E46" s="2"/>
      <c r="F46" s="61">
        <f>F22*0.7</f>
        <v>3.3973333333333337E-4</v>
      </c>
      <c r="G46" s="1" t="s">
        <v>90</v>
      </c>
      <c r="H46" s="1"/>
    </row>
    <row r="47" spans="1:45">
      <c r="A47" s="1" t="s">
        <v>146</v>
      </c>
      <c r="B47" s="2"/>
      <c r="C47" s="2"/>
      <c r="D47" s="2"/>
      <c r="E47" s="2"/>
      <c r="F47" s="61">
        <f>F23*0.7</f>
        <v>3.9781096151230787E-5</v>
      </c>
      <c r="G47" s="1" t="s">
        <v>90</v>
      </c>
      <c r="H47" s="1"/>
      <c r="S47" s="11" t="s">
        <v>93</v>
      </c>
      <c r="T47" s="10">
        <f>F56</f>
        <v>0.23119999999999999</v>
      </c>
      <c r="U47" s="68">
        <f>$T$47/1000*[2]production!D3</f>
        <v>5.7228935999999989E-4</v>
      </c>
      <c r="V47" s="68">
        <f>$T$47/1000*[2]production!M3</f>
        <v>4.7824445274400008E-3</v>
      </c>
      <c r="W47" s="68">
        <f>$T$47/1000*[2]production!N3</f>
        <v>2.0548593599999999E-5</v>
      </c>
      <c r="X47" s="68">
        <f>$T$47/1000*[2]production!O3</f>
        <v>5.2364487999999993E-4</v>
      </c>
      <c r="Y47" s="68">
        <f>$T$47/1000*[2]production!P3</f>
        <v>9.0484743999999991E-5</v>
      </c>
      <c r="Z47" s="68">
        <f>$T$47/1000*[2]production!Q3</f>
        <v>8.001138399999999E-6</v>
      </c>
      <c r="AA47" s="68">
        <f>$T$47/1000*[2]production!R3</f>
        <v>3.2515967999999997E-6</v>
      </c>
      <c r="AB47" s="68">
        <f>$T$47/1000*[2]production!S3</f>
        <v>7.3870711999999995E-3</v>
      </c>
      <c r="AC47" s="68">
        <f>$T$47/1000*[2]production!T3</f>
        <v>3.6682191999999997E-5</v>
      </c>
      <c r="AD47" s="68">
        <f>$T$47/1000*[2]production!U3</f>
        <v>7.1845399999999997E-3</v>
      </c>
      <c r="AE47" s="68">
        <f>$T$47/1000*[2]production!V3</f>
        <v>3.0136919999999997E-5</v>
      </c>
      <c r="AF47" s="68">
        <f>$T$47/1000*[2]production!W3</f>
        <v>4.0381391999999997E-5</v>
      </c>
      <c r="AG47" s="68">
        <f>$T$47/1000*[2]production!X3</f>
        <v>4.1995168E-8</v>
      </c>
      <c r="AH47" s="68">
        <f>$T$47/1000*[2]production!Y3</f>
        <v>4.2432135999999995E-11</v>
      </c>
      <c r="AI47" s="68">
        <f>$T$47/1000*[2]production!Z3</f>
        <v>1.16922464E-6</v>
      </c>
      <c r="AJ47" s="68">
        <f>$T$47/1000*[2]production!AA3</f>
        <v>1.37473832E-6</v>
      </c>
      <c r="AK47" s="68">
        <f>$T$47/1000*[2]production!AB3</f>
        <v>2.3975439999999999E-6</v>
      </c>
      <c r="AL47" s="68">
        <f>$T$47/1000*[2]production!AC3</f>
        <v>3.1940279999999995E-7</v>
      </c>
      <c r="AM47" s="68">
        <f>$T$47/1000*[2]production!AD3</f>
        <v>5.4010631999999993E-6</v>
      </c>
      <c r="AN47" s="68">
        <f>$T$47/1000*[2]production!AE3</f>
        <v>2.4620487999999999E-6</v>
      </c>
      <c r="AO47" s="68">
        <f>$T$47/1000*[2]production!AF3</f>
        <v>2.3455239999999998E-5</v>
      </c>
      <c r="AP47" s="68">
        <f>$T$47/1000*[2]production!AG3</f>
        <v>7.0992271999999998E-5</v>
      </c>
      <c r="AQ47" s="68">
        <f>$T$47/1000*[2]production!AH3</f>
        <v>1.2723629599999999E-5</v>
      </c>
    </row>
    <row r="48" spans="1:45">
      <c r="A48" s="1" t="s">
        <v>25</v>
      </c>
      <c r="B48" s="2"/>
      <c r="C48" s="2"/>
      <c r="D48" s="2"/>
      <c r="E48" s="2"/>
      <c r="F48" s="61">
        <f>F24</f>
        <v>2.627558115535076E-4</v>
      </c>
      <c r="G48" s="1" t="s">
        <v>90</v>
      </c>
      <c r="H48" s="1"/>
      <c r="S48" s="11" t="s">
        <v>80</v>
      </c>
      <c r="U48" s="72">
        <f t="shared" ref="U48:AQ48" si="6">SUM(U3:U24)+U47</f>
        <v>4.464766337572935</v>
      </c>
      <c r="V48" s="72">
        <f t="shared" si="6"/>
        <v>106.70507947980127</v>
      </c>
      <c r="W48" s="72">
        <f t="shared" si="6"/>
        <v>6.2979320225112021</v>
      </c>
      <c r="X48" s="72">
        <f t="shared" si="6"/>
        <v>4.4621985441737033</v>
      </c>
      <c r="Y48" s="72">
        <f t="shared" si="6"/>
        <v>1.2760194816889812</v>
      </c>
      <c r="Z48" s="72">
        <f t="shared" si="6"/>
        <v>0.1386794337267695</v>
      </c>
      <c r="AA48" s="72">
        <f t="shared" si="6"/>
        <v>2.4705356935207498E-3</v>
      </c>
      <c r="AB48" s="72">
        <f t="shared" si="6"/>
        <v>150.30828561103471</v>
      </c>
      <c r="AC48" s="72">
        <f t="shared" si="6"/>
        <v>0.27121379987505123</v>
      </c>
      <c r="AD48" s="72">
        <f t="shared" si="6"/>
        <v>157.02819941031638</v>
      </c>
      <c r="AE48" s="72">
        <f t="shared" si="6"/>
        <v>1.1827961077940059E-2</v>
      </c>
      <c r="AF48" s="72">
        <f t="shared" si="6"/>
        <v>37.795182110620331</v>
      </c>
      <c r="AG48" s="72">
        <f t="shared" si="6"/>
        <v>2.7979570865683907E-3</v>
      </c>
      <c r="AH48" s="72">
        <f t="shared" si="6"/>
        <v>3.3442039950041279E-7</v>
      </c>
      <c r="AI48" s="72">
        <f t="shared" si="6"/>
        <v>3.3441703472523461E-2</v>
      </c>
      <c r="AJ48" s="72">
        <f t="shared" si="6"/>
        <v>5.5609686111930456E-2</v>
      </c>
      <c r="AK48" s="72">
        <f t="shared" si="6"/>
        <v>6.8002717872133786E-2</v>
      </c>
      <c r="AL48" s="72">
        <f t="shared" si="6"/>
        <v>0.24976725277327952</v>
      </c>
      <c r="AM48" s="72">
        <f t="shared" si="6"/>
        <v>0.15450412623566054</v>
      </c>
      <c r="AN48" s="72">
        <f t="shared" si="6"/>
        <v>3.0931058908637045E-2</v>
      </c>
      <c r="AO48" s="72">
        <f t="shared" si="6"/>
        <v>0.62683555163405669</v>
      </c>
      <c r="AP48" s="72">
        <f t="shared" si="6"/>
        <v>1.2359278950763106</v>
      </c>
      <c r="AQ48" s="72">
        <f t="shared" si="6"/>
        <v>1.9077876938315235</v>
      </c>
    </row>
    <row r="49" spans="1:8">
      <c r="A49" s="1" t="s">
        <v>40</v>
      </c>
      <c r="B49" s="2"/>
      <c r="C49" s="2"/>
      <c r="D49" s="2"/>
      <c r="E49" s="2"/>
      <c r="F49" s="61">
        <f>F25*0.7</f>
        <v>1.2499858017135863E-5</v>
      </c>
      <c r="G49" s="1" t="s">
        <v>90</v>
      </c>
      <c r="H49" s="1"/>
    </row>
    <row r="50" spans="1:8">
      <c r="A50" s="1" t="s">
        <v>38</v>
      </c>
      <c r="B50" s="2"/>
      <c r="C50" s="2"/>
      <c r="D50" s="2"/>
      <c r="E50" s="2"/>
      <c r="F50" s="61">
        <f>F26*0.7</f>
        <v>1.2474908200734396E-4</v>
      </c>
      <c r="G50" s="1" t="s">
        <v>90</v>
      </c>
      <c r="H50" s="1"/>
    </row>
    <row r="51" spans="1:8">
      <c r="A51" s="66" t="str">
        <f>A29</f>
        <v>Cu</v>
      </c>
      <c r="B51" s="64"/>
      <c r="C51" s="64"/>
      <c r="D51" s="64"/>
      <c r="E51" s="64"/>
      <c r="F51" s="65">
        <f>F29*(1-E29)</f>
        <v>5.7344000000000004E-4</v>
      </c>
      <c r="G51" s="1" t="s">
        <v>90</v>
      </c>
      <c r="H51" s="1"/>
    </row>
    <row r="52" spans="1:8">
      <c r="A52" s="66" t="str">
        <f>A30</f>
        <v>Ar</v>
      </c>
      <c r="B52" s="64"/>
      <c r="C52" s="64"/>
      <c r="D52" s="64"/>
      <c r="E52" s="64"/>
      <c r="F52" s="65">
        <f>F30</f>
        <v>8.6496969696969697E-2</v>
      </c>
      <c r="G52" s="1" t="s">
        <v>90</v>
      </c>
      <c r="H52" s="1"/>
    </row>
    <row r="53" spans="1:8">
      <c r="A53" s="66" t="str">
        <f>A31</f>
        <v>O₂</v>
      </c>
      <c r="B53" s="64"/>
      <c r="C53" s="64"/>
      <c r="D53" s="64"/>
      <c r="E53" s="64"/>
      <c r="F53" s="65">
        <f>F31</f>
        <v>8.6496969696969701E-5</v>
      </c>
      <c r="G53" s="1" t="s">
        <v>90</v>
      </c>
      <c r="H53" s="1"/>
    </row>
    <row r="54" spans="1:8">
      <c r="A54" s="7" t="s">
        <v>22</v>
      </c>
      <c r="B54" s="2"/>
      <c r="C54" s="2"/>
      <c r="D54" s="2"/>
      <c r="E54" s="2"/>
      <c r="F54" s="61">
        <f>SUM(F3:F31)-SUM(F33:F53)-F56</f>
        <v>5.0412947299994881</v>
      </c>
      <c r="H54" s="1"/>
    </row>
    <row r="55" spans="1:8">
      <c r="A55" s="1"/>
      <c r="B55" s="2"/>
      <c r="C55" s="2"/>
      <c r="D55" s="2"/>
      <c r="E55" s="2"/>
      <c r="F55" s="61"/>
      <c r="H55" s="1"/>
    </row>
    <row r="56" spans="1:8">
      <c r="A56" s="1" t="s">
        <v>89</v>
      </c>
      <c r="B56" s="2"/>
      <c r="C56" s="2"/>
      <c r="D56" s="2"/>
      <c r="E56" s="2"/>
      <c r="F56" s="61">
        <f>F4+F8+F9+F5</f>
        <v>0.23119999999999999</v>
      </c>
      <c r="G56" s="1"/>
      <c r="H56" s="1"/>
    </row>
    <row r="57" spans="1:8">
      <c r="A57" s="1"/>
      <c r="B57" s="2"/>
      <c r="C57" s="2"/>
      <c r="D57" s="2"/>
      <c r="E57" s="2"/>
      <c r="F57" s="61"/>
      <c r="G57" s="1"/>
      <c r="H57" s="1"/>
    </row>
    <row r="58" spans="1:8">
      <c r="B58" s="2"/>
      <c r="C58" s="2"/>
      <c r="D58" s="2"/>
      <c r="E58" s="2"/>
      <c r="F58" s="61"/>
      <c r="G58" s="1"/>
    </row>
    <row r="59" spans="1:8">
      <c r="G59" s="1"/>
    </row>
    <row r="60" spans="1:8">
      <c r="G60" s="1"/>
    </row>
    <row r="61" spans="1:8">
      <c r="A61" s="10">
        <f>F3/F54</f>
        <v>0.99974317510305766</v>
      </c>
    </row>
    <row r="73" spans="23:23">
      <c r="W73" s="75">
        <f>SUM(V3:V21)</f>
        <v>103.20613650953975</v>
      </c>
    </row>
  </sheetData>
  <mergeCells count="3">
    <mergeCell ref="G1:H1"/>
    <mergeCell ref="W1:AN1"/>
    <mergeCell ref="AO1:AQ1"/>
  </mergeCells>
  <phoneticPr fontId="7"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32"/>
  <sheetViews>
    <sheetView zoomScaleNormal="100" workbookViewId="0">
      <selection activeCell="O13" sqref="O13"/>
    </sheetView>
  </sheetViews>
  <sheetFormatPr defaultRowHeight="15"/>
  <cols>
    <col min="2" max="2" width="34.28515625" customWidth="1"/>
    <col min="3" max="7" width="26.85546875" customWidth="1"/>
    <col min="8" max="8" width="14.42578125" hidden="1" customWidth="1"/>
    <col min="9" max="12" width="15.140625" hidden="1" customWidth="1"/>
    <col min="14" max="14" width="26" customWidth="1"/>
    <col min="15" max="15" width="31.85546875" customWidth="1"/>
    <col min="16" max="16" width="28.5703125" customWidth="1"/>
    <col min="17" max="17" width="29.7109375" customWidth="1"/>
    <col min="18" max="38" width="14" customWidth="1"/>
  </cols>
  <sheetData>
    <row r="1" spans="1:38">
      <c r="N1" s="76"/>
      <c r="O1" s="76"/>
      <c r="P1" s="81"/>
      <c r="Q1" s="81"/>
      <c r="R1" s="117" t="s">
        <v>44</v>
      </c>
      <c r="S1" s="117"/>
      <c r="T1" s="117"/>
      <c r="U1" s="117"/>
      <c r="V1" s="117"/>
      <c r="W1" s="117"/>
      <c r="X1" s="117"/>
      <c r="Y1" s="117"/>
      <c r="Z1" s="117"/>
      <c r="AA1" s="117"/>
      <c r="AB1" s="117"/>
      <c r="AC1" s="117"/>
      <c r="AD1" s="117"/>
      <c r="AE1" s="117"/>
      <c r="AF1" s="117"/>
      <c r="AG1" s="117"/>
      <c r="AH1" s="117"/>
      <c r="AI1" s="117"/>
      <c r="AJ1" s="118" t="s">
        <v>45</v>
      </c>
      <c r="AK1" s="118"/>
      <c r="AL1" s="118"/>
    </row>
    <row r="2" spans="1:38">
      <c r="N2" s="100"/>
      <c r="O2" s="100" t="s">
        <v>87</v>
      </c>
      <c r="P2" s="78" t="s">
        <v>42</v>
      </c>
      <c r="Q2" s="78" t="s">
        <v>43</v>
      </c>
      <c r="R2" s="79" t="s">
        <v>46</v>
      </c>
      <c r="S2" s="79" t="s">
        <v>47</v>
      </c>
      <c r="T2" s="79" t="s">
        <v>48</v>
      </c>
      <c r="U2" s="79" t="s">
        <v>49</v>
      </c>
      <c r="V2" s="79" t="s">
        <v>50</v>
      </c>
      <c r="W2" s="79" t="s">
        <v>51</v>
      </c>
      <c r="X2" s="79" t="s">
        <v>52</v>
      </c>
      <c r="Y2" s="79" t="s">
        <v>53</v>
      </c>
      <c r="Z2" s="79" t="s">
        <v>54</v>
      </c>
      <c r="AA2" s="79" t="s">
        <v>55</v>
      </c>
      <c r="AB2" s="79" t="s">
        <v>56</v>
      </c>
      <c r="AC2" s="79" t="s">
        <v>57</v>
      </c>
      <c r="AD2" s="79" t="s">
        <v>58</v>
      </c>
      <c r="AE2" s="79" t="s">
        <v>59</v>
      </c>
      <c r="AF2" s="79" t="s">
        <v>60</v>
      </c>
      <c r="AG2" s="79" t="s">
        <v>61</v>
      </c>
      <c r="AH2" s="79" t="s">
        <v>62</v>
      </c>
      <c r="AI2" s="79" t="s">
        <v>63</v>
      </c>
      <c r="AJ2" s="80" t="s">
        <v>64</v>
      </c>
      <c r="AK2" s="80" t="s">
        <v>65</v>
      </c>
      <c r="AL2" s="80" t="s">
        <v>66</v>
      </c>
    </row>
    <row r="3" spans="1:38">
      <c r="N3" t="s">
        <v>71</v>
      </c>
      <c r="O3">
        <f>$F$7</f>
        <v>4.0000000031999994</v>
      </c>
      <c r="P3">
        <f>$O3*[2]production!$D$7</f>
        <v>2.8396800022717437</v>
      </c>
      <c r="Q3">
        <f>$O3*[2]production!M$7</f>
        <v>49.96641093677313</v>
      </c>
      <c r="R3">
        <f>$O3*[2]production!N$7</f>
        <v>3.2510800026008635E-3</v>
      </c>
      <c r="S3">
        <f>$O3*[2]production!O$7</f>
        <v>2.6799600021439676</v>
      </c>
      <c r="T3">
        <f>$O3*[2]production!P$7</f>
        <v>1.1836000009468799</v>
      </c>
      <c r="U3">
        <f>$O3*[2]production!Q$7</f>
        <v>1.0204000008163197E-2</v>
      </c>
      <c r="V3">
        <f>$O3*[2]production!R$7</f>
        <v>4.9796000039836795E-5</v>
      </c>
      <c r="W3">
        <f>$O3*[2]production!S$7</f>
        <v>20.874000016699195</v>
      </c>
      <c r="X3">
        <f>$O3*[2]production!T$7</f>
        <v>1.6892000013513597E-2</v>
      </c>
      <c r="Y3">
        <f>$O3*[2]production!U$7</f>
        <v>6.2776000050220784</v>
      </c>
      <c r="Z3">
        <f>$O3*[2]production!V$7</f>
        <v>2.4590000019671992E-3</v>
      </c>
      <c r="AA3">
        <f>$O3*[2]production!W$7</f>
        <v>1.1996000009596797E-2</v>
      </c>
      <c r="AB3">
        <f>$O3*[2]production!X$7</f>
        <v>4.4140000035311993E-4</v>
      </c>
      <c r="AC3">
        <f>$O3*[2]production!Y$7</f>
        <v>2.3717600018974076E-7</v>
      </c>
      <c r="AD3">
        <f>$O3*[2]production!Z$7</f>
        <v>2.9944800023955836E-3</v>
      </c>
      <c r="AE3">
        <f>$O3*[2]production!AA$7</f>
        <v>8.0544000064435191E-3</v>
      </c>
      <c r="AF3">
        <f>$O3*[2]production!AB$7</f>
        <v>1.1600000009279998E-2</v>
      </c>
      <c r="AG3">
        <f>$O3*[2]production!AC$7</f>
        <v>2.0761200016608956E-4</v>
      </c>
      <c r="AH3">
        <f>$O3*[2]production!AD$7</f>
        <v>1.2804400010243519E-3</v>
      </c>
      <c r="AI3">
        <f>$O3*[2]production!AE$7</f>
        <v>3.2074400025659512E-4</v>
      </c>
      <c r="AJ3">
        <f>$O3*[2]production!AF$7</f>
        <v>7.8456000062764791E-2</v>
      </c>
      <c r="AK3">
        <f>$O3*[2]production!AG$7</f>
        <v>0.24192800019354235</v>
      </c>
      <c r="AL3">
        <f>$O3*[2]production!AH$7</f>
        <v>0.14248400011398718</v>
      </c>
    </row>
    <row r="4" spans="1:38">
      <c r="B4" s="119" t="s">
        <v>67</v>
      </c>
      <c r="C4" s="119"/>
      <c r="D4" s="119"/>
      <c r="E4" s="119"/>
      <c r="F4" s="119"/>
      <c r="N4" t="s">
        <v>72</v>
      </c>
      <c r="O4">
        <f>$F$9</f>
        <v>2.8677679603663546E-4</v>
      </c>
      <c r="P4">
        <f>$O4*[2]production!$D$7</f>
        <v>2.0358858304232825E-4</v>
      </c>
      <c r="Q4">
        <f>$O4*[2]production!M$7</f>
        <v>3.5823018066085837E-3</v>
      </c>
      <c r="R4">
        <f>$O4*[2]production!N$7</f>
        <v>2.330835765146962E-7</v>
      </c>
      <c r="S4">
        <f>$O4*[2]production!O$7</f>
        <v>1.921375855765854E-4</v>
      </c>
      <c r="T4">
        <f>$O4*[2]production!P$7</f>
        <v>8.4857253947240438E-5</v>
      </c>
      <c r="U4">
        <f>$O4*[2]production!Q$7</f>
        <v>7.31567606689457E-7</v>
      </c>
      <c r="V4">
        <f>$O4*[2]production!R$7</f>
        <v>3.5700843338600749E-9</v>
      </c>
      <c r="W4">
        <f>$O4*[2]production!S$7</f>
        <v>1.4965447101171821E-3</v>
      </c>
      <c r="X4">
        <f>$O4*[2]production!T$7</f>
        <v>1.2110584096627115E-6</v>
      </c>
      <c r="Y4">
        <f>$O4*[2]production!U$7</f>
        <v>4.5006750369989566E-4</v>
      </c>
      <c r="Z4">
        <f>$O4*[2]production!V$7</f>
        <v>1.7629603536352163E-7</v>
      </c>
      <c r="AA4">
        <f>$O4*[2]production!W$7</f>
        <v>8.6004361131386969E-7</v>
      </c>
      <c r="AB4">
        <f>$O4*[2]production!X$7</f>
        <v>3.1645819442642725E-8</v>
      </c>
      <c r="AC4">
        <f>$O4*[2]production!Y$7</f>
        <v>1.7004143344196264E-11</v>
      </c>
      <c r="AD4">
        <f>$O4*[2]production!Z$7</f>
        <v>2.1468684504894603E-7</v>
      </c>
      <c r="AE4">
        <f>$O4*[2]production!AA$7</f>
        <v>5.7745375649936917E-7</v>
      </c>
      <c r="AF4">
        <f>$O4*[2]production!AB$7</f>
        <v>8.3165270850624278E-7</v>
      </c>
      <c r="AG4">
        <f>$O4*[2]production!AC$7</f>
        <v>1.4884576044689491E-8</v>
      </c>
      <c r="AH4">
        <f>$O4*[2]production!AD$7</f>
        <v>9.1800120179287388E-8</v>
      </c>
      <c r="AI4">
        <f>$O4*[2]production!AE$7</f>
        <v>2.2995484166993648E-8</v>
      </c>
      <c r="AJ4">
        <f>$O4*[2]production!AF$7</f>
        <v>5.6248400774625676E-6</v>
      </c>
      <c r="AK4">
        <f>$O4*[2]production!AG$7</f>
        <v>1.7344834177887785E-5</v>
      </c>
      <c r="AL4">
        <f>$O4*[2]production!AH$7</f>
        <v>1.0215276251620991E-5</v>
      </c>
    </row>
    <row r="5" spans="1:38" ht="15.75" thickBot="1">
      <c r="A5" s="1" t="s">
        <v>168</v>
      </c>
      <c r="C5" t="s">
        <v>68</v>
      </c>
      <c r="D5" t="s">
        <v>69</v>
      </c>
      <c r="E5" t="s">
        <v>70</v>
      </c>
      <c r="N5" t="s">
        <v>153</v>
      </c>
      <c r="O5">
        <f>F11</f>
        <v>3.0925523486844266</v>
      </c>
      <c r="P5">
        <f>$O5*[2]production!$D$7</f>
        <v>2.1954647633780482</v>
      </c>
      <c r="Q5">
        <f>$O5*[2]production!M$7</f>
        <v>38.630935343557496</v>
      </c>
      <c r="R5">
        <f>$O5*[2]production!N$7</f>
        <v>2.5135337724402412E-3</v>
      </c>
      <c r="S5">
        <f>$O5*[2]production!O$7</f>
        <v>2.0719791480950791</v>
      </c>
      <c r="T5">
        <f>$O5*[2]production!P$7</f>
        <v>0.9150862399757218</v>
      </c>
      <c r="U5">
        <f>$O5*[2]production!Q$7</f>
        <v>7.8891010414939722E-3</v>
      </c>
      <c r="V5">
        <f>$O5*[2]production!R$7</f>
        <v>3.8499184188772428E-5</v>
      </c>
      <c r="W5">
        <f>$O5*[2]production!S$7</f>
        <v>16.13848443160968</v>
      </c>
      <c r="X5">
        <f>$O5*[2]production!T$7</f>
        <v>1.3059848568494334E-2</v>
      </c>
      <c r="Y5">
        <f>$O5*[2]production!U$7</f>
        <v>4.8534516560253387</v>
      </c>
      <c r="Z5">
        <f>$O5*[2]production!V$7</f>
        <v>1.9011465563537511E-3</v>
      </c>
      <c r="AA5">
        <f>$O5*[2]production!W$7</f>
        <v>9.2745644937045953E-3</v>
      </c>
      <c r="AB5">
        <f>$O5*[2]production!X$7</f>
        <v>3.4126315167732648E-4</v>
      </c>
      <c r="AC5">
        <f>$O5*[2]production!Y$7</f>
        <v>1.8336979896289439E-7</v>
      </c>
      <c r="AD5">
        <f>$O5*[2]production!Z$7</f>
        <v>2.3151465392721353E-3</v>
      </c>
      <c r="AE5">
        <f>$O5*[2]production!AA$7</f>
        <v>6.227163409310961E-3</v>
      </c>
      <c r="AF5">
        <f>$O5*[2]production!AB$7</f>
        <v>8.9684018111848372E-3</v>
      </c>
      <c r="AG5">
        <f>$O5*[2]production!AC$7</f>
        <v>1.6051274455376779E-4</v>
      </c>
      <c r="AH5">
        <f>$O5*[2]production!AD$7</f>
        <v>9.8995693233737197E-4</v>
      </c>
      <c r="AI5">
        <f>$O5*[2]production!AE$7</f>
        <v>2.4797940263160943E-4</v>
      </c>
      <c r="AJ5">
        <f>$O5*[2]production!AF$7</f>
        <v>6.0657321767096345E-2</v>
      </c>
      <c r="AK5">
        <f>$O5*[2]production!AG$7</f>
        <v>0.18704375115313149</v>
      </c>
      <c r="AL5">
        <f>$O5*[2]production!AH$7</f>
        <v>0.11015980721248796</v>
      </c>
    </row>
    <row r="6" spans="1:38">
      <c r="B6" s="83" t="s">
        <v>6</v>
      </c>
      <c r="C6" s="84"/>
      <c r="D6" s="84"/>
      <c r="E6" s="84"/>
      <c r="F6" s="85"/>
      <c r="N6" t="s">
        <v>154</v>
      </c>
      <c r="O6">
        <f>F12</f>
        <v>24.000000019199998</v>
      </c>
      <c r="P6">
        <f>$O6*[2]production!$D$7</f>
        <v>17.038080013630463</v>
      </c>
      <c r="Q6">
        <f>$O6*[2]production!M$7</f>
        <v>299.79846562063881</v>
      </c>
      <c r="R6">
        <f>$O6*[2]production!N$7</f>
        <v>1.9506480015605183E-2</v>
      </c>
      <c r="S6">
        <f>$O6*[2]production!O$7</f>
        <v>16.079760012863805</v>
      </c>
      <c r="T6">
        <f>$O6*[2]production!P$7</f>
        <v>7.1016000056812789</v>
      </c>
      <c r="U6">
        <f>$O6*[2]production!Q$7</f>
        <v>6.1224000048979189E-2</v>
      </c>
      <c r="V6">
        <f>$O6*[2]production!R$7</f>
        <v>2.9877600023902077E-4</v>
      </c>
      <c r="W6">
        <f>$O6*[2]production!S$7</f>
        <v>125.24400010019518</v>
      </c>
      <c r="X6">
        <f>$O6*[2]production!T$7</f>
        <v>0.1013520000810816</v>
      </c>
      <c r="Y6">
        <f>$O6*[2]production!U$7</f>
        <v>37.665600030132474</v>
      </c>
      <c r="Z6">
        <f>$O6*[2]production!V$7</f>
        <v>1.4754000011803197E-2</v>
      </c>
      <c r="AA6">
        <f>$O6*[2]production!W$7</f>
        <v>7.1976000057580786E-2</v>
      </c>
      <c r="AB6">
        <f>$O6*[2]production!X$7</f>
        <v>2.6484000021187197E-3</v>
      </c>
      <c r="AC6">
        <f>$O6*[2]production!Y$7</f>
        <v>1.4230560011384447E-6</v>
      </c>
      <c r="AD6">
        <f>$O6*[2]production!Z$7</f>
        <v>1.7966880014373503E-2</v>
      </c>
      <c r="AE6">
        <f>$O6*[2]production!AA$7</f>
        <v>4.8326400038661114E-2</v>
      </c>
      <c r="AF6">
        <f>$O6*[2]production!AB$7</f>
        <v>6.9600000055679984E-2</v>
      </c>
      <c r="AG6">
        <f>$O6*[2]production!AC$7</f>
        <v>1.2456720009965375E-3</v>
      </c>
      <c r="AH6">
        <f>$O6*[2]production!AD$7</f>
        <v>7.6826400061461115E-3</v>
      </c>
      <c r="AI6">
        <f>$O6*[2]production!AE$7</f>
        <v>1.9244640015395709E-3</v>
      </c>
      <c r="AJ6">
        <f>$O6*[2]production!AF$7</f>
        <v>0.47073600037658875</v>
      </c>
      <c r="AK6">
        <f>$O6*[2]production!AG$7</f>
        <v>1.4515680011612544</v>
      </c>
      <c r="AL6">
        <f>$O6*[2]production!AH$7</f>
        <v>0.85490400068392314</v>
      </c>
    </row>
    <row r="7" spans="1:38" ht="15.75" thickBot="1">
      <c r="B7" s="86" t="s">
        <v>71</v>
      </c>
      <c r="C7" s="87">
        <f>120/100*10000</f>
        <v>12000</v>
      </c>
      <c r="D7" s="88">
        <f>20*60</f>
        <v>1200</v>
      </c>
      <c r="E7" s="89">
        <f>C7*D7/1000000</f>
        <v>14.4</v>
      </c>
      <c r="F7" s="90">
        <f>E7*0.277777778</f>
        <v>4.0000000031999994</v>
      </c>
      <c r="N7" t="s">
        <v>155</v>
      </c>
      <c r="O7">
        <f>F14</f>
        <v>0.11913493700245109</v>
      </c>
      <c r="P7">
        <f>$O7*[2]production!$D$7</f>
        <v>8.4576274476780081E-2</v>
      </c>
      <c r="Q7">
        <f>$O7*[2]production!M$7</f>
        <v>1.4881863036072136</v>
      </c>
      <c r="R7">
        <f>$O7*[2]production!N$7</f>
        <v>9.6829302747482171E-5</v>
      </c>
      <c r="S7">
        <f>$O7*[2]production!O$7</f>
        <v>7.9819216442272203E-2</v>
      </c>
      <c r="T7">
        <f>$O7*[2]production!P$7</f>
        <v>3.525202785902528E-2</v>
      </c>
      <c r="U7">
        <f>$O7*[2]production!Q$7</f>
        <v>3.039132242932527E-4</v>
      </c>
      <c r="V7">
        <f>$O7*[2]production!R$7</f>
        <v>1.4831108307435136E-6</v>
      </c>
      <c r="W7">
        <f>$O7*[2]production!S$7</f>
        <v>0.62170566874729094</v>
      </c>
      <c r="X7">
        <f>$O7*[2]production!T$7</f>
        <v>5.0310683896135093E-4</v>
      </c>
      <c r="Y7">
        <f>$O7*[2]production!U$7</f>
        <v>0.18697037013164672</v>
      </c>
      <c r="Z7">
        <f>$O7*[2]production!V$7</f>
        <v>7.3238202522256797E-5</v>
      </c>
      <c r="AA7">
        <f>$O7*[2]production!W$7</f>
        <v>3.5728567607035079E-4</v>
      </c>
      <c r="AB7">
        <f>$O7*[2]production!X$7</f>
        <v>1.3146540298220478E-5</v>
      </c>
      <c r="AC7">
        <f>$O7*[2]production!Y$7</f>
        <v>7.0639869546233354E-9</v>
      </c>
      <c r="AD7">
        <f>$O7*[2]production!Z$7</f>
        <v>8.9186796538774931E-5</v>
      </c>
      <c r="AE7">
        <f>$O7*[2]production!AA$7</f>
        <v>2.398901091481355E-4</v>
      </c>
      <c r="AF7">
        <f>$O7*[2]production!AB$7</f>
        <v>3.4549131730710812E-4</v>
      </c>
      <c r="AG7">
        <f>$O7*[2]production!AC$7</f>
        <v>6.1834606352382193E-6</v>
      </c>
      <c r="AH7">
        <f>$O7*[2]production!AD$7</f>
        <v>3.8136284683854624E-5</v>
      </c>
      <c r="AI7">
        <f>$O7*[2]production!AE$7</f>
        <v>9.5529540584785421E-6</v>
      </c>
      <c r="AJ7">
        <f>$O7*[2]production!AF$7</f>
        <v>2.3367126543660756E-3</v>
      </c>
      <c r="AK7">
        <f>$O7*[2]production!AG$7</f>
        <v>7.2055192597822474E-3</v>
      </c>
      <c r="AL7">
        <f>$O7*[2]production!AH$7</f>
        <v>4.24370559096431E-3</v>
      </c>
    </row>
    <row r="8" spans="1:38">
      <c r="B8" s="83" t="s">
        <v>13</v>
      </c>
      <c r="C8" s="91"/>
      <c r="D8" s="92"/>
      <c r="E8" s="93"/>
      <c r="F8" s="94"/>
      <c r="H8" s="9"/>
      <c r="I8" s="9" t="s">
        <v>83</v>
      </c>
      <c r="J8" s="9" t="s">
        <v>84</v>
      </c>
      <c r="K8" s="9" t="s">
        <v>85</v>
      </c>
      <c r="L8" s="9"/>
      <c r="N8" t="s">
        <v>156</v>
      </c>
      <c r="O8">
        <f>F15</f>
        <v>11.612082309628908</v>
      </c>
      <c r="P8">
        <f>$O8*[2]production!$D$7</f>
        <v>8.2436494732517538</v>
      </c>
      <c r="Q8">
        <f>$O8*[2]production!M$7</f>
        <v>145.05351901259513</v>
      </c>
      <c r="R8">
        <f>$O8*[2]production!N$7</f>
        <v>9.4379521387970879E-3</v>
      </c>
      <c r="S8">
        <f>$O8*[2]production!O$7</f>
        <v>7.779979026628272</v>
      </c>
      <c r="T8">
        <f>$O8*[2]production!P$7</f>
        <v>3.4360151554191938</v>
      </c>
      <c r="U8">
        <f>$O8*[2]production!Q$7</f>
        <v>2.9622421971863343E-2</v>
      </c>
      <c r="V8">
        <f>$O8*[2]production!R$7</f>
        <v>1.4455881267257028E-4</v>
      </c>
      <c r="W8">
        <f>$O8*[2]production!S$7</f>
        <v>60.597651532798452</v>
      </c>
      <c r="X8">
        <f>$O8*[2]production!T$7</f>
        <v>4.9037823593562881E-2</v>
      </c>
      <c r="Y8">
        <f>$O8*[2]production!U$7</f>
        <v>18.224001976731607</v>
      </c>
      <c r="Z8">
        <f>$O8*[2]production!V$7</f>
        <v>7.1385275998443708E-3</v>
      </c>
      <c r="AA8">
        <f>$O8*[2]production!W$7</f>
        <v>3.4824634846577093E-2</v>
      </c>
      <c r="AB8">
        <f>$O8*[2]production!X$7</f>
        <v>1.2813932828675499E-3</v>
      </c>
      <c r="AC8">
        <f>$O8*[2]production!Y$7</f>
        <v>6.8852680846713655E-7</v>
      </c>
      <c r="AD8">
        <f>$O8*[2]production!Z$7</f>
        <v>8.6930370586343932E-3</v>
      </c>
      <c r="AE8">
        <f>$O8*[2]production!AA$7</f>
        <v>2.338208893866877E-2</v>
      </c>
      <c r="AF8">
        <f>$O8*[2]production!AB$7</f>
        <v>3.3675038697923834E-2</v>
      </c>
      <c r="AG8">
        <f>$O8*[2]production!AC$7</f>
        <v>6.0270190811666919E-4</v>
      </c>
      <c r="AH8">
        <f>$O8*[2]production!AD$7</f>
        <v>3.7171436681353101E-3</v>
      </c>
      <c r="AI8">
        <f>$O8*[2]production!AE$7</f>
        <v>9.3112643207990354E-4</v>
      </c>
      <c r="AJ8">
        <f>$O8*[2]production!AF$7</f>
        <v>0.22775938242106139</v>
      </c>
      <c r="AK8">
        <f>$O8*[2]production!AG$7</f>
        <v>0.70232196225097565</v>
      </c>
      <c r="AL8">
        <f>$O8*[2]production!AH$7</f>
        <v>0.41363398395129136</v>
      </c>
    </row>
    <row r="9" spans="1:38" ht="15.75" thickBot="1">
      <c r="B9" s="95" t="s">
        <v>72</v>
      </c>
      <c r="C9" s="96">
        <v>130</v>
      </c>
      <c r="D9" s="97">
        <f>K9</f>
        <v>7.9415112685074662</v>
      </c>
      <c r="E9" s="98">
        <f>C9*D9/1000000</f>
        <v>1.0323964649059706E-3</v>
      </c>
      <c r="F9" s="99">
        <f t="shared" ref="F9:F20" si="0">E9*0.277777778</f>
        <v>2.8677679603663546E-4</v>
      </c>
      <c r="H9" s="9" t="s">
        <v>72</v>
      </c>
      <c r="I9" s="9">
        <v>130</v>
      </c>
      <c r="J9" s="9">
        <v>1</v>
      </c>
      <c r="K9" s="9">
        <f>'material inventory'!F7/789*1000000/J9</f>
        <v>7.9415112685074662</v>
      </c>
      <c r="L9" s="9">
        <f>I9*K9/1000000</f>
        <v>1.0323964649059706E-3</v>
      </c>
      <c r="N9" t="s">
        <v>157</v>
      </c>
      <c r="O9">
        <f>F16</f>
        <v>21.600000017279999</v>
      </c>
      <c r="P9">
        <f>$O9*[2]production!$D$7</f>
        <v>15.334272012267418</v>
      </c>
      <c r="Q9">
        <f>$O9*[2]production!M$7</f>
        <v>269.81861905857494</v>
      </c>
      <c r="R9">
        <f>$O9*[2]production!N$7</f>
        <v>1.7555832014044665E-2</v>
      </c>
      <c r="S9">
        <f>$O9*[2]production!O$7</f>
        <v>14.471784011577427</v>
      </c>
      <c r="T9">
        <f>$O9*[2]production!P$7</f>
        <v>6.3914400051131519</v>
      </c>
      <c r="U9">
        <f>$O9*[2]production!Q$7</f>
        <v>5.5101600044081274E-2</v>
      </c>
      <c r="V9">
        <f>$O9*[2]production!R$7</f>
        <v>2.6889840021511875E-4</v>
      </c>
      <c r="W9">
        <f>$O9*[2]production!S$7</f>
        <v>112.71960009017567</v>
      </c>
      <c r="X9">
        <f>$O9*[2]production!T$7</f>
        <v>9.1216800072973447E-2</v>
      </c>
      <c r="Y9">
        <f>$O9*[2]production!U$7</f>
        <v>33.899040027119227</v>
      </c>
      <c r="Z9">
        <f>$O9*[2]production!V$7</f>
        <v>1.3278600010622879E-2</v>
      </c>
      <c r="AA9">
        <f>$O9*[2]production!W$7</f>
        <v>6.4778400051822713E-2</v>
      </c>
      <c r="AB9">
        <f>$O9*[2]production!X$7</f>
        <v>2.3835600019068478E-3</v>
      </c>
      <c r="AC9">
        <f>$O9*[2]production!Y$7</f>
        <v>1.2807504010246002E-6</v>
      </c>
      <c r="AD9">
        <f>$O9*[2]production!Z$7</f>
        <v>1.6170192012936152E-2</v>
      </c>
      <c r="AE9">
        <f>$O9*[2]production!AA$7</f>
        <v>4.3493760034795007E-2</v>
      </c>
      <c r="AF9">
        <f>$O9*[2]production!AB$7</f>
        <v>6.2640000050111999E-2</v>
      </c>
      <c r="AG9">
        <f>$O9*[2]production!AC$7</f>
        <v>1.1211048008968839E-3</v>
      </c>
      <c r="AH9">
        <f>$O9*[2]production!AD$7</f>
        <v>6.9143760055315013E-3</v>
      </c>
      <c r="AI9">
        <f>$O9*[2]production!AE$7</f>
        <v>1.7320176013856138E-3</v>
      </c>
      <c r="AJ9">
        <f>$O9*[2]production!AF$7</f>
        <v>0.42366240033892988</v>
      </c>
      <c r="AK9">
        <f>$O9*[2]production!AG$7</f>
        <v>1.306411201045129</v>
      </c>
      <c r="AL9">
        <f>$O9*[2]production!AH$7</f>
        <v>0.76941360061553088</v>
      </c>
    </row>
    <row r="10" spans="1:38">
      <c r="B10" s="83" t="s">
        <v>16</v>
      </c>
      <c r="C10" s="91"/>
      <c r="D10" s="92"/>
      <c r="E10" s="93"/>
      <c r="F10" s="94"/>
      <c r="N10" t="s">
        <v>158</v>
      </c>
      <c r="O10">
        <f>$F$18</f>
        <v>2.1444288660441204</v>
      </c>
      <c r="P10">
        <f>$O10*[2]production!$D$7</f>
        <v>1.5223729405820419</v>
      </c>
      <c r="Q10">
        <f>$O10*[2]production!M$7</f>
        <v>26.787353464929854</v>
      </c>
      <c r="R10">
        <f>$O10*[2]production!N$7</f>
        <v>1.7429274494546797E-3</v>
      </c>
      <c r="S10">
        <f>$O10*[2]production!O$7</f>
        <v>1.4367458959609001</v>
      </c>
      <c r="T10">
        <f>$O10*[2]production!P$7</f>
        <v>0.63453650146245522</v>
      </c>
      <c r="U10">
        <f>$O10*[2]production!Q$7</f>
        <v>5.4704380372785511E-3</v>
      </c>
      <c r="V10">
        <f>$O10*[2]production!R$7</f>
        <v>2.6695994953383257E-5</v>
      </c>
      <c r="W10">
        <f>$O10*[2]production!S$7</f>
        <v>11.190702037451242</v>
      </c>
      <c r="X10">
        <f>$O10*[2]production!T$7</f>
        <v>9.0559231013043213E-3</v>
      </c>
      <c r="Y10">
        <f>$O10*[2]production!U$7</f>
        <v>3.3654666623696423</v>
      </c>
      <c r="Z10">
        <f>$O10*[2]production!V$7</f>
        <v>1.3182876454006229E-3</v>
      </c>
      <c r="AA10">
        <f>$O10*[2]production!W$7</f>
        <v>6.431142169266317E-3</v>
      </c>
      <c r="AB10">
        <f>$O10*[2]production!X$7</f>
        <v>2.366377253679687E-4</v>
      </c>
      <c r="AC10">
        <f>$O10*[2]production!Y$7</f>
        <v>1.2715176518322008E-7</v>
      </c>
      <c r="AD10">
        <f>$O10*[2]production!Z$7</f>
        <v>1.6053623376979494E-3</v>
      </c>
      <c r="AE10">
        <f>$O10*[2]production!AA$7</f>
        <v>4.3180219646664405E-3</v>
      </c>
      <c r="AF10">
        <f>$O10*[2]production!AB$7</f>
        <v>6.2188437115279485E-3</v>
      </c>
      <c r="AG10">
        <f>$O10*[2]production!AC$7</f>
        <v>1.1130229143428798E-4</v>
      </c>
      <c r="AH10">
        <f>$O10*[2]production!AD$7</f>
        <v>6.8645312430938349E-4</v>
      </c>
      <c r="AI10">
        <f>$O10*[2]production!AE$7</f>
        <v>1.7195317305261382E-4</v>
      </c>
      <c r="AJ10">
        <f>$O10*[2]production!AF$7</f>
        <v>4.2060827778589376E-2</v>
      </c>
      <c r="AK10">
        <f>$O10*[2]production!AG$7</f>
        <v>0.12969934667608049</v>
      </c>
      <c r="AL10">
        <f>$O10*[2]production!AH$7</f>
        <v>7.6386700637357613E-2</v>
      </c>
    </row>
    <row r="11" spans="1:38">
      <c r="B11" s="103" t="s">
        <v>86</v>
      </c>
      <c r="C11" s="104">
        <f>(300+370)*(10000*'material inventory'!C11/100)^2*(4160/9999)^2</f>
        <v>742212.56309049239</v>
      </c>
      <c r="D11" s="105">
        <v>15</v>
      </c>
      <c r="E11" s="106">
        <f>C11*D11/1000000</f>
        <v>11.133188446357385</v>
      </c>
      <c r="F11" s="107">
        <f t="shared" si="0"/>
        <v>3.0925523486844266</v>
      </c>
      <c r="N11" t="s">
        <v>175</v>
      </c>
      <c r="O11">
        <f>$F$20</f>
        <v>7.0555555611999994</v>
      </c>
      <c r="P11">
        <f>$O11*[2]production!$D$7</f>
        <v>5.0088800040071035</v>
      </c>
      <c r="Q11">
        <f>$O11*[2]production!M$7</f>
        <v>88.135197069030383</v>
      </c>
      <c r="R11">
        <f>$O11*[2]production!N$7</f>
        <v>5.7345438934765236E-3</v>
      </c>
      <c r="S11">
        <f>$O11*[2]production!O$7</f>
        <v>4.7271516704483876</v>
      </c>
      <c r="T11">
        <f>$O11*[2]production!P$7</f>
        <v>2.0877388905590797</v>
      </c>
      <c r="U11">
        <f>$O11*[2]production!Q$7</f>
        <v>1.7998722236621197E-2</v>
      </c>
      <c r="V11">
        <f>$O11*[2]production!R$7</f>
        <v>8.7834611181378795E-5</v>
      </c>
      <c r="W11">
        <f>$O11*[2]production!S$7</f>
        <v>36.819416696122197</v>
      </c>
      <c r="X11">
        <f>$O11*[2]production!T$7</f>
        <v>2.9795611134947598E-2</v>
      </c>
      <c r="Y11">
        <f>$O11*[2]production!U$7</f>
        <v>11.072988897747278</v>
      </c>
      <c r="Z11">
        <f>$O11*[2]production!V$7</f>
        <v>4.3374027812476991E-3</v>
      </c>
      <c r="AA11">
        <f>$O11*[2]production!W$7</f>
        <v>2.1159611128038797E-2</v>
      </c>
      <c r="AB11">
        <f>$O11*[2]production!X$7</f>
        <v>7.785805561784199E-4</v>
      </c>
      <c r="AC11">
        <f>$O11*[2]production!Y$7</f>
        <v>4.1835211144579277E-7</v>
      </c>
      <c r="AD11">
        <f>$O11*[2]production!Z$7</f>
        <v>5.2819300042255433E-3</v>
      </c>
      <c r="AE11">
        <f>$O11*[2]production!AA$7</f>
        <v>1.4207066678032319E-2</v>
      </c>
      <c r="AF11">
        <f>$O11*[2]production!AB$7</f>
        <v>2.0461111127479996E-2</v>
      </c>
      <c r="AG11">
        <f>$O11*[2]production!AC$7</f>
        <v>3.662045002929636E-4</v>
      </c>
      <c r="AH11">
        <f>$O11*[2]production!AD$7</f>
        <v>2.258553890695732E-3</v>
      </c>
      <c r="AI11">
        <f>$O11*[2]production!AE$7</f>
        <v>5.6575677823038307E-4</v>
      </c>
      <c r="AJ11">
        <f>$O11*[2]production!AF$7</f>
        <v>0.13838766677737679</v>
      </c>
      <c r="AK11">
        <f>$O11*[2]production!AG$7</f>
        <v>0.42673411145249834</v>
      </c>
      <c r="AL11">
        <f>$O11*[2]production!AH$7</f>
        <v>0.25132594464550517</v>
      </c>
    </row>
    <row r="12" spans="1:38" ht="15.75" thickBot="1">
      <c r="A12">
        <v>500</v>
      </c>
      <c r="B12" s="95" t="s">
        <v>73</v>
      </c>
      <c r="C12" s="96">
        <f>630/350*A12/100*10000*'material inventory'!C11</f>
        <v>72000</v>
      </c>
      <c r="D12" s="97">
        <f>20*60</f>
        <v>1200</v>
      </c>
      <c r="E12" s="98">
        <f>C12*D12/1000000</f>
        <v>86.4</v>
      </c>
      <c r="F12" s="99">
        <f t="shared" si="0"/>
        <v>24.000000019199998</v>
      </c>
      <c r="P12">
        <f>SUM(P3:P11)</f>
        <v>52.2671790724484</v>
      </c>
      <c r="Q12">
        <f>SUM(Q3:Q11)</f>
        <v>919.68226911151373</v>
      </c>
    </row>
    <row r="13" spans="1:38">
      <c r="B13" s="83" t="s">
        <v>17</v>
      </c>
      <c r="C13" s="91"/>
      <c r="D13" s="92"/>
      <c r="E13" s="93"/>
      <c r="F13" s="94"/>
      <c r="N13" s="8" t="s">
        <v>82</v>
      </c>
      <c r="O13" s="10"/>
      <c r="P13" s="10">
        <f>P3/O3*F26</f>
        <v>1.6328160013062525E-2</v>
      </c>
      <c r="Q13">
        <f>Q3/O3*F26</f>
        <v>0.28730686288644547</v>
      </c>
    </row>
    <row r="14" spans="1:38">
      <c r="B14" s="103" t="s">
        <v>74</v>
      </c>
      <c r="C14" s="104">
        <f>(300+370)*(10000*'material inventory'!C14/100)^2*(1000/9999)^2</f>
        <v>42888.577286571533</v>
      </c>
      <c r="D14" s="105">
        <v>10</v>
      </c>
      <c r="E14" s="106">
        <f>C14*D14/1000000</f>
        <v>0.42888577286571533</v>
      </c>
      <c r="F14" s="107">
        <f t="shared" si="0"/>
        <v>0.11913493700245109</v>
      </c>
    </row>
    <row r="15" spans="1:38">
      <c r="B15" s="103" t="s">
        <v>75</v>
      </c>
      <c r="C15" s="104">
        <f>(300+370)*(10000*'material inventory'!C16/100)^2*(5700/9999)^2</f>
        <v>1393449.8760407092</v>
      </c>
      <c r="D15" s="105">
        <v>30</v>
      </c>
      <c r="E15" s="106">
        <f>C15*D15/1000000</f>
        <v>41.803496281221278</v>
      </c>
      <c r="F15" s="107">
        <f t="shared" si="0"/>
        <v>11.612082309628908</v>
      </c>
      <c r="G15">
        <f>F14+F15</f>
        <v>11.73121724663136</v>
      </c>
    </row>
    <row r="16" spans="1:38" ht="15.75" thickBot="1">
      <c r="A16">
        <v>100</v>
      </c>
      <c r="B16" s="95" t="s">
        <v>76</v>
      </c>
      <c r="C16" s="96">
        <f>630/350*A16/100*10000*'material inventory'!C14</f>
        <v>14400</v>
      </c>
      <c r="D16" s="97">
        <f>90*60</f>
        <v>5400</v>
      </c>
      <c r="E16" s="98">
        <f>C16*D16/1000000</f>
        <v>77.760000000000005</v>
      </c>
      <c r="F16" s="99">
        <f t="shared" si="0"/>
        <v>21.600000017279999</v>
      </c>
    </row>
    <row r="17" spans="1:17">
      <c r="B17" s="83" t="s">
        <v>77</v>
      </c>
      <c r="C17" s="91"/>
      <c r="D17" s="92"/>
      <c r="E17" s="93"/>
      <c r="F17" s="94"/>
    </row>
    <row r="18" spans="1:17" ht="15.75" thickBot="1">
      <c r="B18" s="108" t="s">
        <v>88</v>
      </c>
      <c r="C18" s="109">
        <f>(300+370)*(10000*'material inventory'!C22/100)^2*(3000/9999)^2</f>
        <v>385997.19557914388</v>
      </c>
      <c r="D18" s="110">
        <v>20</v>
      </c>
      <c r="E18" s="111">
        <f>C18*D18/1000000</f>
        <v>7.7199439115828783</v>
      </c>
      <c r="F18" s="112">
        <f t="shared" si="0"/>
        <v>2.1444288660441204</v>
      </c>
    </row>
    <row r="19" spans="1:17">
      <c r="B19" s="83" t="s">
        <v>78</v>
      </c>
      <c r="C19" s="84"/>
      <c r="D19" s="84"/>
      <c r="E19" s="93"/>
      <c r="F19" s="94"/>
    </row>
    <row r="20" spans="1:17" ht="15.75" thickBot="1">
      <c r="A20">
        <v>150</v>
      </c>
      <c r="B20" s="95" t="s">
        <v>169</v>
      </c>
      <c r="C20" s="96">
        <f>(2.8*10000/240*A20*'material inventory'!C29+57500)</f>
        <v>71500</v>
      </c>
      <c r="D20" s="97">
        <f>'material inventory'!B29/33*60</f>
        <v>145.45454545454547</v>
      </c>
      <c r="E20" s="98">
        <f>(C20*D20+50000*5*60)/1000000</f>
        <v>25.4</v>
      </c>
      <c r="F20" s="99">
        <f t="shared" si="0"/>
        <v>7.0555555611999994</v>
      </c>
    </row>
    <row r="21" spans="1:17">
      <c r="E21" s="52"/>
      <c r="F21" s="52"/>
    </row>
    <row r="22" spans="1:17">
      <c r="B22" t="s">
        <v>80</v>
      </c>
      <c r="E22" s="52">
        <f>SUM(E7:E21)*0.277777778</f>
        <v>73.624040839035942</v>
      </c>
      <c r="F22" s="52">
        <f>SUM(F7:F21)</f>
        <v>73.624040839035942</v>
      </c>
      <c r="G22" t="s">
        <v>81</v>
      </c>
    </row>
    <row r="26" spans="1:17">
      <c r="B26" t="s">
        <v>82</v>
      </c>
      <c r="C26">
        <f>230*0.6</f>
        <v>138</v>
      </c>
      <c r="D26">
        <f>10*60</f>
        <v>600</v>
      </c>
      <c r="E26">
        <f>C26*D26/1000000</f>
        <v>8.2799999999999999E-2</v>
      </c>
      <c r="F26">
        <f>E26*0.277777778</f>
        <v>2.3000000018399996E-2</v>
      </c>
    </row>
    <row r="32" spans="1:17">
      <c r="Q32" s="53">
        <f>SUM(Q3:Q11)</f>
        <v>919.68226911151373</v>
      </c>
    </row>
  </sheetData>
  <mergeCells count="3">
    <mergeCell ref="B4:F4"/>
    <mergeCell ref="R1:AI1"/>
    <mergeCell ref="AJ1:AL1"/>
  </mergeCells>
  <phoneticPr fontId="7"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37"/>
  <sheetViews>
    <sheetView zoomScaleNormal="100" workbookViewId="0">
      <pane ySplit="1" topLeftCell="A8" activePane="bottomLeft" state="frozen"/>
      <selection pane="bottomLeft" activeCell="I32" sqref="I32"/>
    </sheetView>
  </sheetViews>
  <sheetFormatPr defaultRowHeight="15"/>
  <cols>
    <col min="1" max="1" width="29.7109375" customWidth="1"/>
    <col min="2" max="3" width="9.42578125" bestFit="1" customWidth="1"/>
    <col min="4" max="4" width="12" bestFit="1" customWidth="1"/>
    <col min="5" max="5" width="9.42578125" bestFit="1" customWidth="1"/>
    <col min="6" max="8" width="12" bestFit="1" customWidth="1"/>
    <col min="9" max="9" width="9.42578125" bestFit="1" customWidth="1"/>
    <col min="10" max="10" width="12" bestFit="1" customWidth="1"/>
    <col min="11" max="11" width="9.42578125" bestFit="1" customWidth="1"/>
    <col min="12" max="14" width="12" bestFit="1" customWidth="1"/>
    <col min="15" max="15" width="12.140625" bestFit="1" customWidth="1"/>
    <col min="16" max="17" width="12" bestFit="1" customWidth="1"/>
    <col min="18" max="18" width="15.5703125" customWidth="1"/>
    <col min="19" max="24" width="12" bestFit="1" customWidth="1"/>
  </cols>
  <sheetData>
    <row r="1" spans="1:24" s="100" customFormat="1">
      <c r="B1" s="100" t="str">
        <f>'material inventory'!U2</f>
        <v>Carbon footprint</v>
      </c>
      <c r="C1" s="100" t="str">
        <f>'material inventory'!V2</f>
        <v>Primary energy consumption</v>
      </c>
      <c r="D1" s="100" t="str">
        <f>'material inventory'!W2</f>
        <v>agricultural land occupation</v>
      </c>
      <c r="E1" s="100" t="str">
        <f>'material inventory'!X2</f>
        <v>climate change</v>
      </c>
      <c r="F1" s="100" t="str">
        <f>'material inventory'!Y2</f>
        <v>fossil depletion</v>
      </c>
      <c r="G1" s="100" t="str">
        <f>'material inventory'!Z2</f>
        <v>freshwater ecotoxicity</v>
      </c>
      <c r="H1" s="100" t="str">
        <f>'material inventory'!AA2</f>
        <v>freshwater eutrophication</v>
      </c>
      <c r="I1" s="100" t="str">
        <f>'material inventory'!AB2</f>
        <v>human toxicity</v>
      </c>
      <c r="J1" s="100" t="str">
        <f>'material inventory'!AC2</f>
        <v>ionising radiation</v>
      </c>
      <c r="K1" s="100" t="str">
        <f>'material inventory'!AD2</f>
        <v>marine ecotoxicity</v>
      </c>
      <c r="L1" s="100" t="str">
        <f>'material inventory'!AE2</f>
        <v>marine eutrophication</v>
      </c>
      <c r="M1" s="100" t="str">
        <f>'material inventory'!AF2</f>
        <v>metal depletion</v>
      </c>
      <c r="N1" s="100" t="str">
        <f>'material inventory'!AG2</f>
        <v>natural land transformation</v>
      </c>
      <c r="O1" s="100" t="str">
        <f>'material inventory'!AH2</f>
        <v>ozone depletion</v>
      </c>
      <c r="P1" s="100" t="str">
        <f>'material inventory'!AI2</f>
        <v>particulate matter formation</v>
      </c>
      <c r="Q1" s="100" t="str">
        <f>'material inventory'!AJ2</f>
        <v>photochemical oxidant formation</v>
      </c>
      <c r="R1" s="100" t="str">
        <f>'material inventory'!AK2</f>
        <v>terrestrial acidification</v>
      </c>
      <c r="S1" s="100" t="str">
        <f>'material inventory'!AL2</f>
        <v>terrestrial ecotoxicity</v>
      </c>
      <c r="T1" s="100" t="str">
        <f>'material inventory'!AM2</f>
        <v>urban land occupation</v>
      </c>
      <c r="U1" s="100" t="str">
        <f>'material inventory'!AN2</f>
        <v>water depletion</v>
      </c>
      <c r="V1" s="100" t="str">
        <f>'material inventory'!AO2</f>
        <v>ecosystem quality</v>
      </c>
      <c r="W1" s="100" t="str">
        <f>'material inventory'!AP2</f>
        <v>human health</v>
      </c>
      <c r="X1" s="100" t="str">
        <f>'material inventory'!AQ2</f>
        <v>resources</v>
      </c>
    </row>
    <row r="2" spans="1:24">
      <c r="A2" s="76" t="str">
        <f>'material inventory'!S3</f>
        <v>FTO glass</v>
      </c>
      <c r="B2">
        <f>'material inventory'!U3</f>
        <v>3.4780676817599994</v>
      </c>
      <c r="C2">
        <f>'material inventory'!V3</f>
        <v>85.029036949120112</v>
      </c>
      <c r="D2">
        <f>'material inventory'!W3</f>
        <v>6.2012667171672007</v>
      </c>
      <c r="E2">
        <f>'material inventory'!X3</f>
        <v>3.5862291309599996</v>
      </c>
      <c r="F2">
        <f>'material inventory'!Y3</f>
        <v>0.83657114503199992</v>
      </c>
      <c r="G2">
        <f>'material inventory'!Z3</f>
        <v>9.6806916922641872E-2</v>
      </c>
      <c r="H2">
        <f>'material inventory'!AA3</f>
        <v>2.0273180159735998E-3</v>
      </c>
      <c r="I2">
        <f>'material inventory'!AB3</f>
        <v>124.88415725309692</v>
      </c>
      <c r="J2">
        <f>'material inventory'!AC3</f>
        <v>0.21998732374079996</v>
      </c>
      <c r="K2">
        <f>'material inventory'!AD3</f>
        <v>88.426822169151336</v>
      </c>
      <c r="L2">
        <f>'material inventory'!AE3</f>
        <v>1.0613301240527999E-2</v>
      </c>
      <c r="M2">
        <f>'material inventory'!AF3</f>
        <v>37.727846160631195</v>
      </c>
      <c r="N2">
        <f>'material inventory'!AG3</f>
        <v>2.6633363931215996E-3</v>
      </c>
      <c r="O2">
        <f>'material inventory'!AH3</f>
        <v>2.2588717898879995E-7</v>
      </c>
      <c r="P2">
        <f>'material inventory'!AI3</f>
        <v>3.1256384650847999E-2</v>
      </c>
      <c r="Q2">
        <f>'material inventory'!AJ3</f>
        <v>4.8130512783804966E-2</v>
      </c>
      <c r="R2">
        <f>'material inventory'!AK3</f>
        <v>6.2621029628639996E-2</v>
      </c>
      <c r="S2">
        <f>'material inventory'!AL3</f>
        <v>7.4279348593848408E-3</v>
      </c>
      <c r="T2">
        <f>'material inventory'!AM3</f>
        <v>0.14772324234023998</v>
      </c>
      <c r="U2">
        <f>'material inventory'!AN3</f>
        <v>7.7349191552639985E-3</v>
      </c>
      <c r="V2">
        <f>'material inventory'!AO3</f>
        <v>0.50998414695703564</v>
      </c>
      <c r="W2">
        <f>'material inventory'!AP3</f>
        <v>1.0265223189718116</v>
      </c>
      <c r="X2">
        <f>'material inventory'!AQ3</f>
        <v>1.8519365587967997</v>
      </c>
    </row>
    <row r="3" spans="1:24">
      <c r="A3" s="76" t="str">
        <f>'material inventory'!S4</f>
        <v>Ethanol</v>
      </c>
      <c r="B3">
        <f>'material inventory'!U4</f>
        <v>7.2422429236363647E-2</v>
      </c>
      <c r="C3">
        <f>'material inventory'!V4</f>
        <v>2.1516887421196365</v>
      </c>
      <c r="D3">
        <f>'material inventory'!W4</f>
        <v>5.7716474400000002E-2</v>
      </c>
      <c r="E3">
        <f>'material inventory'!X4</f>
        <v>6.3061742290909092E-2</v>
      </c>
      <c r="F3">
        <f>'material inventory'!Y4</f>
        <v>1.7738734614545455E-2</v>
      </c>
      <c r="G3">
        <f>'material inventory'!Z4</f>
        <v>1.7658529723636363E-3</v>
      </c>
      <c r="H3">
        <f>'material inventory'!AA4</f>
        <v>2.9377240461818185E-5</v>
      </c>
      <c r="I3">
        <f>'material inventory'!AB4</f>
        <v>0.86507442981818194</v>
      </c>
      <c r="J3">
        <f>'material inventory'!AC4</f>
        <v>4.5045136538181827E-3</v>
      </c>
      <c r="K3">
        <f>'material inventory'!AD4</f>
        <v>0.69504006109090921</v>
      </c>
      <c r="L3">
        <f>'material inventory'!AE4</f>
        <v>3.229514613818182E-4</v>
      </c>
      <c r="M3">
        <f>'material inventory'!AF4</f>
        <v>2.8181411410909095E-3</v>
      </c>
      <c r="N3">
        <f>'material inventory'!AG4</f>
        <v>5.4373741527272727E-5</v>
      </c>
      <c r="O3">
        <f>'material inventory'!AH4</f>
        <v>4.6040194636363642E-9</v>
      </c>
      <c r="P3">
        <f>'material inventory'!AI4</f>
        <v>2.026699975636364E-4</v>
      </c>
      <c r="Q3">
        <f>'material inventory'!AJ4</f>
        <v>2.1271889421818182E-4</v>
      </c>
      <c r="R3">
        <f>'material inventory'!AK4</f>
        <v>6.6570059454545462E-4</v>
      </c>
      <c r="S3">
        <f>'material inventory'!AL4</f>
        <v>4.2503417672727281E-4</v>
      </c>
      <c r="T3">
        <f>'material inventory'!AM4</f>
        <v>3.0932697894545456E-3</v>
      </c>
      <c r="U3">
        <f>'material inventory'!AN4</f>
        <v>1.9336623021818183E-2</v>
      </c>
      <c r="V3">
        <f>'material inventory'!AO4</f>
        <v>1.7668361290909092E-2</v>
      </c>
      <c r="W3">
        <f>'material inventory'!AP4</f>
        <v>8.5312131381818177E-3</v>
      </c>
      <c r="X3">
        <f>'material inventory'!AQ4</f>
        <v>2.2577418065454547E-3</v>
      </c>
    </row>
    <row r="4" spans="1:24">
      <c r="A4" s="76" t="str">
        <f>'material inventory'!S5</f>
        <v>Acetone</v>
      </c>
      <c r="B4">
        <f>'material inventory'!U5</f>
        <v>0.34079009999999993</v>
      </c>
      <c r="C4">
        <f>'material inventory'!V5</f>
        <v>9.9018946488503996</v>
      </c>
      <c r="D4">
        <f>'material inventory'!W5</f>
        <v>5.6080499999999999E-5</v>
      </c>
      <c r="E4">
        <f>'material inventory'!X5</f>
        <v>0.28373939999999997</v>
      </c>
      <c r="F4">
        <f>'material inventory'!Y5</f>
        <v>0.2269533</v>
      </c>
      <c r="G4">
        <f>'material inventory'!Z5</f>
        <v>2.3971289999999996E-3</v>
      </c>
      <c r="H4">
        <f>'material inventory'!AA5</f>
        <v>2.2865850000000001E-5</v>
      </c>
      <c r="I4">
        <f>'material inventory'!AB5</f>
        <v>0.15627569999999999</v>
      </c>
      <c r="J4">
        <f>'material inventory'!AC5</f>
        <v>4.5440640000000003E-5</v>
      </c>
      <c r="K4">
        <f>'material inventory'!AD5</f>
        <v>0.30793560000000003</v>
      </c>
      <c r="L4">
        <f>'material inventory'!AE5</f>
        <v>2.6558490000000001E-4</v>
      </c>
      <c r="M4">
        <f>'material inventory'!AF5</f>
        <v>1.8285329999999999E-4</v>
      </c>
      <c r="N4">
        <f>'material inventory'!AG5</f>
        <v>-2.7587490000000001E-8</v>
      </c>
      <c r="O4">
        <f>'material inventory'!AH5</f>
        <v>1.4048349E-10</v>
      </c>
      <c r="P4">
        <f>'material inventory'!AI5</f>
        <v>4.1117369999999994E-4</v>
      </c>
      <c r="Q4">
        <f>'material inventory'!AJ5</f>
        <v>1.3320110999999999E-3</v>
      </c>
      <c r="R4">
        <f>'material inventory'!AK5</f>
        <v>1.494696E-3</v>
      </c>
      <c r="S4">
        <f>'material inventory'!AL5</f>
        <v>2.6371799999999997E-5</v>
      </c>
      <c r="T4">
        <f>'material inventory'!AM5</f>
        <v>2.4241769999999997E-5</v>
      </c>
      <c r="U4">
        <f>'material inventory'!AN5</f>
        <v>2.0306579999999998E-5</v>
      </c>
      <c r="V4">
        <f>'material inventory'!AO5</f>
        <v>7.8511229999999998E-3</v>
      </c>
      <c r="W4">
        <f>'material inventory'!AP5</f>
        <v>1.2213201E-2</v>
      </c>
      <c r="X4">
        <f>'material inventory'!AQ5</f>
        <v>2.7224399999999999E-2</v>
      </c>
    </row>
    <row r="5" spans="1:24">
      <c r="A5" s="76" t="str">
        <f>'material inventory'!S6</f>
        <v>Deionized water</v>
      </c>
      <c r="B5">
        <f>'material inventory'!U6</f>
        <v>5.6916582000000001E-5</v>
      </c>
      <c r="C5">
        <f>'material inventory'!V6</f>
        <v>7.8310930304560005E-4</v>
      </c>
      <c r="D5">
        <f>'material inventory'!W6</f>
        <v>2.6201811600000002E-6</v>
      </c>
      <c r="E5">
        <f>'material inventory'!X6</f>
        <v>5.2353980000000006E-5</v>
      </c>
      <c r="F5">
        <f>'material inventory'!Y6</f>
        <v>1.50591994E-5</v>
      </c>
      <c r="G5">
        <f>'material inventory'!Z6</f>
        <v>7.8478714000000003E-7</v>
      </c>
      <c r="H5">
        <f>'material inventory'!AA6</f>
        <v>2.7811623000000003E-8</v>
      </c>
      <c r="I5">
        <f>'material inventory'!AB6</f>
        <v>1.04061292E-3</v>
      </c>
      <c r="J5">
        <f>'material inventory'!AC6</f>
        <v>5.6795740000000004E-6</v>
      </c>
      <c r="K5">
        <f>'material inventory'!AD6</f>
        <v>8.9367557999999998E-4</v>
      </c>
      <c r="L5">
        <f>'material inventory'!AE6</f>
        <v>5.6067422000000004E-8</v>
      </c>
      <c r="M5">
        <f>'material inventory'!AF6</f>
        <v>3.7415296000000003E-6</v>
      </c>
      <c r="N5">
        <f>'material inventory'!AG6</f>
        <v>7.2221057999999999E-9</v>
      </c>
      <c r="O5">
        <f>'material inventory'!AH6</f>
        <v>2.3853884200000003E-11</v>
      </c>
      <c r="P5">
        <f>'material inventory'!AI6</f>
        <v>1.8625998000000001E-7</v>
      </c>
      <c r="Q5">
        <f>'material inventory'!AJ6</f>
        <v>1.60177704E-7</v>
      </c>
      <c r="R5">
        <f>'material inventory'!AK6</f>
        <v>2.8821796800000001E-7</v>
      </c>
      <c r="S5">
        <f>'material inventory'!AL6</f>
        <v>4.6543766000000001E-8</v>
      </c>
      <c r="T5">
        <f>'material inventory'!AM6</f>
        <v>4.9845692000000008E-7</v>
      </c>
      <c r="U5">
        <f>'material inventory'!AN6</f>
        <v>4.2774802000000001E-5</v>
      </c>
      <c r="V5">
        <f>'material inventory'!AO6</f>
        <v>2.45299462E-6</v>
      </c>
      <c r="W5">
        <f>'material inventory'!AP6</f>
        <v>9.3691742000000004E-6</v>
      </c>
      <c r="X5">
        <f>'material inventory'!AQ6</f>
        <v>1.9793919600000001E-6</v>
      </c>
    </row>
    <row r="6" spans="1:24">
      <c r="A6" s="76" t="s">
        <v>170</v>
      </c>
      <c r="B6">
        <f>'material inventory'!U7</f>
        <v>1.1382696060619051E-2</v>
      </c>
      <c r="C6">
        <f>'material inventory'!V7</f>
        <v>0.3085047812739285</v>
      </c>
      <c r="D6">
        <f>'material inventory'!W7</f>
        <v>6.4659971672406452E-3</v>
      </c>
      <c r="E6">
        <f>'material inventory'!X7</f>
        <v>9.847908777175644E-3</v>
      </c>
      <c r="F6">
        <f>'material inventory'!Y7</f>
        <v>3.5372467665277011E-3</v>
      </c>
      <c r="G6">
        <f>'material inventory'!Z7</f>
        <v>2.286462224969719E-4</v>
      </c>
      <c r="H6">
        <f>'material inventory'!AA7</f>
        <v>4.2458919071740499E-6</v>
      </c>
      <c r="I6">
        <f>'material inventory'!AB7</f>
        <v>0.13888320199636855</v>
      </c>
      <c r="J6">
        <f>'material inventory'!AC7</f>
        <v>6.8913265818492135E-4</v>
      </c>
      <c r="K6">
        <f>'material inventory'!AD7</f>
        <v>0.11438640040011092</v>
      </c>
      <c r="L6">
        <f>'material inventory'!AE7</f>
        <v>3.815925397520847E-5</v>
      </c>
      <c r="M6">
        <f>'material inventory'!AF7</f>
        <v>4.3230118451272862E-4</v>
      </c>
      <c r="N6">
        <f>'material inventory'!AG7</f>
        <v>6.695025931674248E-6</v>
      </c>
      <c r="O6">
        <f>'material inventory'!AH7</f>
        <v>8.996424588865815E-10</v>
      </c>
      <c r="P6">
        <f>'material inventory'!AI7</f>
        <v>2.8660195819120308E-5</v>
      </c>
      <c r="Q6">
        <f>'material inventory'!AJ7</f>
        <v>3.6299825743541536E-5</v>
      </c>
      <c r="R6">
        <f>'material inventory'!AK7</f>
        <v>8.8683553174177246E-5</v>
      </c>
      <c r="S6">
        <f>'material inventory'!AL7</f>
        <v>4.848021868620716E-5</v>
      </c>
      <c r="T6">
        <f>'material inventory'!AM7</f>
        <v>3.7022002610745261E-4</v>
      </c>
      <c r="U6">
        <f>'material inventory'!AN7</f>
        <v>2.1409541679039204E-3</v>
      </c>
      <c r="V6">
        <f>'material inventory'!AO7</f>
        <v>2.0611854805588138E-3</v>
      </c>
      <c r="W6">
        <f>'material inventory'!AP7</f>
        <v>1.3517494462587471E-3</v>
      </c>
      <c r="X6">
        <f>'material inventory'!AQ7</f>
        <v>4.4873785176380608E-4</v>
      </c>
    </row>
    <row r="7" spans="1:24">
      <c r="A7" s="76" t="s">
        <v>171</v>
      </c>
      <c r="B7">
        <f>'material inventory'!U8</f>
        <v>9.6978672000000016E-3</v>
      </c>
      <c r="C7">
        <f>'material inventory'!V8</f>
        <v>0.10402164186408001</v>
      </c>
      <c r="D7">
        <f>'material inventory'!W8</f>
        <v>4.1540856000000002E-4</v>
      </c>
      <c r="E7">
        <f>'material inventory'!X8</f>
        <v>8.3796864000000009E-3</v>
      </c>
      <c r="F7">
        <f>'material inventory'!Y8</f>
        <v>2.0655936000000003E-3</v>
      </c>
      <c r="G7">
        <f>'material inventory'!Z8</f>
        <v>1.4870424000000001E-4</v>
      </c>
      <c r="H7">
        <f>'material inventory'!AA8</f>
        <v>3.8491872000000005E-6</v>
      </c>
      <c r="I7">
        <f>'material inventory'!AB8</f>
        <v>0.13696176000000002</v>
      </c>
      <c r="J7">
        <f>'material inventory'!AC8</f>
        <v>5.2262496000000003E-4</v>
      </c>
      <c r="K7">
        <f>'material inventory'!AD8</f>
        <v>0.17162520000000003</v>
      </c>
      <c r="L7">
        <f>'material inventory'!AE8</f>
        <v>8.9280072000000023E-6</v>
      </c>
      <c r="M7">
        <f>'material inventory'!AF8</f>
        <v>2.596656E-4</v>
      </c>
      <c r="N7">
        <f>'material inventory'!AG8</f>
        <v>1.9412880000000005E-6</v>
      </c>
      <c r="O7">
        <f>'material inventory'!AH8</f>
        <v>8.5879152000000004E-10</v>
      </c>
      <c r="P7">
        <f>'material inventory'!AI8</f>
        <v>2.2305072000000001E-5</v>
      </c>
      <c r="Q7">
        <f>'material inventory'!AJ8</f>
        <v>3.2832696000000004E-5</v>
      </c>
      <c r="R7">
        <f>'material inventory'!AK8</f>
        <v>4.6313424000000002E-5</v>
      </c>
      <c r="S7">
        <f>'material inventory'!AL8</f>
        <v>4.8840144000000007E-6</v>
      </c>
      <c r="T7">
        <f>'material inventory'!AM8</f>
        <v>1.2735120000000001E-4</v>
      </c>
      <c r="U7">
        <f>'material inventory'!AN8</f>
        <v>8.9134560000000016E-5</v>
      </c>
      <c r="V7">
        <f>'material inventory'!AO8</f>
        <v>3.7027728000000004E-4</v>
      </c>
      <c r="W7">
        <f>'material inventory'!AP8</f>
        <v>1.2686616000000001E-3</v>
      </c>
      <c r="X7">
        <f>'material inventory'!AQ8</f>
        <v>2.8458312000000004E-4</v>
      </c>
    </row>
    <row r="8" spans="1:24">
      <c r="A8" s="76" t="s">
        <v>33</v>
      </c>
      <c r="B8">
        <f>'material inventory'!U9</f>
        <v>3.3631633504582502E-2</v>
      </c>
      <c r="C8">
        <f>'material inventory'!V9</f>
        <v>0.59575957692753112</v>
      </c>
      <c r="D8">
        <f>'material inventory'!W9</f>
        <v>5.6387447604872346E-4</v>
      </c>
      <c r="E8">
        <f>'material inventory'!X9</f>
        <v>3.1589668427603773E-2</v>
      </c>
      <c r="F8">
        <f>'material inventory'!Y9</f>
        <v>1.3821464607040314E-2</v>
      </c>
      <c r="G8">
        <f>'material inventory'!Z9</f>
        <v>1.464800482910944E-4</v>
      </c>
      <c r="H8">
        <f>'material inventory'!AA9</f>
        <v>1.1137633184505961E-6</v>
      </c>
      <c r="I8">
        <f>'material inventory'!AB9</f>
        <v>0.26343220557228497</v>
      </c>
      <c r="J8">
        <f>'material inventory'!AC9</f>
        <v>2.5716946921447247E-4</v>
      </c>
      <c r="K8">
        <f>'material inventory'!AD9</f>
        <v>9.0528572112287153E-2</v>
      </c>
      <c r="L8">
        <f>'material inventory'!AE9</f>
        <v>3.113314116778625E-5</v>
      </c>
      <c r="M8">
        <f>'material inventory'!AF9</f>
        <v>1.7776624286418484E-4</v>
      </c>
      <c r="N8">
        <f>'material inventory'!AG9</f>
        <v>5.5549697784310894E-6</v>
      </c>
      <c r="O8">
        <f>'material inventory'!AH9</f>
        <v>6.0875065453879367E-8</v>
      </c>
      <c r="P8">
        <f>'material inventory'!AI9</f>
        <v>3.6908575770190104E-5</v>
      </c>
      <c r="Q8">
        <f>'material inventory'!AJ9</f>
        <v>1.1613059294227961E-4</v>
      </c>
      <c r="R8">
        <f>'material inventory'!AK9</f>
        <v>1.4012570930551014E-4</v>
      </c>
      <c r="S8">
        <f>'material inventory'!AL9</f>
        <v>6.2562784204062656E-6</v>
      </c>
      <c r="T8">
        <f>'material inventory'!AM9</f>
        <v>4.3949163015735211E-5</v>
      </c>
      <c r="U8">
        <f>'material inventory'!AN9</f>
        <v>1.604594466428518E-4</v>
      </c>
      <c r="V8">
        <f>'material inventory'!AO9</f>
        <v>1.0602221287466741E-3</v>
      </c>
      <c r="W8">
        <f>'material inventory'!AP9</f>
        <v>2.9756719589123471E-3</v>
      </c>
      <c r="X8">
        <f>'material inventory'!AQ9</f>
        <v>1.6656010551875258E-3</v>
      </c>
    </row>
    <row r="9" spans="1:24">
      <c r="A9" s="76" t="s">
        <v>172</v>
      </c>
      <c r="B9">
        <f>'material inventory'!U10</f>
        <v>5.2897034213452822E-3</v>
      </c>
      <c r="C9">
        <f>'material inventory'!V10</f>
        <v>6.2900780904729572E-2</v>
      </c>
      <c r="D9">
        <f>'material inventory'!W10</f>
        <v>1.2132832661672483E-3</v>
      </c>
      <c r="E9">
        <f>'material inventory'!X10</f>
        <v>4.5175788317724369E-3</v>
      </c>
      <c r="F9">
        <f>'material inventory'!Y10</f>
        <v>1.1990875763555646E-3</v>
      </c>
      <c r="G9">
        <f>'material inventory'!Z10</f>
        <v>8.2591959949552095E-5</v>
      </c>
      <c r="H9">
        <f>'material inventory'!AA10</f>
        <v>2.2930004829503093E-6</v>
      </c>
      <c r="I9">
        <f>'material inventory'!AB10</f>
        <v>0.18072312525739298</v>
      </c>
      <c r="J9">
        <f>'material inventory'!AC10</f>
        <v>2.2205988344161864E-4</v>
      </c>
      <c r="K9">
        <f>'material inventory'!AD10</f>
        <v>9.0634119223565179E-2</v>
      </c>
      <c r="L9">
        <f>'material inventory'!AE10</f>
        <v>5.978527690072212E-6</v>
      </c>
      <c r="M9">
        <f>'material inventory'!AF10</f>
        <v>7.3270123534169187E-4</v>
      </c>
      <c r="N9">
        <f>'material inventory'!AG10</f>
        <v>7.6852225114409837E-7</v>
      </c>
      <c r="O9">
        <f>'material inventory'!AH10</f>
        <v>5.1719893372784982E-10</v>
      </c>
      <c r="P9">
        <f>'material inventory'!AI10</f>
        <v>1.2803362892700811E-5</v>
      </c>
      <c r="Q9">
        <f>'material inventory'!AJ10</f>
        <v>1.8021294718026529E-5</v>
      </c>
      <c r="R9">
        <f>'material inventory'!AK10</f>
        <v>3.6221204373361588E-5</v>
      </c>
      <c r="S9">
        <f>'material inventory'!AL10</f>
        <v>6.2313376527082455E-6</v>
      </c>
      <c r="T9">
        <f>'material inventory'!AM10</f>
        <v>4.6595175601690134E-5</v>
      </c>
      <c r="U9">
        <f>'material inventory'!AN10</f>
        <v>1.360606219327725E-5</v>
      </c>
      <c r="V9">
        <f>'material inventory'!AO10</f>
        <v>2.21577182826193E-4</v>
      </c>
      <c r="W9">
        <f>'material inventory'!AP10</f>
        <v>1.4145652079446229E-3</v>
      </c>
      <c r="X9">
        <f>'material inventory'!AQ10</f>
        <v>1.7779125947986531E-4</v>
      </c>
    </row>
    <row r="10" spans="1:24">
      <c r="A10" s="76" t="s">
        <v>34</v>
      </c>
      <c r="B10">
        <f>'material inventory'!U11</f>
        <v>0.17984551647235406</v>
      </c>
      <c r="C10">
        <f>'material inventory'!V11</f>
        <v>3.1681347872173444</v>
      </c>
      <c r="D10">
        <f>'material inventory'!W11</f>
        <v>1.5821193963480081E-3</v>
      </c>
      <c r="E10">
        <f>'material inventory'!X11</f>
        <v>0.16971478548508595</v>
      </c>
      <c r="F10">
        <f>'material inventory'!Y11</f>
        <v>7.4775507137820135E-2</v>
      </c>
      <c r="G10">
        <f>'material inventory'!Z11</f>
        <v>7.4393697974341644E-4</v>
      </c>
      <c r="H10">
        <f>'material inventory'!AA11</f>
        <v>4.9286088333147887E-6</v>
      </c>
      <c r="I10">
        <f>'material inventory'!AB11</f>
        <v>1.4151077688153493</v>
      </c>
      <c r="J10">
        <f>'material inventory'!AC11</f>
        <v>1.1549143564343188E-3</v>
      </c>
      <c r="K10">
        <f>'material inventory'!AD11</f>
        <v>0.47660233714553057</v>
      </c>
      <c r="L10">
        <f>'material inventory'!AE11</f>
        <v>1.5592072781264957E-4</v>
      </c>
      <c r="M10">
        <f>'material inventory'!AF11</f>
        <v>8.0510072689392006E-4</v>
      </c>
      <c r="N10">
        <f>'material inventory'!AG11</f>
        <v>2.7971146500586121E-5</v>
      </c>
      <c r="O10">
        <f>'material inventory'!AH11</f>
        <v>1.5124687526789461E-8</v>
      </c>
      <c r="P10">
        <f>'material inventory'!AI11</f>
        <v>1.9137274213464241E-4</v>
      </c>
      <c r="Q10">
        <f>'material inventory'!AJ11</f>
        <v>5.1004988032500435E-4</v>
      </c>
      <c r="R10">
        <f>'material inventory'!AK11</f>
        <v>7.362010271383337E-4</v>
      </c>
      <c r="S10">
        <f>'material inventory'!AL11</f>
        <v>1.6267354505453908E-5</v>
      </c>
      <c r="T10">
        <f>'material inventory'!AM11</f>
        <v>1.0836499607299718E-4</v>
      </c>
      <c r="U10">
        <f>'material inventory'!AN11</f>
        <v>2.4443742736365222E-5</v>
      </c>
      <c r="V10">
        <f>'material inventory'!AO11</f>
        <v>5.0344121964776877E-3</v>
      </c>
      <c r="W10">
        <f>'material inventory'!AP11</f>
        <v>1.5957795468447729E-2</v>
      </c>
      <c r="X10">
        <f>'material inventory'!AQ11</f>
        <v>9.0038028774079119E-3</v>
      </c>
    </row>
    <row r="11" spans="1:24">
      <c r="A11" s="76" t="s">
        <v>173</v>
      </c>
      <c r="B11">
        <f>'material inventory'!U12</f>
        <v>6.2686334877505199E-4</v>
      </c>
      <c r="C11">
        <f>'material inventory'!V12</f>
        <v>8.2194376428353123E-3</v>
      </c>
      <c r="D11">
        <f>'material inventory'!W12</f>
        <v>1.8584565526225488E-4</v>
      </c>
      <c r="E11">
        <f>'material inventory'!X12</f>
        <v>5.7584902936782482E-4</v>
      </c>
      <c r="F11">
        <f>'material inventory'!Y12</f>
        <v>1.4904060308252689E-4</v>
      </c>
      <c r="G11">
        <f>'material inventory'!Z12</f>
        <v>1.4192249596093392E-5</v>
      </c>
      <c r="H11">
        <f>'material inventory'!AA12</f>
        <v>4.243994866092248E-7</v>
      </c>
      <c r="I11">
        <f>'material inventory'!AB12</f>
        <v>3.8291047162467236E-2</v>
      </c>
      <c r="J11">
        <f>'material inventory'!AC12</f>
        <v>3.3159087777270369E-5</v>
      </c>
      <c r="K11">
        <f>'material inventory'!AD12</f>
        <v>1.6474662446082648E-2</v>
      </c>
      <c r="L11">
        <f>'material inventory'!AE12</f>
        <v>1.1632387503701351E-6</v>
      </c>
      <c r="M11">
        <f>'material inventory'!AF12</f>
        <v>1.8131192726115721E-4</v>
      </c>
      <c r="N11">
        <f>'material inventory'!AG12</f>
        <v>9.3944831058395518E-8</v>
      </c>
      <c r="O11">
        <f>'material inventory'!AH12</f>
        <v>5.7098464616724307E-11</v>
      </c>
      <c r="P11">
        <f>'material inventory'!AI12</f>
        <v>3.1677316156115665E-6</v>
      </c>
      <c r="Q11">
        <f>'material inventory'!AJ12</f>
        <v>7.9711996670577615E-6</v>
      </c>
      <c r="R11">
        <f>'material inventory'!AK12</f>
        <v>9.7012684642819558E-6</v>
      </c>
      <c r="S11">
        <f>'material inventory'!AL12</f>
        <v>8.2721280498263134E-7</v>
      </c>
      <c r="T11">
        <f>'material inventory'!AM12</f>
        <v>7.0913308950200087E-6</v>
      </c>
      <c r="U11">
        <f>'material inventory'!AN12</f>
        <v>3.0331707171541498E-6</v>
      </c>
      <c r="V11">
        <f>'material inventory'!AO12</f>
        <v>3.1774220769020189E-5</v>
      </c>
      <c r="W11">
        <f>'material inventory'!AP12</f>
        <v>2.883115370503421E-4</v>
      </c>
      <c r="X11">
        <f>'material inventory'!AQ12</f>
        <v>2.6288503886082944E-5</v>
      </c>
    </row>
    <row r="12" spans="1:24">
      <c r="A12" s="76" t="s">
        <v>36</v>
      </c>
      <c r="B12">
        <f>'material inventory'!U13</f>
        <v>4.7032591399933429E-3</v>
      </c>
      <c r="C12">
        <f>'material inventory'!V13</f>
        <v>0.12792526254726047</v>
      </c>
      <c r="D12">
        <f>'material inventory'!W13</f>
        <v>1.9142126620027428E-4</v>
      </c>
      <c r="E12">
        <f>'material inventory'!X13</f>
        <v>4.2571300575823985E-3</v>
      </c>
      <c r="F12">
        <f>'material inventory'!Y13</f>
        <v>2.8626890089117878E-3</v>
      </c>
      <c r="G12">
        <f>'material inventory'!Z13</f>
        <v>5.9901952439709709E-5</v>
      </c>
      <c r="H12">
        <f>'material inventory'!AA13</f>
        <v>1.6159439737069958E-6</v>
      </c>
      <c r="I12">
        <f>'material inventory'!AB13</f>
        <v>9.7577997277067244E-2</v>
      </c>
      <c r="J12">
        <f>'material inventory'!AC13</f>
        <v>4.2134048048479434E-4</v>
      </c>
      <c r="K12">
        <f>'material inventory'!AD13</f>
        <v>6.3390109819503451E-2</v>
      </c>
      <c r="L12">
        <f>'material inventory'!AE13</f>
        <v>2.054264975272501E-5</v>
      </c>
      <c r="M12">
        <f>'material inventory'!AF13</f>
        <v>2.7412117090217035E-4</v>
      </c>
      <c r="N12">
        <f>'material inventory'!AG13</f>
        <v>1.7975024009446109E-6</v>
      </c>
      <c r="O12">
        <f>'material inventory'!AH13</f>
        <v>8.5551908968598325E-10</v>
      </c>
      <c r="P12">
        <f>'material inventory'!AI13</f>
        <v>1.1864830891429453E-5</v>
      </c>
      <c r="Q12">
        <f>'material inventory'!AJ13</f>
        <v>1.4392018994961456E-5</v>
      </c>
      <c r="R12">
        <f>'material inventory'!AK13</f>
        <v>3.022960142054997E-5</v>
      </c>
      <c r="S12">
        <f>'material inventory'!AL13</f>
        <v>3.022960142054997E-5</v>
      </c>
      <c r="T12">
        <f>'material inventory'!AM13</f>
        <v>3.6329767318954588E-5</v>
      </c>
      <c r="U12">
        <f>'material inventory'!AN13</f>
        <v>1.2715336371309417E-5</v>
      </c>
      <c r="V12">
        <f>'material inventory'!AO13</f>
        <v>1.8941582227786693E-4</v>
      </c>
      <c r="W12">
        <f>'material inventory'!AP13</f>
        <v>8.4121797319012767E-4</v>
      </c>
      <c r="X12">
        <f>'material inventory'!AQ13</f>
        <v>3.5594985816236494E-4</v>
      </c>
    </row>
    <row r="13" spans="1:24">
      <c r="A13" s="76" t="s">
        <v>37</v>
      </c>
      <c r="B13">
        <f>'material inventory'!U14</f>
        <v>6.0796461783594257E-4</v>
      </c>
      <c r="C13">
        <f>'material inventory'!V14</f>
        <v>2.8054715315643849E-2</v>
      </c>
      <c r="D13">
        <f>'material inventory'!W14</f>
        <v>2.5934747745255836E-5</v>
      </c>
      <c r="E13">
        <f>'material inventory'!X14</f>
        <v>5.1793835117466553E-4</v>
      </c>
      <c r="F13">
        <f>'material inventory'!Y14</f>
        <v>6.2415019131015085E-4</v>
      </c>
      <c r="G13">
        <f>'material inventory'!Z14</f>
        <v>1.0889826224170739E-5</v>
      </c>
      <c r="H13">
        <f>'material inventory'!AA14</f>
        <v>2.422233322620942E-7</v>
      </c>
      <c r="I13">
        <f>'material inventory'!AB14</f>
        <v>1.6101772428114027E-2</v>
      </c>
      <c r="J13">
        <f>'material inventory'!AC14</f>
        <v>8.8690238554973945E-5</v>
      </c>
      <c r="K13">
        <f>'material inventory'!AD14</f>
        <v>9.4087025923445169E-3</v>
      </c>
      <c r="L13">
        <f>'material inventory'!AE14</f>
        <v>4.7620064158851191E-7</v>
      </c>
      <c r="M13">
        <f>'material inventory'!AF14</f>
        <v>5.2167348351486753E-5</v>
      </c>
      <c r="N13">
        <f>'material inventory'!AG14</f>
        <v>2.7207565919647719E-7</v>
      </c>
      <c r="O13">
        <f>'material inventory'!AH14</f>
        <v>1.5145003913277689E-10</v>
      </c>
      <c r="P13">
        <f>'material inventory'!AI14</f>
        <v>8.2393188519889954E-7</v>
      </c>
      <c r="Q13">
        <f>'material inventory'!AJ14</f>
        <v>1.8872953306671523E-6</v>
      </c>
      <c r="R13">
        <f>'material inventory'!AK14</f>
        <v>2.4609254627604694E-6</v>
      </c>
      <c r="S13">
        <f>'material inventory'!AL14</f>
        <v>4.665084520288085E-7</v>
      </c>
      <c r="T13">
        <f>'material inventory'!AM14</f>
        <v>4.585689014902767E-6</v>
      </c>
      <c r="U13">
        <f>'material inventory'!AN14</f>
        <v>1.8402230859181974E-6</v>
      </c>
      <c r="V13">
        <f>'material inventory'!AO14</f>
        <v>2.3810510942546137E-5</v>
      </c>
      <c r="W13">
        <f>'material inventory'!AP14</f>
        <v>1.2945585600643408E-4</v>
      </c>
      <c r="X13">
        <f>'material inventory'!AQ14</f>
        <v>7.7259775867715005E-5</v>
      </c>
    </row>
    <row r="14" spans="1:24">
      <c r="A14" s="76" t="s">
        <v>32</v>
      </c>
      <c r="B14">
        <f>'material inventory'!U15</f>
        <v>2.4153683486401473E-2</v>
      </c>
      <c r="C14">
        <f>'material inventory'!V15</f>
        <v>0.58474354758357783</v>
      </c>
      <c r="D14">
        <f>'material inventory'!W15</f>
        <v>8.5324095456480362E-4</v>
      </c>
      <c r="E14">
        <f>'material inventory'!X15</f>
        <v>2.054854492673875E-2</v>
      </c>
      <c r="F14">
        <f>'material inventory'!Y15</f>
        <v>1.29144405676513E-2</v>
      </c>
      <c r="G14">
        <f>'material inventory'!Z15</f>
        <v>7.516415951561269E-4</v>
      </c>
      <c r="H14">
        <f>'material inventory'!AA15</f>
        <v>9.8694392387460913E-6</v>
      </c>
      <c r="I14">
        <f>'material inventory'!AB15</f>
        <v>0.3754111227417381</v>
      </c>
      <c r="J14">
        <f>'material inventory'!AC15</f>
        <v>1.156027901776146E-3</v>
      </c>
      <c r="K14">
        <f>'material inventory'!AD15</f>
        <v>0.30572915739949685</v>
      </c>
      <c r="L14">
        <f>'material inventory'!AE15</f>
        <v>2.0342217781898546E-5</v>
      </c>
      <c r="M14">
        <f>'material inventory'!AF15</f>
        <v>9.8739084187787329E-4</v>
      </c>
      <c r="N14">
        <f>'material inventory'!AG15</f>
        <v>1.8908355854759965E-6</v>
      </c>
      <c r="O14">
        <f>'material inventory'!AH15</f>
        <v>5.2972446063540057E-9</v>
      </c>
      <c r="P14">
        <f>'material inventory'!AI15</f>
        <v>6.1580831669742964E-5</v>
      </c>
      <c r="Q14">
        <f>'material inventory'!AJ15</f>
        <v>1.634677083271862E-4</v>
      </c>
      <c r="R14">
        <f>'material inventory'!AK15</f>
        <v>1.1012804463763091E-4</v>
      </c>
      <c r="S14">
        <f>'material inventory'!AL15</f>
        <v>1.418443256025976E-5</v>
      </c>
      <c r="T14">
        <f>'material inventory'!AM15</f>
        <v>2.0129931730348161E-4</v>
      </c>
      <c r="U14">
        <f>'material inventory'!AN15</f>
        <v>6.3077262117338515E-5</v>
      </c>
      <c r="V14">
        <f>'material inventory'!AO15</f>
        <v>9.1849098304134385E-4</v>
      </c>
      <c r="W14">
        <f>'material inventory'!AP15</f>
        <v>3.4287549210412081E-3</v>
      </c>
      <c r="X14">
        <f>'material inventory'!AQ15</f>
        <v>1.594379976644227E-3</v>
      </c>
    </row>
    <row r="15" spans="1:24">
      <c r="A15" s="76" t="s">
        <v>31</v>
      </c>
      <c r="B15">
        <f>'material inventory'!U16</f>
        <v>5.8990736460538019E-2</v>
      </c>
      <c r="C15">
        <f>'material inventory'!V16</f>
        <v>0.95029313625411649</v>
      </c>
      <c r="D15">
        <f>'material inventory'!W16</f>
        <v>1.4446962941748775E-2</v>
      </c>
      <c r="E15">
        <f>'material inventory'!X16</f>
        <v>5.3325999148538021E-2</v>
      </c>
      <c r="F15">
        <f>'material inventory'!Y16</f>
        <v>1.7212551131883046E-2</v>
      </c>
      <c r="G15">
        <f>'material inventory'!Z16</f>
        <v>3.6022185908921645E-3</v>
      </c>
      <c r="H15">
        <f>'material inventory'!AA16</f>
        <v>6.2084451774708786E-5</v>
      </c>
      <c r="I15">
        <f>'material inventory'!AB16</f>
        <v>3.1780187373847961</v>
      </c>
      <c r="J15">
        <f>'material inventory'!AC16</f>
        <v>5.425748267789474E-3</v>
      </c>
      <c r="K15">
        <f>'material inventory'!AD16</f>
        <v>2.6876477184692407</v>
      </c>
      <c r="L15">
        <f>'material inventory'!AE16</f>
        <v>5.9703292241590662E-5</v>
      </c>
      <c r="M15">
        <f>'material inventory'!AF16</f>
        <v>2.4510734117239781E-3</v>
      </c>
      <c r="N15">
        <f>'material inventory'!AG16</f>
        <v>4.6520878572163748E-6</v>
      </c>
      <c r="O15">
        <f>'material inventory'!AH16</f>
        <v>5.0178615695532183E-9</v>
      </c>
      <c r="P15">
        <f>'material inventory'!AI16</f>
        <v>3.0097521944776604E-4</v>
      </c>
      <c r="Q15">
        <f>'material inventory'!AJ16</f>
        <v>2.1241601311438598E-4</v>
      </c>
      <c r="R15">
        <f>'material inventory'!AK16</f>
        <v>2.905501266732165E-4</v>
      </c>
      <c r="S15">
        <f>'material inventory'!AL16</f>
        <v>6.0226963830830417E-5</v>
      </c>
      <c r="T15">
        <f>'material inventory'!AM16</f>
        <v>7.8863945031672515E-4</v>
      </c>
      <c r="U15">
        <f>'material inventory'!AN16</f>
        <v>1.7518287687485383E-4</v>
      </c>
      <c r="V15">
        <f>'material inventory'!AO16</f>
        <v>3.0959598506853803E-3</v>
      </c>
      <c r="W15">
        <f>'material inventory'!AP16</f>
        <v>2.4260301199850298E-2</v>
      </c>
      <c r="X15">
        <f>'material inventory'!AQ16</f>
        <v>2.1777012333099419E-3</v>
      </c>
    </row>
    <row r="16" spans="1:24">
      <c r="A16" s="76" t="s">
        <v>152</v>
      </c>
      <c r="B16">
        <f>'material inventory'!U17</f>
        <v>2.5239247726899154E-3</v>
      </c>
      <c r="C16">
        <f>'material inventory'!V17</f>
        <v>3.9592547662353358E-2</v>
      </c>
      <c r="D16">
        <f>'material inventory'!W17</f>
        <v>2.0917297678665848E-4</v>
      </c>
      <c r="E16">
        <f>'material inventory'!X17</f>
        <v>2.1431002528685831E-3</v>
      </c>
      <c r="F16">
        <f>'material inventory'!Y17</f>
        <v>8.5061515927054888E-4</v>
      </c>
      <c r="G16">
        <f>'material inventory'!Z17</f>
        <v>1.2338627404517654E-4</v>
      </c>
      <c r="H16">
        <f>'material inventory'!AA17</f>
        <v>2.3512085643985703E-6</v>
      </c>
      <c r="I16">
        <f>'material inventory'!AB17</f>
        <v>0.1056762476850138</v>
      </c>
      <c r="J16">
        <f>'material inventory'!AC17</f>
        <v>1.1508554337850631E-4</v>
      </c>
      <c r="K16">
        <f>'material inventory'!AD17</f>
        <v>8.6880979753488755E-2</v>
      </c>
      <c r="L16">
        <f>'material inventory'!AE17</f>
        <v>2.572529896410387E-6</v>
      </c>
      <c r="M16">
        <f>'material inventory'!AF17</f>
        <v>7.6877019529887055E-5</v>
      </c>
      <c r="N16">
        <f>'material inventory'!AG17</f>
        <v>3.5956185249675795E-7</v>
      </c>
      <c r="O16">
        <f>'material inventory'!AH17</f>
        <v>3.0022406068942548E-10</v>
      </c>
      <c r="P16">
        <f>'material inventory'!AI17</f>
        <v>5.1335555556898712E-6</v>
      </c>
      <c r="Q16">
        <f>'material inventory'!AJ17</f>
        <v>7.5186324609781637E-6</v>
      </c>
      <c r="R16">
        <f>'material inventory'!AK17</f>
        <v>1.6150374937254973E-5</v>
      </c>
      <c r="S16">
        <f>'material inventory'!AL17</f>
        <v>1.9951201026088355E-6</v>
      </c>
      <c r="T16">
        <f>'material inventory'!AM17</f>
        <v>2.0271887285112048E-5</v>
      </c>
      <c r="U16">
        <f>'material inventory'!AN17</f>
        <v>5.1584117687559955E-6</v>
      </c>
      <c r="V16">
        <f>'material inventory'!AO17</f>
        <v>1.0040987876326827E-4</v>
      </c>
      <c r="W16">
        <f>'material inventory'!AP17</f>
        <v>8.0965559192170799E-4</v>
      </c>
      <c r="X16">
        <f>'material inventory'!AQ17</f>
        <v>1.0556492285287907E-4</v>
      </c>
    </row>
    <row r="17" spans="1:24">
      <c r="A17" s="76" t="s">
        <v>25</v>
      </c>
      <c r="B17">
        <f>'material inventory'!U18</f>
        <v>1.0719123332325344E-3</v>
      </c>
      <c r="C17">
        <f>'material inventory'!V18</f>
        <v>2.9014695842552819E-2</v>
      </c>
      <c r="D17">
        <f>'material inventory'!W18</f>
        <v>1.6157643119859841E-5</v>
      </c>
      <c r="E17">
        <f>'material inventory'!X18</f>
        <v>9.6623194582571344E-4</v>
      </c>
      <c r="F17">
        <f>'material inventory'!Y18</f>
        <v>6.6658521833009351E-4</v>
      </c>
      <c r="G17">
        <f>'material inventory'!Z18</f>
        <v>4.6097879578947376E-6</v>
      </c>
      <c r="H17">
        <f>'material inventory'!AA18</f>
        <v>1.1260663059937121E-7</v>
      </c>
      <c r="I17">
        <f>'material inventory'!AB18</f>
        <v>7.5345228962968303E-3</v>
      </c>
      <c r="J17">
        <f>'material inventory'!AC18</f>
        <v>2.320501674153647E-5</v>
      </c>
      <c r="K17">
        <f>'material inventory'!AD18</f>
        <v>5.8957148996376029E-3</v>
      </c>
      <c r="L17">
        <f>'material inventory'!AE18</f>
        <v>4.41823897127223E-6</v>
      </c>
      <c r="M17">
        <f>'material inventory'!AF18</f>
        <v>2.8322448927352582E-5</v>
      </c>
      <c r="N17">
        <f>'material inventory'!AG18</f>
        <v>1.0913562632874938E-7</v>
      </c>
      <c r="O17">
        <f>'material inventory'!AH18</f>
        <v>5.2356723010151925E-11</v>
      </c>
      <c r="P17">
        <f>'material inventory'!AI18</f>
        <v>1.6398852954865964E-6</v>
      </c>
      <c r="Q17">
        <f>'material inventory'!AJ18</f>
        <v>2.4772617913264698E-6</v>
      </c>
      <c r="R17">
        <f>'material inventory'!AK18</f>
        <v>6.9483146807209546E-6</v>
      </c>
      <c r="S17">
        <f>'material inventory'!AL18</f>
        <v>6.46773430138959E-7</v>
      </c>
      <c r="T17">
        <f>'material inventory'!AM18</f>
        <v>2.5823115647855619E-6</v>
      </c>
      <c r="U17">
        <f>'material inventory'!AN18</f>
        <v>2.4869049296104832E-6</v>
      </c>
      <c r="V17">
        <f>'material inventory'!AO18</f>
        <v>3.2211234938344495E-5</v>
      </c>
      <c r="W17">
        <f>'material inventory'!AP18</f>
        <v>8.8950724885208926E-5</v>
      </c>
      <c r="X17">
        <f>'material inventory'!AQ18</f>
        <v>8.1238841816113478E-5</v>
      </c>
    </row>
    <row r="18" spans="1:24">
      <c r="A18" s="76" t="s">
        <v>40</v>
      </c>
      <c r="B18">
        <f>'material inventory'!U19</f>
        <v>0</v>
      </c>
      <c r="C18">
        <f>'material inventory'!V19</f>
        <v>0</v>
      </c>
      <c r="D18">
        <f>'material inventory'!W19</f>
        <v>0</v>
      </c>
      <c r="E18">
        <f>'material inventory'!X19</f>
        <v>0</v>
      </c>
      <c r="F18">
        <f>'material inventory'!Y19</f>
        <v>0</v>
      </c>
      <c r="G18">
        <f>'material inventory'!Z19</f>
        <v>0</v>
      </c>
      <c r="H18">
        <f>'material inventory'!AA19</f>
        <v>0</v>
      </c>
      <c r="I18">
        <f>'material inventory'!AB19</f>
        <v>0</v>
      </c>
      <c r="J18">
        <f>'material inventory'!AC19</f>
        <v>0</v>
      </c>
      <c r="K18">
        <f>'material inventory'!AD19</f>
        <v>0</v>
      </c>
      <c r="L18">
        <f>'material inventory'!AE19</f>
        <v>0</v>
      </c>
      <c r="M18">
        <f>'material inventory'!AF19</f>
        <v>0</v>
      </c>
      <c r="N18">
        <f>'material inventory'!AG19</f>
        <v>0</v>
      </c>
      <c r="O18">
        <f>'material inventory'!AH19</f>
        <v>0</v>
      </c>
      <c r="P18">
        <f>'material inventory'!AI19</f>
        <v>0</v>
      </c>
      <c r="Q18">
        <f>'material inventory'!AJ19</f>
        <v>0</v>
      </c>
      <c r="R18">
        <f>'material inventory'!AK19</f>
        <v>0</v>
      </c>
      <c r="S18">
        <f>'material inventory'!AL19</f>
        <v>0</v>
      </c>
      <c r="T18">
        <f>'material inventory'!AM19</f>
        <v>0</v>
      </c>
      <c r="U18">
        <f>'material inventory'!AN19</f>
        <v>0</v>
      </c>
      <c r="V18">
        <f>'material inventory'!AO19</f>
        <v>0</v>
      </c>
      <c r="W18">
        <f>'material inventory'!AP19</f>
        <v>0</v>
      </c>
      <c r="X18">
        <f>'material inventory'!AQ19</f>
        <v>0</v>
      </c>
    </row>
    <row r="19" spans="1:24">
      <c r="A19" s="76" t="s">
        <v>38</v>
      </c>
      <c r="B19">
        <f>'material inventory'!U20</f>
        <v>1.9758472460220324E-3</v>
      </c>
      <c r="C19">
        <f>'material inventory'!V20</f>
        <v>3.2400038484210532E-2</v>
      </c>
      <c r="D19">
        <f>'material inventory'!W20</f>
        <v>1.0997166217870259E-4</v>
      </c>
      <c r="E19">
        <f>'material inventory'!X20</f>
        <v>1.8117130966952269E-3</v>
      </c>
      <c r="F19">
        <f>'material inventory'!Y20</f>
        <v>6.6473439412484717E-4</v>
      </c>
      <c r="G19">
        <f>'material inventory'!Z20</f>
        <v>2.5757121175030602E-5</v>
      </c>
      <c r="H19">
        <f>'material inventory'!AA20</f>
        <v>8.4886403916768693E-7</v>
      </c>
      <c r="I19">
        <f>'material inventory'!AB20</f>
        <v>3.8360342717258272E-2</v>
      </c>
      <c r="J19">
        <f>'material inventory'!AC20</f>
        <v>1.6032217380660958E-4</v>
      </c>
      <c r="K19">
        <f>'material inventory'!AD20</f>
        <v>3.0280166462668304E-2</v>
      </c>
      <c r="L19">
        <f>'material inventory'!AE20</f>
        <v>2.2264146878824974E-6</v>
      </c>
      <c r="M19">
        <f>'material inventory'!AF20</f>
        <v>1.2030801468788252E-4</v>
      </c>
      <c r="N19">
        <f>'material inventory'!AG20</f>
        <v>2.6637493268053864E-7</v>
      </c>
      <c r="O19">
        <f>'material inventory'!AH20</f>
        <v>5.0006560587515303E-10</v>
      </c>
      <c r="P19">
        <f>'material inventory'!AI20</f>
        <v>5.1211280293757666E-6</v>
      </c>
      <c r="Q19">
        <f>'material inventory'!AJ20</f>
        <v>5.6559451652386792E-6</v>
      </c>
      <c r="R19">
        <f>'material inventory'!AK20</f>
        <v>1.0020024479804162E-5</v>
      </c>
      <c r="S19">
        <f>'material inventory'!AL20</f>
        <v>1.8466428396572831E-6</v>
      </c>
      <c r="T19">
        <f>'material inventory'!AM20</f>
        <v>1.6181381640146883E-5</v>
      </c>
      <c r="U19">
        <f>'material inventory'!AN20</f>
        <v>5.8118815177478598E-6</v>
      </c>
      <c r="V19">
        <f>'material inventory'!AO20</f>
        <v>8.1819358629130987E-5</v>
      </c>
      <c r="W19">
        <f>'material inventory'!AP20</f>
        <v>3.3627006119951047E-4</v>
      </c>
      <c r="X19">
        <f>'material inventory'!AQ20</f>
        <v>8.5285600979192187E-5</v>
      </c>
    </row>
    <row r="20" spans="1:24">
      <c r="A20" s="76" t="s">
        <v>165</v>
      </c>
      <c r="B20">
        <f>'material inventory'!U21</f>
        <v>5.7836011520000005E-3</v>
      </c>
      <c r="C20">
        <f>'material inventory'!V21</f>
        <v>8.3168110626406416E-2</v>
      </c>
      <c r="D20">
        <f>'material inventory'!W21</f>
        <v>4.2295787520000005E-4</v>
      </c>
      <c r="E20">
        <f>'material inventory'!X21</f>
        <v>5.2787445759999996E-3</v>
      </c>
      <c r="F20">
        <f>'material inventory'!Y21</f>
        <v>1.5326904320000002E-3</v>
      </c>
      <c r="G20">
        <f>'material inventory'!Z21</f>
        <v>5.6912773120000003E-3</v>
      </c>
      <c r="H20">
        <f>'material inventory'!AA21</f>
        <v>1.6767385600000001E-4</v>
      </c>
      <c r="I20">
        <f>'material inventory'!AB21</f>
        <v>14.323384320000001</v>
      </c>
      <c r="J20">
        <f>'material inventory'!AC21</f>
        <v>5.3501952000000006E-4</v>
      </c>
      <c r="K20">
        <f>'material inventory'!AD21</f>
        <v>7.4892410880000009</v>
      </c>
      <c r="L20">
        <f>'material inventory'!AE21</f>
        <v>3.4456862720000002E-5</v>
      </c>
      <c r="M20">
        <f>'material inventory'!AF21</f>
        <v>5.4906880000000005E-2</v>
      </c>
      <c r="N20">
        <f>'material inventory'!AG21</f>
        <v>2.2827499520000001E-6</v>
      </c>
      <c r="O20">
        <f>'material inventory'!AH21</f>
        <v>3.4415575040000006E-10</v>
      </c>
      <c r="P20">
        <f>'material inventory'!AI21</f>
        <v>1.6676782080000003E-4</v>
      </c>
      <c r="Q20">
        <f>'material inventory'!AJ21</f>
        <v>1.0717478912000002E-4</v>
      </c>
      <c r="R20">
        <f>'material inventory'!AK21</f>
        <v>5.5892049919999999E-4</v>
      </c>
      <c r="S20">
        <f>'material inventory'!AL21</f>
        <v>7.0557204480000009E-4</v>
      </c>
      <c r="T20">
        <f>'material inventory'!AM21</f>
        <v>5.003952128E-4</v>
      </c>
      <c r="U20">
        <f>'material inventory'!AN21</f>
        <v>1.8531287040000002E-4</v>
      </c>
      <c r="V20">
        <f>'material inventory'!AO21</f>
        <v>2.6427555840000004E-3</v>
      </c>
      <c r="W20">
        <f>'material inventory'!AP21</f>
        <v>9.8409185280000006E-2</v>
      </c>
      <c r="X20">
        <f>'material inventory'!AQ21</f>
        <v>2.7324416000000002E-3</v>
      </c>
    </row>
    <row r="21" spans="1:24">
      <c r="A21" s="76" t="s">
        <v>166</v>
      </c>
      <c r="B21">
        <f>'material inventory'!U22</f>
        <v>0.23246925575757577</v>
      </c>
      <c r="C21">
        <f>'material inventory'!V22</f>
        <v>3.4927646546424245</v>
      </c>
      <c r="D21">
        <f>'material inventory'!W22</f>
        <v>1.2163203878787878E-2</v>
      </c>
      <c r="E21">
        <f>'material inventory'!X22</f>
        <v>0.21502281696969697</v>
      </c>
      <c r="F21">
        <f>'material inventory'!Y22</f>
        <v>6.1747591757575757E-2</v>
      </c>
      <c r="G21">
        <f>'material inventory'!Z22</f>
        <v>3.0562839272727268E-3</v>
      </c>
      <c r="H21">
        <f>'material inventory'!AA22</f>
        <v>1.2599148606060606E-4</v>
      </c>
      <c r="I21">
        <f>'material inventory'!AB22</f>
        <v>4.0471067151515152</v>
      </c>
      <c r="J21">
        <f>'material inventory'!AC22</f>
        <v>3.5819260121212122E-2</v>
      </c>
      <c r="K21">
        <f>'material inventory'!AD22</f>
        <v>3.488163296969697</v>
      </c>
      <c r="L21">
        <f>'material inventory'!AE22</f>
        <v>2.0981569939393938E-4</v>
      </c>
      <c r="M21">
        <f>'material inventory'!AF22</f>
        <v>2.8037992727272727E-3</v>
      </c>
      <c r="N21">
        <f>'material inventory'!AG22</f>
        <v>2.5558989575757575E-5</v>
      </c>
      <c r="O21">
        <f>'material inventory'!AH22</f>
        <v>1.2866424242424243E-8</v>
      </c>
      <c r="P21">
        <f>'material inventory'!AI22</f>
        <v>7.2064950303030303E-4</v>
      </c>
      <c r="Q21">
        <f>'material inventory'!AJ22</f>
        <v>5.7331921454545451E-4</v>
      </c>
      <c r="R21">
        <f>'material inventory'!AK22</f>
        <v>1.1354457212121212E-3</v>
      </c>
      <c r="S21">
        <f>'material inventory'!AL22</f>
        <v>7.7792779636363637E-5</v>
      </c>
      <c r="T21">
        <f>'material inventory'!AM22</f>
        <v>1.3830000484848484E-3</v>
      </c>
      <c r="U21">
        <f>'material inventory'!AN22</f>
        <v>9.1038060606060602E-4</v>
      </c>
      <c r="V21">
        <f>'material inventory'!AO22</f>
        <v>9.2024126060606063E-3</v>
      </c>
      <c r="W21">
        <f>'material inventory'!AP22</f>
        <v>3.6797540848484848E-2</v>
      </c>
      <c r="X21">
        <f>'material inventory'!AQ22</f>
        <v>7.534405042424243E-3</v>
      </c>
    </row>
    <row r="22" spans="1:24">
      <c r="A22" s="76" t="s">
        <v>167</v>
      </c>
      <c r="B22">
        <f>'material inventory'!U23</f>
        <v>1.0245566060606062E-4</v>
      </c>
      <c r="C22">
        <f>'material inventory'!V23</f>
        <v>1.3958710916654544E-3</v>
      </c>
      <c r="D22">
        <f>'material inventory'!W23</f>
        <v>4.0292018424242424E-6</v>
      </c>
      <c r="E22">
        <f>'material inventory'!X23</f>
        <v>9.4575786666666658E-5</v>
      </c>
      <c r="F22">
        <f>'material inventory'!Y23</f>
        <v>2.6769947151515151E-5</v>
      </c>
      <c r="G22">
        <f>'material inventory'!Z23</f>
        <v>1.2369931636363636E-6</v>
      </c>
      <c r="H22">
        <f>'material inventory'!AA23</f>
        <v>5.0247819636363637E-8</v>
      </c>
      <c r="I22">
        <f>'material inventory'!AB23</f>
        <v>1.6725919030303031E-3</v>
      </c>
      <c r="J22">
        <f>'material inventory'!AC23</f>
        <v>1.0400395636363637E-5</v>
      </c>
      <c r="K22">
        <f>'material inventory'!AD23</f>
        <v>1.430140896969697E-3</v>
      </c>
      <c r="L22">
        <f>'material inventory'!AE23</f>
        <v>9.3485924848484851E-8</v>
      </c>
      <c r="M22">
        <f>'material inventory'!AF23</f>
        <v>1.0461808484848485E-6</v>
      </c>
      <c r="N22">
        <f>'material inventory'!AG23</f>
        <v>1.1111400727272729E-8</v>
      </c>
      <c r="O22">
        <f>'material inventory'!AH23</f>
        <v>4.6454927515151515E-12</v>
      </c>
      <c r="P22">
        <f>'material inventory'!AI23</f>
        <v>3.4525265454545459E-7</v>
      </c>
      <c r="Q22">
        <f>'material inventory'!AJ23</f>
        <v>2.5861728969696971E-7</v>
      </c>
      <c r="R22">
        <f>'material inventory'!AK23</f>
        <v>5.0606782060606061E-7</v>
      </c>
      <c r="S22">
        <f>'material inventory'!AL23</f>
        <v>3.2430308848484847E-8</v>
      </c>
      <c r="T22">
        <f>'material inventory'!AM23</f>
        <v>6.1585842424242428E-7</v>
      </c>
      <c r="U22">
        <f>'material inventory'!AN23</f>
        <v>3.7577743515151514E-7</v>
      </c>
      <c r="V22">
        <f>'material inventory'!AO23</f>
        <v>3.9166692848484848E-6</v>
      </c>
      <c r="W22">
        <f>'material inventory'!AP23</f>
        <v>1.5534855757575758E-5</v>
      </c>
      <c r="X22">
        <f>'material inventory'!AQ23</f>
        <v>3.2586868363636362E-6</v>
      </c>
    </row>
    <row r="23" spans="1:24">
      <c r="A23" s="101" t="str">
        <f>'energy consumption'!N3</f>
        <v>Sonication</v>
      </c>
      <c r="B23" s="101">
        <f>'energy consumption'!P3</f>
        <v>2.8396800022717437</v>
      </c>
      <c r="C23" s="101">
        <f>'energy consumption'!Q3</f>
        <v>49.96641093677313</v>
      </c>
      <c r="D23" s="101">
        <f>'energy consumption'!R3</f>
        <v>3.2510800026008635E-3</v>
      </c>
      <c r="E23" s="101">
        <f>'energy consumption'!S3</f>
        <v>2.6799600021439676</v>
      </c>
      <c r="F23" s="101">
        <f>'energy consumption'!T3</f>
        <v>1.1836000009468799</v>
      </c>
      <c r="G23" s="101">
        <f>'energy consumption'!U3</f>
        <v>1.0204000008163197E-2</v>
      </c>
      <c r="H23" s="101">
        <f>'energy consumption'!V3</f>
        <v>4.9796000039836795E-5</v>
      </c>
      <c r="I23" s="101">
        <f>'energy consumption'!W3</f>
        <v>20.874000016699195</v>
      </c>
      <c r="J23" s="101">
        <f>'energy consumption'!X3</f>
        <v>1.6892000013513597E-2</v>
      </c>
      <c r="K23" s="101">
        <f>'energy consumption'!Y3</f>
        <v>6.2776000050220784</v>
      </c>
      <c r="L23" s="101">
        <f>'energy consumption'!Z3</f>
        <v>2.4590000019671992E-3</v>
      </c>
      <c r="M23" s="101">
        <f>'energy consumption'!AA3</f>
        <v>1.1996000009596797E-2</v>
      </c>
      <c r="N23" s="101">
        <f>'energy consumption'!AB3</f>
        <v>4.4140000035311993E-4</v>
      </c>
      <c r="O23" s="101">
        <f>'energy consumption'!AC3</f>
        <v>2.3717600018974076E-7</v>
      </c>
      <c r="P23" s="101">
        <f>'energy consumption'!AD3</f>
        <v>2.9944800023955836E-3</v>
      </c>
      <c r="Q23" s="101">
        <f>'energy consumption'!AE3</f>
        <v>8.0544000064435191E-3</v>
      </c>
      <c r="R23" s="101">
        <f>'energy consumption'!AF3</f>
        <v>1.1600000009279998E-2</v>
      </c>
      <c r="S23" s="101">
        <f>'energy consumption'!AG3</f>
        <v>2.0761200016608956E-4</v>
      </c>
      <c r="T23" s="101">
        <f>'energy consumption'!AH3</f>
        <v>1.2804400010243519E-3</v>
      </c>
      <c r="U23" s="101">
        <f>'energy consumption'!AI3</f>
        <v>3.2074400025659512E-4</v>
      </c>
      <c r="V23" s="101">
        <f>'energy consumption'!AJ3</f>
        <v>7.8456000062764791E-2</v>
      </c>
      <c r="W23" s="101">
        <f>'energy consumption'!AK3</f>
        <v>0.24192800019354235</v>
      </c>
      <c r="X23" s="101">
        <f>'energy consumption'!AL3</f>
        <v>0.14248400011398718</v>
      </c>
    </row>
    <row r="24" spans="1:24">
      <c r="A24" s="101" t="str">
        <f>'energy consumption'!N4</f>
        <v>Spray pyrolysis</v>
      </c>
      <c r="B24" s="101">
        <f>'energy consumption'!P4</f>
        <v>2.0358858304232825E-4</v>
      </c>
      <c r="C24" s="101">
        <f>'energy consumption'!Q4</f>
        <v>3.5823018066085837E-3</v>
      </c>
      <c r="D24" s="101">
        <f>'energy consumption'!R4</f>
        <v>2.330835765146962E-7</v>
      </c>
      <c r="E24" s="101">
        <f>'energy consumption'!S4</f>
        <v>1.921375855765854E-4</v>
      </c>
      <c r="F24" s="101">
        <f>'energy consumption'!T4</f>
        <v>8.4857253947240438E-5</v>
      </c>
      <c r="G24" s="101">
        <f>'energy consumption'!U4</f>
        <v>7.31567606689457E-7</v>
      </c>
      <c r="H24" s="101">
        <f>'energy consumption'!V4</f>
        <v>3.5700843338600749E-9</v>
      </c>
      <c r="I24" s="101">
        <f>'energy consumption'!W4</f>
        <v>1.4965447101171821E-3</v>
      </c>
      <c r="J24" s="101">
        <f>'energy consumption'!X4</f>
        <v>1.2110584096627115E-6</v>
      </c>
      <c r="K24" s="101">
        <f>'energy consumption'!Y4</f>
        <v>4.5006750369989566E-4</v>
      </c>
      <c r="L24" s="101">
        <f>'energy consumption'!Z4</f>
        <v>1.7629603536352163E-7</v>
      </c>
      <c r="M24" s="101">
        <f>'energy consumption'!AA4</f>
        <v>8.6004361131386969E-7</v>
      </c>
      <c r="N24" s="101">
        <f>'energy consumption'!AB4</f>
        <v>3.1645819442642725E-8</v>
      </c>
      <c r="O24" s="101">
        <f>'energy consumption'!AC4</f>
        <v>1.7004143344196264E-11</v>
      </c>
      <c r="P24" s="101">
        <f>'energy consumption'!AD4</f>
        <v>2.1468684504894603E-7</v>
      </c>
      <c r="Q24" s="101">
        <f>'energy consumption'!AE4</f>
        <v>5.7745375649936917E-7</v>
      </c>
      <c r="R24" s="101">
        <f>'energy consumption'!AF4</f>
        <v>8.3165270850624278E-7</v>
      </c>
      <c r="S24" s="101">
        <f>'energy consumption'!AG4</f>
        <v>1.4884576044689491E-8</v>
      </c>
      <c r="T24" s="101">
        <f>'energy consumption'!AH4</f>
        <v>9.1800120179287388E-8</v>
      </c>
      <c r="U24" s="101">
        <f>'energy consumption'!AI4</f>
        <v>2.2995484166993648E-8</v>
      </c>
      <c r="V24" s="101">
        <f>'energy consumption'!AJ4</f>
        <v>5.6248400774625676E-6</v>
      </c>
      <c r="W24" s="101">
        <f>'energy consumption'!AK4</f>
        <v>1.7344834177887785E-5</v>
      </c>
      <c r="X24" s="101">
        <f>'energy consumption'!AL4</f>
        <v>1.0215276251620991E-5</v>
      </c>
    </row>
    <row r="25" spans="1:24">
      <c r="A25" s="101" t="str">
        <f>'energy consumption'!N5</f>
        <v>ETL spin coating</v>
      </c>
      <c r="B25" s="101">
        <f>'energy consumption'!P5</f>
        <v>2.1954647633780482</v>
      </c>
      <c r="C25" s="101">
        <f>'energy consumption'!Q5</f>
        <v>38.630935343557496</v>
      </c>
      <c r="D25" s="101">
        <f>'energy consumption'!R5</f>
        <v>2.5135337724402412E-3</v>
      </c>
      <c r="E25" s="101">
        <f>'energy consumption'!S5</f>
        <v>2.0719791480950791</v>
      </c>
      <c r="F25" s="101">
        <f>'energy consumption'!T5</f>
        <v>0.9150862399757218</v>
      </c>
      <c r="G25" s="101">
        <f>'energy consumption'!U5</f>
        <v>7.8891010414939722E-3</v>
      </c>
      <c r="H25" s="101">
        <f>'energy consumption'!V5</f>
        <v>3.8499184188772428E-5</v>
      </c>
      <c r="I25" s="101">
        <f>'energy consumption'!W5</f>
        <v>16.13848443160968</v>
      </c>
      <c r="J25" s="101">
        <f>'energy consumption'!X5</f>
        <v>1.3059848568494334E-2</v>
      </c>
      <c r="K25" s="101">
        <f>'energy consumption'!Y5</f>
        <v>4.8534516560253387</v>
      </c>
      <c r="L25" s="101">
        <f>'energy consumption'!Z5</f>
        <v>1.9011465563537511E-3</v>
      </c>
      <c r="M25" s="101">
        <f>'energy consumption'!AA5</f>
        <v>9.2745644937045953E-3</v>
      </c>
      <c r="N25" s="101">
        <f>'energy consumption'!AB5</f>
        <v>3.4126315167732648E-4</v>
      </c>
      <c r="O25" s="101">
        <f>'energy consumption'!AC5</f>
        <v>1.8336979896289439E-7</v>
      </c>
      <c r="P25" s="101">
        <f>'energy consumption'!AD5</f>
        <v>2.3151465392721353E-3</v>
      </c>
      <c r="Q25" s="101">
        <f>'energy consumption'!AE5</f>
        <v>6.227163409310961E-3</v>
      </c>
      <c r="R25" s="101">
        <f>'energy consumption'!AF5</f>
        <v>8.9684018111848372E-3</v>
      </c>
      <c r="S25" s="101">
        <f>'energy consumption'!AG5</f>
        <v>1.6051274455376779E-4</v>
      </c>
      <c r="T25" s="101">
        <f>'energy consumption'!AH5</f>
        <v>9.8995693233737197E-4</v>
      </c>
      <c r="U25" s="101">
        <f>'energy consumption'!AI5</f>
        <v>2.4797940263160943E-4</v>
      </c>
      <c r="V25" s="101">
        <f>'energy consumption'!AJ5</f>
        <v>6.0657321767096345E-2</v>
      </c>
      <c r="W25" s="101">
        <f>'energy consumption'!AK5</f>
        <v>0.18704375115313149</v>
      </c>
      <c r="X25" s="101">
        <f>'energy consumption'!AL5</f>
        <v>0.11015980721248796</v>
      </c>
    </row>
    <row r="26" spans="1:24">
      <c r="A26" s="101" t="str">
        <f>'energy consumption'!N6</f>
        <v>ETL calcining</v>
      </c>
      <c r="B26" s="101">
        <f>'energy consumption'!P6</f>
        <v>17.038080013630463</v>
      </c>
      <c r="C26" s="101">
        <f>'energy consumption'!Q6</f>
        <v>299.79846562063881</v>
      </c>
      <c r="D26" s="101">
        <f>'energy consumption'!R6</f>
        <v>1.9506480015605183E-2</v>
      </c>
      <c r="E26" s="101">
        <f>'energy consumption'!S6</f>
        <v>16.079760012863805</v>
      </c>
      <c r="F26" s="101">
        <f>'energy consumption'!T6</f>
        <v>7.1016000056812789</v>
      </c>
      <c r="G26" s="101">
        <f>'energy consumption'!U6</f>
        <v>6.1224000048979189E-2</v>
      </c>
      <c r="H26" s="101">
        <f>'energy consumption'!V6</f>
        <v>2.9877600023902077E-4</v>
      </c>
      <c r="I26" s="101">
        <f>'energy consumption'!W6</f>
        <v>125.24400010019518</v>
      </c>
      <c r="J26" s="101">
        <f>'energy consumption'!X6</f>
        <v>0.1013520000810816</v>
      </c>
      <c r="K26" s="101">
        <f>'energy consumption'!Y6</f>
        <v>37.665600030132474</v>
      </c>
      <c r="L26" s="101">
        <f>'energy consumption'!Z6</f>
        <v>1.4754000011803197E-2</v>
      </c>
      <c r="M26" s="101">
        <f>'energy consumption'!AA6</f>
        <v>7.1976000057580786E-2</v>
      </c>
      <c r="N26" s="101">
        <f>'energy consumption'!AB6</f>
        <v>2.6484000021187197E-3</v>
      </c>
      <c r="O26" s="101">
        <f>'energy consumption'!AC6</f>
        <v>1.4230560011384447E-6</v>
      </c>
      <c r="P26" s="101">
        <f>'energy consumption'!AD6</f>
        <v>1.7966880014373503E-2</v>
      </c>
      <c r="Q26" s="101">
        <f>'energy consumption'!AE6</f>
        <v>4.8326400038661114E-2</v>
      </c>
      <c r="R26" s="101">
        <f>'energy consumption'!AF6</f>
        <v>6.9600000055679984E-2</v>
      </c>
      <c r="S26" s="101">
        <f>'energy consumption'!AG6</f>
        <v>1.2456720009965375E-3</v>
      </c>
      <c r="T26" s="101">
        <f>'energy consumption'!AH6</f>
        <v>7.6826400061461115E-3</v>
      </c>
      <c r="U26" s="101">
        <f>'energy consumption'!AI6</f>
        <v>1.9244640015395709E-3</v>
      </c>
      <c r="V26" s="101">
        <f>'energy consumption'!AJ6</f>
        <v>0.47073600037658875</v>
      </c>
      <c r="W26" s="101">
        <f>'energy consumption'!AK6</f>
        <v>1.4515680011612544</v>
      </c>
      <c r="X26" s="101">
        <f>'energy consumption'!AL6</f>
        <v>0.85490400068392314</v>
      </c>
    </row>
    <row r="27" spans="1:24">
      <c r="A27" s="101" t="str">
        <f>'energy consumption'!N7</f>
        <v>PL 1st-step spin coating</v>
      </c>
      <c r="B27" s="101">
        <f>'energy consumption'!P7</f>
        <v>8.4576274476780081E-2</v>
      </c>
      <c r="C27" s="101">
        <f>'energy consumption'!Q7</f>
        <v>1.4881863036072136</v>
      </c>
      <c r="D27" s="101">
        <f>'energy consumption'!R7</f>
        <v>9.6829302747482171E-5</v>
      </c>
      <c r="E27" s="101">
        <f>'energy consumption'!S7</f>
        <v>7.9819216442272203E-2</v>
      </c>
      <c r="F27" s="101">
        <f>'energy consumption'!T7</f>
        <v>3.525202785902528E-2</v>
      </c>
      <c r="G27" s="101">
        <f>'energy consumption'!U7</f>
        <v>3.039132242932527E-4</v>
      </c>
      <c r="H27" s="101">
        <f>'energy consumption'!V7</f>
        <v>1.4831108307435136E-6</v>
      </c>
      <c r="I27" s="101">
        <f>'energy consumption'!W7</f>
        <v>0.62170566874729094</v>
      </c>
      <c r="J27" s="101">
        <f>'energy consumption'!X7</f>
        <v>5.0310683896135093E-4</v>
      </c>
      <c r="K27" s="101">
        <f>'energy consumption'!Y7</f>
        <v>0.18697037013164672</v>
      </c>
      <c r="L27" s="101">
        <f>'energy consumption'!Z7</f>
        <v>7.3238202522256797E-5</v>
      </c>
      <c r="M27" s="101">
        <f>'energy consumption'!AA7</f>
        <v>3.5728567607035079E-4</v>
      </c>
      <c r="N27" s="101">
        <f>'energy consumption'!AB7</f>
        <v>1.3146540298220478E-5</v>
      </c>
      <c r="O27" s="101">
        <f>'energy consumption'!AC7</f>
        <v>7.0639869546233354E-9</v>
      </c>
      <c r="P27" s="101">
        <f>'energy consumption'!AD7</f>
        <v>8.9186796538774931E-5</v>
      </c>
      <c r="Q27" s="101">
        <f>'energy consumption'!AE7</f>
        <v>2.398901091481355E-4</v>
      </c>
      <c r="R27" s="101">
        <f>'energy consumption'!AF7</f>
        <v>3.4549131730710812E-4</v>
      </c>
      <c r="S27" s="101">
        <f>'energy consumption'!AG7</f>
        <v>6.1834606352382193E-6</v>
      </c>
      <c r="T27" s="101">
        <f>'energy consumption'!AH7</f>
        <v>3.8136284683854624E-5</v>
      </c>
      <c r="U27" s="101">
        <f>'energy consumption'!AI7</f>
        <v>9.5529540584785421E-6</v>
      </c>
      <c r="V27" s="101">
        <f>'energy consumption'!AJ7</f>
        <v>2.3367126543660756E-3</v>
      </c>
      <c r="W27" s="101">
        <f>'energy consumption'!AK7</f>
        <v>7.2055192597822474E-3</v>
      </c>
      <c r="X27" s="101">
        <f>'energy consumption'!AL7</f>
        <v>4.24370559096431E-3</v>
      </c>
    </row>
    <row r="28" spans="1:24">
      <c r="A28" s="101" t="str">
        <f>'energy consumption'!N8</f>
        <v>PL 2nd-step spin coating</v>
      </c>
      <c r="B28" s="101">
        <f>'energy consumption'!P8</f>
        <v>8.2436494732517538</v>
      </c>
      <c r="C28" s="101">
        <f>'energy consumption'!Q8</f>
        <v>145.05351901259513</v>
      </c>
      <c r="D28" s="101">
        <f>'energy consumption'!R8</f>
        <v>9.4379521387970879E-3</v>
      </c>
      <c r="E28" s="101">
        <f>'energy consumption'!S8</f>
        <v>7.779979026628272</v>
      </c>
      <c r="F28" s="101">
        <f>'energy consumption'!T8</f>
        <v>3.4360151554191938</v>
      </c>
      <c r="G28" s="101">
        <f>'energy consumption'!U8</f>
        <v>2.9622421971863343E-2</v>
      </c>
      <c r="H28" s="101">
        <f>'energy consumption'!V8</f>
        <v>1.4455881267257028E-4</v>
      </c>
      <c r="I28" s="101">
        <f>'energy consumption'!W8</f>
        <v>60.597651532798452</v>
      </c>
      <c r="J28" s="101">
        <f>'energy consumption'!X8</f>
        <v>4.9037823593562881E-2</v>
      </c>
      <c r="K28" s="101">
        <f>'energy consumption'!Y8</f>
        <v>18.224001976731607</v>
      </c>
      <c r="L28" s="101">
        <f>'energy consumption'!Z8</f>
        <v>7.1385275998443708E-3</v>
      </c>
      <c r="M28" s="101">
        <f>'energy consumption'!AA8</f>
        <v>3.4824634846577093E-2</v>
      </c>
      <c r="N28" s="101">
        <f>'energy consumption'!AB8</f>
        <v>1.2813932828675499E-3</v>
      </c>
      <c r="O28" s="101">
        <f>'energy consumption'!AC8</f>
        <v>6.8852680846713655E-7</v>
      </c>
      <c r="P28" s="101">
        <f>'energy consumption'!AD8</f>
        <v>8.6930370586343932E-3</v>
      </c>
      <c r="Q28" s="101">
        <f>'energy consumption'!AE8</f>
        <v>2.338208893866877E-2</v>
      </c>
      <c r="R28" s="101">
        <f>'energy consumption'!AF8</f>
        <v>3.3675038697923834E-2</v>
      </c>
      <c r="S28" s="101">
        <f>'energy consumption'!AG8</f>
        <v>6.0270190811666919E-4</v>
      </c>
      <c r="T28" s="101">
        <f>'energy consumption'!AH8</f>
        <v>3.7171436681353101E-3</v>
      </c>
      <c r="U28" s="101">
        <f>'energy consumption'!AI8</f>
        <v>9.3112643207990354E-4</v>
      </c>
      <c r="V28" s="101">
        <f>'energy consumption'!AJ8</f>
        <v>0.22775938242106139</v>
      </c>
      <c r="W28" s="101">
        <f>'energy consumption'!AK8</f>
        <v>0.70232196225097565</v>
      </c>
      <c r="X28" s="101">
        <f>'energy consumption'!AL8</f>
        <v>0.41363398395129136</v>
      </c>
    </row>
    <row r="29" spans="1:24">
      <c r="A29" s="101" t="str">
        <f>'energy consumption'!N9</f>
        <v>PL drying</v>
      </c>
      <c r="B29" s="101">
        <f>'energy consumption'!P9</f>
        <v>15.334272012267418</v>
      </c>
      <c r="C29" s="101">
        <f>'energy consumption'!Q9</f>
        <v>269.81861905857494</v>
      </c>
      <c r="D29" s="101">
        <f>'energy consumption'!R9</f>
        <v>1.7555832014044665E-2</v>
      </c>
      <c r="E29" s="101">
        <f>'energy consumption'!S9</f>
        <v>14.471784011577427</v>
      </c>
      <c r="F29" s="101">
        <f>'energy consumption'!T9</f>
        <v>6.3914400051131519</v>
      </c>
      <c r="G29" s="101">
        <f>'energy consumption'!U9</f>
        <v>5.5101600044081274E-2</v>
      </c>
      <c r="H29" s="101">
        <f>'energy consumption'!V9</f>
        <v>2.6889840021511875E-4</v>
      </c>
      <c r="I29" s="101">
        <f>'energy consumption'!W9</f>
        <v>112.71960009017567</v>
      </c>
      <c r="J29" s="101">
        <f>'energy consumption'!X9</f>
        <v>9.1216800072973447E-2</v>
      </c>
      <c r="K29" s="101">
        <f>'energy consumption'!Y9</f>
        <v>33.899040027119227</v>
      </c>
      <c r="L29" s="101">
        <f>'energy consumption'!Z9</f>
        <v>1.3278600010622879E-2</v>
      </c>
      <c r="M29" s="101">
        <f>'energy consumption'!AA9</f>
        <v>6.4778400051822713E-2</v>
      </c>
      <c r="N29" s="101">
        <f>'energy consumption'!AB9</f>
        <v>2.3835600019068478E-3</v>
      </c>
      <c r="O29" s="101">
        <f>'energy consumption'!AC9</f>
        <v>1.2807504010246002E-6</v>
      </c>
      <c r="P29" s="101">
        <f>'energy consumption'!AD9</f>
        <v>1.6170192012936152E-2</v>
      </c>
      <c r="Q29" s="101">
        <f>'energy consumption'!AE9</f>
        <v>4.3493760034795007E-2</v>
      </c>
      <c r="R29" s="101">
        <f>'energy consumption'!AF9</f>
        <v>6.2640000050111999E-2</v>
      </c>
      <c r="S29" s="101">
        <f>'energy consumption'!AG9</f>
        <v>1.1211048008968839E-3</v>
      </c>
      <c r="T29" s="101">
        <f>'energy consumption'!AH9</f>
        <v>6.9143760055315013E-3</v>
      </c>
      <c r="U29" s="101">
        <f>'energy consumption'!AI9</f>
        <v>1.7320176013856138E-3</v>
      </c>
      <c r="V29" s="101">
        <f>'energy consumption'!AJ9</f>
        <v>0.42366240033892988</v>
      </c>
      <c r="W29" s="101">
        <f>'energy consumption'!AK9</f>
        <v>1.306411201045129</v>
      </c>
      <c r="X29" s="101">
        <f>'energy consumption'!AL9</f>
        <v>0.76941360061553088</v>
      </c>
    </row>
    <row r="30" spans="1:24">
      <c r="A30" s="101" t="str">
        <f>'energy consumption'!N10</f>
        <v>HTL spin coating</v>
      </c>
      <c r="B30" s="101">
        <f>'energy consumption'!P10</f>
        <v>1.5223729405820419</v>
      </c>
      <c r="C30" s="101">
        <f>'energy consumption'!Q10</f>
        <v>26.787353464929854</v>
      </c>
      <c r="D30" s="101">
        <f>'energy consumption'!R10</f>
        <v>1.7429274494546797E-3</v>
      </c>
      <c r="E30" s="101">
        <f>'energy consumption'!S10</f>
        <v>1.4367458959609001</v>
      </c>
      <c r="F30" s="101">
        <f>'energy consumption'!T10</f>
        <v>0.63453650146245522</v>
      </c>
      <c r="G30" s="101">
        <f>'energy consumption'!U10</f>
        <v>5.4704380372785511E-3</v>
      </c>
      <c r="H30" s="101">
        <f>'energy consumption'!V10</f>
        <v>2.6695994953383257E-5</v>
      </c>
      <c r="I30" s="101">
        <f>'energy consumption'!W10</f>
        <v>11.190702037451242</v>
      </c>
      <c r="J30" s="101">
        <f>'energy consumption'!X10</f>
        <v>9.0559231013043213E-3</v>
      </c>
      <c r="K30" s="101">
        <f>'energy consumption'!Y10</f>
        <v>3.3654666623696423</v>
      </c>
      <c r="L30" s="101">
        <f>'energy consumption'!Z10</f>
        <v>1.3182876454006229E-3</v>
      </c>
      <c r="M30" s="101">
        <f>'energy consumption'!AA10</f>
        <v>6.431142169266317E-3</v>
      </c>
      <c r="N30" s="101">
        <f>'energy consumption'!AB10</f>
        <v>2.366377253679687E-4</v>
      </c>
      <c r="O30" s="101">
        <f>'energy consumption'!AC10</f>
        <v>1.2715176518322008E-7</v>
      </c>
      <c r="P30" s="101">
        <f>'energy consumption'!AD10</f>
        <v>1.6053623376979494E-3</v>
      </c>
      <c r="Q30" s="101">
        <f>'energy consumption'!AE10</f>
        <v>4.3180219646664405E-3</v>
      </c>
      <c r="R30" s="101">
        <f>'energy consumption'!AF10</f>
        <v>6.2188437115279485E-3</v>
      </c>
      <c r="S30" s="101">
        <f>'energy consumption'!AG10</f>
        <v>1.1130229143428798E-4</v>
      </c>
      <c r="T30" s="101">
        <f>'energy consumption'!AH10</f>
        <v>6.8645312430938349E-4</v>
      </c>
      <c r="U30" s="101">
        <f>'energy consumption'!AI10</f>
        <v>1.7195317305261382E-4</v>
      </c>
      <c r="V30" s="101">
        <f>'energy consumption'!AJ10</f>
        <v>4.2060827778589376E-2</v>
      </c>
      <c r="W30" s="101">
        <f>'energy consumption'!AK10</f>
        <v>0.12969934667608049</v>
      </c>
      <c r="X30" s="101">
        <f>'energy consumption'!AL10</f>
        <v>7.6386700637357613E-2</v>
      </c>
    </row>
    <row r="31" spans="1:24">
      <c r="A31" s="101" t="str">
        <f>'energy consumption'!N11</f>
        <v>Electrode sputtering</v>
      </c>
      <c r="B31" s="101">
        <f>'energy consumption'!P11</f>
        <v>5.0088800040071035</v>
      </c>
      <c r="C31" s="101">
        <f>'energy consumption'!Q11</f>
        <v>88.135197069030383</v>
      </c>
      <c r="D31" s="101">
        <f>'energy consumption'!R11</f>
        <v>5.7345438934765236E-3</v>
      </c>
      <c r="E31" s="101">
        <f>'energy consumption'!S11</f>
        <v>4.7271516704483876</v>
      </c>
      <c r="F31" s="101">
        <f>'energy consumption'!T11</f>
        <v>2.0877388905590797</v>
      </c>
      <c r="G31" s="101">
        <f>'energy consumption'!U11</f>
        <v>1.7998722236621197E-2</v>
      </c>
      <c r="H31" s="101">
        <f>'energy consumption'!V11</f>
        <v>8.7834611181378795E-5</v>
      </c>
      <c r="I31" s="101">
        <f>'energy consumption'!W11</f>
        <v>36.819416696122197</v>
      </c>
      <c r="J31" s="101">
        <f>'energy consumption'!X11</f>
        <v>2.9795611134947598E-2</v>
      </c>
      <c r="K31" s="101">
        <f>'energy consumption'!Y11</f>
        <v>11.072988897747278</v>
      </c>
      <c r="L31" s="101">
        <f>'energy consumption'!Z11</f>
        <v>4.3374027812476991E-3</v>
      </c>
      <c r="M31" s="101">
        <f>'energy consumption'!AA11</f>
        <v>2.1159611128038797E-2</v>
      </c>
      <c r="N31" s="101">
        <f>'energy consumption'!AB11</f>
        <v>7.785805561784199E-4</v>
      </c>
      <c r="O31" s="101">
        <f>'energy consumption'!AC11</f>
        <v>4.1835211144579277E-7</v>
      </c>
      <c r="P31" s="101">
        <f>'energy consumption'!AD11</f>
        <v>5.2819300042255433E-3</v>
      </c>
      <c r="Q31" s="101">
        <f>'energy consumption'!AE11</f>
        <v>1.4207066678032319E-2</v>
      </c>
      <c r="R31" s="101">
        <f>'energy consumption'!AF11</f>
        <v>2.0461111127479996E-2</v>
      </c>
      <c r="S31" s="101">
        <f>'energy consumption'!AG11</f>
        <v>3.662045002929636E-4</v>
      </c>
      <c r="T31" s="101">
        <f>'energy consumption'!AH11</f>
        <v>2.258553890695732E-3</v>
      </c>
      <c r="U31" s="101">
        <f>'energy consumption'!AI11</f>
        <v>5.6575677823038307E-4</v>
      </c>
      <c r="V31" s="101">
        <f>'energy consumption'!AJ11</f>
        <v>0.13838766677737679</v>
      </c>
      <c r="W31" s="101">
        <f>'energy consumption'!AK11</f>
        <v>0.42673411145249834</v>
      </c>
      <c r="X31" s="101">
        <f>'energy consumption'!AL11</f>
        <v>0.25132594464550517</v>
      </c>
    </row>
    <row r="32" spans="1:24">
      <c r="A32" s="102" t="s">
        <v>21</v>
      </c>
      <c r="B32">
        <f>'material inventory'!U24</f>
        <v>0</v>
      </c>
      <c r="C32">
        <f>'material inventory'!V24</f>
        <v>0</v>
      </c>
      <c r="D32">
        <f>'material inventory'!W24</f>
        <v>0</v>
      </c>
      <c r="E32">
        <f>'material inventory'!X24</f>
        <v>0</v>
      </c>
      <c r="F32">
        <f>'material inventory'!Y24</f>
        <v>0</v>
      </c>
      <c r="G32">
        <f>'material inventory'!Z24</f>
        <v>2.3008993825820227E-2</v>
      </c>
      <c r="H32">
        <f>'material inventory'!AA24</f>
        <v>0</v>
      </c>
      <c r="I32">
        <f>'material inventory'!AB24</f>
        <v>3.0107065010989028E-2</v>
      </c>
      <c r="J32">
        <f>'material inventory'!AC24</f>
        <v>0</v>
      </c>
      <c r="K32">
        <f>'material inventory'!AD24</f>
        <v>52.462004997903506</v>
      </c>
      <c r="L32">
        <f>'material inventory'!AE24</f>
        <v>0</v>
      </c>
      <c r="M32">
        <f>'material inventory'!AF24</f>
        <v>0</v>
      </c>
      <c r="N32">
        <f>'material inventory'!AG24</f>
        <v>0</v>
      </c>
      <c r="O32">
        <f>'material inventory'!AH24</f>
        <v>0</v>
      </c>
      <c r="P32">
        <f>'material inventory'!AI24</f>
        <v>0</v>
      </c>
      <c r="Q32">
        <f>'material inventory'!AJ24</f>
        <v>4.1230354323475099E-3</v>
      </c>
      <c r="R32">
        <f>'material inventory'!AK24</f>
        <v>0</v>
      </c>
      <c r="S32">
        <f>'material inventory'!AL24</f>
        <v>0.24091160627675037</v>
      </c>
      <c r="T32">
        <f>'material inventory'!AM24</f>
        <v>0</v>
      </c>
      <c r="U32">
        <f>'material inventory'!AN24</f>
        <v>0</v>
      </c>
      <c r="V32">
        <f>'material inventory'!AO24</f>
        <v>6.6235361163490158E-2</v>
      </c>
      <c r="W32">
        <f>'material inventory'!AP24</f>
        <v>2.0717798916663425E-4</v>
      </c>
      <c r="X32">
        <f>'material inventory'!AQ24</f>
        <v>0</v>
      </c>
    </row>
    <row r="33" spans="1:24">
      <c r="A33" s="102" t="s">
        <v>93</v>
      </c>
      <c r="B33">
        <f>'material inventory'!U47</f>
        <v>5.7228935999999989E-4</v>
      </c>
      <c r="C33">
        <f>'material inventory'!V47</f>
        <v>4.7824445274400008E-3</v>
      </c>
      <c r="D33">
        <f>'material inventory'!W47</f>
        <v>2.0548593599999999E-5</v>
      </c>
      <c r="E33">
        <f>'material inventory'!X47</f>
        <v>5.2364487999999993E-4</v>
      </c>
      <c r="F33">
        <f>'material inventory'!Y47</f>
        <v>9.0484743999999991E-5</v>
      </c>
      <c r="G33">
        <f>'material inventory'!Z47</f>
        <v>8.001138399999999E-6</v>
      </c>
      <c r="H33">
        <f>'material inventory'!AA47</f>
        <v>3.2515967999999997E-6</v>
      </c>
      <c r="I33">
        <f>'material inventory'!AB47</f>
        <v>7.3870711999999995E-3</v>
      </c>
      <c r="J33">
        <f>'material inventory'!AC47</f>
        <v>3.6682191999999997E-5</v>
      </c>
      <c r="K33">
        <f>'material inventory'!AD47</f>
        <v>7.1845399999999997E-3</v>
      </c>
      <c r="L33">
        <f>'material inventory'!AE47</f>
        <v>3.0136919999999997E-5</v>
      </c>
      <c r="M33">
        <f>'material inventory'!AF47</f>
        <v>4.0381391999999997E-5</v>
      </c>
      <c r="N33">
        <f>'material inventory'!AG47</f>
        <v>4.1995168E-8</v>
      </c>
      <c r="O33">
        <f>'material inventory'!AH47</f>
        <v>4.2432135999999995E-11</v>
      </c>
      <c r="P33">
        <f>'material inventory'!AI47</f>
        <v>1.16922464E-6</v>
      </c>
      <c r="Q33">
        <f>'material inventory'!AJ47</f>
        <v>1.37473832E-6</v>
      </c>
      <c r="R33">
        <f>'material inventory'!AK47</f>
        <v>2.3975439999999999E-6</v>
      </c>
      <c r="S33">
        <f>'material inventory'!AL47</f>
        <v>3.1940279999999995E-7</v>
      </c>
      <c r="T33">
        <f>'material inventory'!AM47</f>
        <v>5.4010631999999993E-6</v>
      </c>
      <c r="U33">
        <f>'material inventory'!AN47</f>
        <v>2.4620487999999999E-6</v>
      </c>
      <c r="V33">
        <f>'material inventory'!AO47</f>
        <v>2.3455239999999998E-5</v>
      </c>
      <c r="W33">
        <f>'material inventory'!AP47</f>
        <v>7.0992271999999998E-5</v>
      </c>
      <c r="X33">
        <f>'material inventory'!AQ47</f>
        <v>1.2723629599999999E-5</v>
      </c>
    </row>
    <row r="34" spans="1:24">
      <c r="A34" s="102" t="s">
        <v>135</v>
      </c>
      <c r="B34">
        <f>'material inventory'!$F$54*[2]production!$D$103</f>
        <v>2.7353561075504223E-2</v>
      </c>
      <c r="C34">
        <f>'material inventory'!$F$54*[2]production!M103</f>
        <v>0.87545142699451584</v>
      </c>
      <c r="D34">
        <f>'material inventory'!$F$54*[2]production!N103</f>
        <v>1.4141839976594562E-3</v>
      </c>
      <c r="E34">
        <f>'material inventory'!$F$54*[2]production!O103</f>
        <v>2.5741859150323385E-2</v>
      </c>
      <c r="F34">
        <f>'material inventory'!$F$54*[2]production!P103</f>
        <v>2.040564867861893E-2</v>
      </c>
      <c r="G34">
        <f>'material inventory'!$F$54*[2]production!Q103</f>
        <v>1.259567488290372E-4</v>
      </c>
      <c r="H34">
        <f>'material inventory'!$F$54*[2]production!R103</f>
        <v>3.0338511685136918E-6</v>
      </c>
      <c r="I34">
        <f>'material inventory'!$F$54*[2]production!S103</f>
        <v>0.19403943415768032</v>
      </c>
      <c r="J34">
        <f>'material inventory'!$F$54*[2]production!T103</f>
        <v>3.7434134017611202E-3</v>
      </c>
      <c r="K34">
        <f>'material inventory'!$F$54*[2]production!U103</f>
        <v>0.13763238742371603</v>
      </c>
      <c r="L34">
        <f>'material inventory'!$F$54*[2]production!V103</f>
        <v>8.7148861997501142E-5</v>
      </c>
      <c r="M34">
        <f>'material inventory'!$F$54*[2]production!W103</f>
        <v>1.0618983219270921E-3</v>
      </c>
      <c r="N34">
        <f>'material inventory'!$F$54*[2]production!X103</f>
        <v>-2.0067377802235963E-4</v>
      </c>
      <c r="O34">
        <f>'material inventory'!$F$54*[2]production!Y103</f>
        <v>9.6187903448390234E-9</v>
      </c>
      <c r="P34">
        <f>'material inventory'!$F$54*[2]production!Z103</f>
        <v>9.2069165653980661E-5</v>
      </c>
      <c r="Q34">
        <f>'material inventory'!$F$54*[2]production!AA103</f>
        <v>2.7841054275895175E-4</v>
      </c>
      <c r="R34">
        <f>'material inventory'!$F$54*[2]production!AB103</f>
        <v>2.3291789911543637E-4</v>
      </c>
      <c r="S34">
        <f>'material inventory'!$F$54*[2]production!AC103</f>
        <v>2.8080011646097148E-5</v>
      </c>
      <c r="T34">
        <f>'material inventory'!$F$54*[2]production!AD103</f>
        <v>5.1537156024784774E-3</v>
      </c>
      <c r="U34">
        <f>'material inventory'!$F$54*[2]production!AE103</f>
        <v>3.7218870732640221E-5</v>
      </c>
      <c r="V34">
        <f>'material inventory'!$F$54*[2]production!AF103</f>
        <v>2.096019109891887E-3</v>
      </c>
      <c r="W34">
        <f>'material inventory'!$F$54*[2]production!AG103</f>
        <v>2.4211826199768542E-3</v>
      </c>
      <c r="X34">
        <f>'material inventory'!$F$54*[2]production!AH103</f>
        <v>2.4962474985065469E-3</v>
      </c>
    </row>
    <row r="35" spans="1:24" s="82" customFormat="1">
      <c r="B35" s="82">
        <f>SUM(B2:B33)</f>
        <v>56.731945410021339</v>
      </c>
      <c r="C35" s="82">
        <f t="shared" ref="C35:X35" si="0">SUM(C2:C33)</f>
        <v>1026.3873485913148</v>
      </c>
      <c r="D35" s="82">
        <f t="shared" si="0"/>
        <v>6.3577714341839444</v>
      </c>
      <c r="E35" s="82">
        <f t="shared" si="0"/>
        <v>53.78956966591938</v>
      </c>
      <c r="F35" s="82">
        <f t="shared" si="0"/>
        <v>23.061373165959715</v>
      </c>
      <c r="G35" s="82">
        <f t="shared" si="0"/>
        <v>0.32649436190715014</v>
      </c>
      <c r="H35" s="82">
        <f t="shared" si="0"/>
        <v>3.3870813779259081E-3</v>
      </c>
      <c r="I35" s="82">
        <f t="shared" si="0"/>
        <v>534.5153427295437</v>
      </c>
      <c r="J35" s="82">
        <f t="shared" si="0"/>
        <v>0.58212812433830008</v>
      </c>
      <c r="K35" s="82">
        <f t="shared" si="0"/>
        <v>272.57376910309938</v>
      </c>
      <c r="L35" s="82">
        <f t="shared" si="0"/>
        <v>5.7088340183737395E-2</v>
      </c>
      <c r="M35" s="82">
        <f t="shared" si="0"/>
        <v>38.015980609096601</v>
      </c>
      <c r="N35" s="82">
        <f t="shared" si="0"/>
        <v>1.0922369993156007E-2</v>
      </c>
      <c r="O35" s="82">
        <f t="shared" si="0"/>
        <v>4.6998842770102103E-6</v>
      </c>
      <c r="P35" s="82">
        <f t="shared" si="0"/>
        <v>8.8558132925442554E-2</v>
      </c>
      <c r="Q35" s="82">
        <f t="shared" si="0"/>
        <v>0.20385905474541322</v>
      </c>
      <c r="R35" s="82">
        <f t="shared" si="0"/>
        <v>0.28151243630533795</v>
      </c>
      <c r="S35" s="82">
        <f t="shared" si="0"/>
        <v>0.25358856136494801</v>
      </c>
      <c r="T35" s="82">
        <f t="shared" si="0"/>
        <v>0.17807191794864427</v>
      </c>
      <c r="U35" s="82">
        <f t="shared" si="0"/>
        <v>3.683467624735598E-2</v>
      </c>
      <c r="V35" s="82">
        <f t="shared" si="0"/>
        <v>2.0708974886509073</v>
      </c>
      <c r="W35" s="82">
        <f t="shared" si="0"/>
        <v>5.688857133102883</v>
      </c>
      <c r="X35" s="82">
        <f t="shared" si="0"/>
        <v>4.5303496525588223</v>
      </c>
    </row>
    <row r="36" spans="1:24" s="76" customFormat="1">
      <c r="A36" s="76" t="s">
        <v>136</v>
      </c>
      <c r="B36" s="76">
        <f>SUM(B34:B35)</f>
        <v>56.759298971096847</v>
      </c>
      <c r="C36" s="76">
        <f t="shared" ref="C36:X36" si="1">SUM(C34:C35)</f>
        <v>1027.2628000183092</v>
      </c>
      <c r="D36" s="76">
        <f t="shared" si="1"/>
        <v>6.3591856181816038</v>
      </c>
      <c r="E36" s="76">
        <f t="shared" si="1"/>
        <v>53.815311525069703</v>
      </c>
      <c r="F36" s="76">
        <f t="shared" si="1"/>
        <v>23.081778814638334</v>
      </c>
      <c r="G36" s="76">
        <f t="shared" si="1"/>
        <v>0.32662031865597918</v>
      </c>
      <c r="H36" s="76">
        <f t="shared" si="1"/>
        <v>3.3901152290944218E-3</v>
      </c>
      <c r="I36" s="76">
        <f t="shared" si="1"/>
        <v>534.70938216370143</v>
      </c>
      <c r="J36" s="76">
        <f t="shared" si="1"/>
        <v>0.58587153774006118</v>
      </c>
      <c r="K36" s="76">
        <f t="shared" si="1"/>
        <v>272.71140149052309</v>
      </c>
      <c r="L36" s="76">
        <f t="shared" si="1"/>
        <v>5.7175489045734898E-2</v>
      </c>
      <c r="M36" s="76">
        <f t="shared" si="1"/>
        <v>38.01704250741853</v>
      </c>
      <c r="N36" s="76">
        <f t="shared" si="1"/>
        <v>1.0721696215133646E-2</v>
      </c>
      <c r="O36" s="76">
        <f t="shared" si="1"/>
        <v>4.7095030673550489E-6</v>
      </c>
      <c r="P36" s="76">
        <f t="shared" si="1"/>
        <v>8.865020209109653E-2</v>
      </c>
      <c r="Q36" s="76">
        <f t="shared" si="1"/>
        <v>0.20413746528817217</v>
      </c>
      <c r="R36" s="76">
        <f t="shared" si="1"/>
        <v>0.2817453542044534</v>
      </c>
      <c r="S36" s="76">
        <f t="shared" si="1"/>
        <v>0.25361664137659412</v>
      </c>
      <c r="T36" s="76">
        <f t="shared" si="1"/>
        <v>0.18322563355112276</v>
      </c>
      <c r="U36" s="76">
        <f t="shared" si="1"/>
        <v>3.6871895118088617E-2</v>
      </c>
      <c r="V36" s="76">
        <f t="shared" si="1"/>
        <v>2.072993507760799</v>
      </c>
      <c r="W36" s="76">
        <f t="shared" si="1"/>
        <v>5.6912783157228599</v>
      </c>
      <c r="X36" s="76">
        <f t="shared" si="1"/>
        <v>4.5328459000573291</v>
      </c>
    </row>
    <row r="37" spans="1:24">
      <c r="I37">
        <f>I32/I35</f>
        <v>5.6325913597250518E-5</v>
      </c>
    </row>
  </sheetData>
  <phoneticPr fontId="7"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3F31E-2FE1-4917-AA2E-16ABCE6ECCEC}">
  <dimension ref="A1:L14"/>
  <sheetViews>
    <sheetView topLeftCell="A16" zoomScaleNormal="100" workbookViewId="0">
      <selection activeCell="L11" sqref="L11"/>
    </sheetView>
  </sheetViews>
  <sheetFormatPr defaultColWidth="9.140625" defaultRowHeight="15"/>
  <cols>
    <col min="1" max="1" width="25.42578125" customWidth="1"/>
    <col min="2" max="2" width="19.42578125" customWidth="1"/>
    <col min="9" max="9" width="29.28515625" customWidth="1"/>
    <col min="10" max="10" width="16.42578125" customWidth="1"/>
    <col min="11" max="11" width="21.140625" customWidth="1"/>
    <col min="12" max="12" width="21.7109375" customWidth="1"/>
  </cols>
  <sheetData>
    <row r="1" spans="1:12">
      <c r="A1" t="s">
        <v>94</v>
      </c>
      <c r="B1" t="s">
        <v>95</v>
      </c>
      <c r="C1" t="s">
        <v>96</v>
      </c>
      <c r="F1" s="29">
        <f>20.8%*0.8</f>
        <v>0.16640000000000002</v>
      </c>
      <c r="K1" s="120"/>
      <c r="L1" s="120"/>
    </row>
    <row r="2" spans="1:12">
      <c r="A2" t="s">
        <v>97</v>
      </c>
      <c r="B2" t="s">
        <v>98</v>
      </c>
      <c r="C2" s="25">
        <v>1700</v>
      </c>
      <c r="E2">
        <v>58.9</v>
      </c>
    </row>
    <row r="3" spans="1:12">
      <c r="A3" t="s">
        <v>100</v>
      </c>
      <c r="B3" t="s">
        <v>8</v>
      </c>
      <c r="C3" s="26">
        <v>0.75</v>
      </c>
      <c r="E3">
        <v>1.23</v>
      </c>
    </row>
    <row r="4" spans="1:12">
      <c r="A4" t="s">
        <v>102</v>
      </c>
      <c r="B4" t="s">
        <v>8</v>
      </c>
      <c r="C4" s="27">
        <v>0.16640000000000002</v>
      </c>
      <c r="E4">
        <v>1.05</v>
      </c>
    </row>
    <row r="5" spans="1:12">
      <c r="A5" t="s">
        <v>103</v>
      </c>
      <c r="B5" t="s">
        <v>104</v>
      </c>
      <c r="C5">
        <v>12.49</v>
      </c>
    </row>
    <row r="6" spans="1:12">
      <c r="A6" t="s">
        <v>105</v>
      </c>
      <c r="B6" t="s">
        <v>106</v>
      </c>
      <c r="C6" s="25">
        <v>5</v>
      </c>
      <c r="E6">
        <v>1.1499999999999999</v>
      </c>
    </row>
    <row r="7" spans="1:12">
      <c r="A7" t="s">
        <v>107</v>
      </c>
      <c r="B7" t="s">
        <v>108</v>
      </c>
      <c r="C7" s="25">
        <v>1027.2628000183092</v>
      </c>
      <c r="E7">
        <v>1.1100000000000001</v>
      </c>
    </row>
    <row r="8" spans="1:12">
      <c r="A8" t="s">
        <v>109</v>
      </c>
      <c r="C8" s="25">
        <v>56.759298971096847</v>
      </c>
      <c r="E8">
        <v>1.1100000000000001</v>
      </c>
    </row>
    <row r="9" spans="1:12">
      <c r="B9" t="s">
        <v>99</v>
      </c>
      <c r="C9" s="28">
        <f>C7/C5/C2/C4/C3</f>
        <v>0.387664128292947</v>
      </c>
      <c r="J9" t="s">
        <v>99</v>
      </c>
      <c r="L9" t="s">
        <v>150</v>
      </c>
    </row>
    <row r="10" spans="1:12">
      <c r="B10" t="s">
        <v>101</v>
      </c>
      <c r="C10" s="28">
        <f>C8*1000/C2/C3/C4/C6</f>
        <v>53.506126481049058</v>
      </c>
      <c r="I10" t="s">
        <v>97</v>
      </c>
      <c r="J10" s="39">
        <v>-2.103E-2</v>
      </c>
      <c r="K10" t="s">
        <v>97</v>
      </c>
      <c r="L10" s="39">
        <v>-1.541E-2</v>
      </c>
    </row>
    <row r="11" spans="1:12">
      <c r="I11" t="s">
        <v>129</v>
      </c>
      <c r="J11" s="39">
        <v>-3.7929999999999998E-2</v>
      </c>
      <c r="K11" t="s">
        <v>129</v>
      </c>
      <c r="L11" s="39">
        <v>-3.0519999999999999E-2</v>
      </c>
    </row>
    <row r="12" spans="1:12">
      <c r="I12" t="s">
        <v>43</v>
      </c>
      <c r="J12" s="29">
        <v>0.18759999999999999</v>
      </c>
      <c r="K12" t="s">
        <v>42</v>
      </c>
      <c r="L12" s="29">
        <v>0.13780000000000001</v>
      </c>
    </row>
    <row r="13" spans="1:12">
      <c r="C13">
        <f>results!B36</f>
        <v>56.759298971096847</v>
      </c>
      <c r="D13">
        <f>results!C36</f>
        <v>1027.2628000183092</v>
      </c>
      <c r="I13" t="s">
        <v>128</v>
      </c>
      <c r="J13" s="29">
        <v>-0.75339999999999996</v>
      </c>
      <c r="K13" t="s">
        <v>130</v>
      </c>
      <c r="L13" s="29">
        <v>-0.25109999999999999</v>
      </c>
    </row>
    <row r="14" spans="1:12">
      <c r="K14" t="s">
        <v>128</v>
      </c>
      <c r="L14" s="29">
        <v>-0.56510000000000005</v>
      </c>
    </row>
  </sheetData>
  <mergeCells count="1">
    <mergeCell ref="K1:L1"/>
  </mergeCells>
  <phoneticPr fontId="7" type="noConversion"/>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0"/>
  <sheetViews>
    <sheetView topLeftCell="A42" workbookViewId="0">
      <selection activeCell="C43" sqref="C43"/>
    </sheetView>
  </sheetViews>
  <sheetFormatPr defaultRowHeight="15"/>
  <cols>
    <col min="1" max="2" width="22.140625" customWidth="1"/>
    <col min="3" max="3" width="30.28515625" customWidth="1"/>
    <col min="4" max="9" width="18.7109375" customWidth="1"/>
    <col min="12" max="13" width="28.7109375" customWidth="1"/>
  </cols>
  <sheetData>
    <row r="1" spans="1:13">
      <c r="B1" t="str">
        <f>'material inventory'!U2</f>
        <v>Carbon footprint</v>
      </c>
      <c r="C1" t="str">
        <f>'material inventory'!V2</f>
        <v>Primary energy consumption</v>
      </c>
      <c r="D1" s="7"/>
      <c r="E1" s="7"/>
      <c r="F1" s="12"/>
      <c r="G1" s="7"/>
      <c r="H1" s="7"/>
      <c r="I1" s="7"/>
      <c r="L1" s="11"/>
      <c r="M1" s="11"/>
    </row>
    <row r="2" spans="1:13">
      <c r="A2" t="str">
        <f>results!A2</f>
        <v>FTO glass</v>
      </c>
      <c r="B2">
        <v>0</v>
      </c>
      <c r="C2">
        <v>0</v>
      </c>
      <c r="D2" s="15"/>
      <c r="E2" s="15"/>
      <c r="F2" s="16"/>
      <c r="G2" s="8"/>
      <c r="H2" s="16"/>
      <c r="I2" s="8"/>
      <c r="L2" s="11"/>
    </row>
    <row r="3" spans="1:13">
      <c r="A3" t="str">
        <f>results!A3</f>
        <v>Ethanol</v>
      </c>
      <c r="B3">
        <v>0</v>
      </c>
      <c r="C3">
        <v>0</v>
      </c>
      <c r="D3" s="8"/>
      <c r="E3" s="15"/>
      <c r="F3" s="16"/>
      <c r="G3" s="8"/>
      <c r="H3" s="16"/>
      <c r="I3" s="8"/>
      <c r="M3" s="21"/>
    </row>
    <row r="4" spans="1:13">
      <c r="A4" t="str">
        <f>results!A5</f>
        <v>Deionized water</v>
      </c>
      <c r="B4">
        <v>0</v>
      </c>
      <c r="C4">
        <v>0</v>
      </c>
      <c r="D4" s="8"/>
      <c r="E4" s="15"/>
      <c r="F4" s="16"/>
      <c r="G4" s="8"/>
      <c r="H4" s="16"/>
      <c r="I4" s="8"/>
      <c r="M4" s="21"/>
    </row>
    <row r="5" spans="1:13">
      <c r="A5" t="str">
        <f>results!A6</f>
        <v>BL-TiO₂ ink</v>
      </c>
      <c r="B5">
        <v>0</v>
      </c>
      <c r="C5">
        <v>0</v>
      </c>
      <c r="D5" s="15"/>
      <c r="E5" s="15"/>
      <c r="F5" s="16"/>
      <c r="G5" s="8"/>
      <c r="H5" s="16"/>
      <c r="I5" s="8"/>
      <c r="M5" s="21"/>
    </row>
    <row r="6" spans="1:13">
      <c r="A6" t="str">
        <f>results!A7</f>
        <v>TiO₂</v>
      </c>
      <c r="B6">
        <v>0</v>
      </c>
      <c r="C6">
        <v>0</v>
      </c>
      <c r="D6" s="15"/>
      <c r="E6" s="15"/>
      <c r="F6" s="16"/>
      <c r="G6" s="8"/>
      <c r="H6" s="16"/>
      <c r="I6" s="8"/>
      <c r="L6" s="11"/>
      <c r="M6" s="13"/>
    </row>
    <row r="7" spans="1:13">
      <c r="A7" t="str">
        <f>results!A8</f>
        <v>FAI</v>
      </c>
      <c r="B7">
        <f>results!B8</f>
        <v>3.3631633504582502E-2</v>
      </c>
      <c r="C7">
        <f>results!C8</f>
        <v>0.59575957692753112</v>
      </c>
      <c r="D7" s="15"/>
      <c r="E7" s="15"/>
      <c r="F7" s="16"/>
      <c r="G7" s="8"/>
      <c r="H7" s="16"/>
      <c r="I7" s="8"/>
      <c r="M7" s="21"/>
    </row>
    <row r="8" spans="1:13">
      <c r="A8" t="str">
        <f>results!A9</f>
        <v>PbI₂</v>
      </c>
      <c r="B8">
        <f>results!B9</f>
        <v>5.2897034213452822E-3</v>
      </c>
      <c r="C8">
        <f>results!C9</f>
        <v>6.2900780904729572E-2</v>
      </c>
      <c r="D8" s="8"/>
      <c r="E8" s="15"/>
      <c r="F8" s="16"/>
      <c r="G8" s="8"/>
      <c r="H8" s="16"/>
      <c r="I8" s="8"/>
    </row>
    <row r="9" spans="1:13">
      <c r="A9" t="str">
        <f>results!A10</f>
        <v>MABr</v>
      </c>
      <c r="B9">
        <f>results!B10</f>
        <v>0.17984551647235406</v>
      </c>
      <c r="C9">
        <f>results!C10</f>
        <v>3.1681347872173444</v>
      </c>
      <c r="D9" s="8"/>
      <c r="E9" s="15"/>
      <c r="F9" s="16"/>
      <c r="G9" s="8"/>
      <c r="H9" s="16"/>
      <c r="I9" s="8"/>
    </row>
    <row r="10" spans="1:13">
      <c r="A10" t="str">
        <f>results!A11</f>
        <v>PbBr₂</v>
      </c>
      <c r="B10">
        <f>results!B11</f>
        <v>6.2686334877505199E-4</v>
      </c>
      <c r="C10">
        <f>results!C11</f>
        <v>8.2194376428353123E-3</v>
      </c>
      <c r="I10" s="8"/>
    </row>
    <row r="11" spans="1:13">
      <c r="A11" t="str">
        <f>results!A12</f>
        <v>DMF</v>
      </c>
      <c r="B11">
        <f>results!B12</f>
        <v>4.7032591399933429E-3</v>
      </c>
      <c r="C11">
        <f>results!C12</f>
        <v>0.12792526254726047</v>
      </c>
      <c r="D11" s="17"/>
      <c r="E11" s="18"/>
      <c r="F11" s="19"/>
      <c r="G11" s="17"/>
      <c r="H11" s="19"/>
      <c r="I11" s="17"/>
      <c r="L11" s="11"/>
    </row>
    <row r="12" spans="1:13">
      <c r="A12" t="str">
        <f>results!A13</f>
        <v>DMSO</v>
      </c>
      <c r="B12">
        <f>results!B13</f>
        <v>6.0796461783594257E-4</v>
      </c>
      <c r="C12">
        <f>results!C13</f>
        <v>2.8054715315643849E-2</v>
      </c>
      <c r="D12" s="17"/>
      <c r="E12" s="18"/>
      <c r="F12" s="19"/>
      <c r="G12" s="17"/>
      <c r="H12" s="19"/>
      <c r="I12" s="17"/>
    </row>
    <row r="13" spans="1:13">
      <c r="A13" t="str">
        <f>results!A14</f>
        <v>Chlorobenzene</v>
      </c>
      <c r="B13">
        <f>results!B14</f>
        <v>2.4153683486401473E-2</v>
      </c>
      <c r="C13">
        <f>results!C14</f>
        <v>0.58474354758357783</v>
      </c>
      <c r="D13" s="1"/>
      <c r="E13" s="20"/>
      <c r="F13" s="9"/>
      <c r="G13" s="1"/>
      <c r="H13" s="1"/>
      <c r="I13" s="1"/>
    </row>
    <row r="14" spans="1:13">
      <c r="A14" t="str">
        <f>results!A15</f>
        <v>spiro-OMeTAD</v>
      </c>
      <c r="B14">
        <f>results!B15</f>
        <v>5.8990736460538019E-2</v>
      </c>
      <c r="C14">
        <f>results!C15</f>
        <v>0.95029313625411649</v>
      </c>
      <c r="D14" s="1"/>
      <c r="E14" s="20"/>
      <c r="F14" s="9"/>
      <c r="G14" s="1"/>
      <c r="H14" s="1"/>
      <c r="I14" s="1"/>
    </row>
    <row r="15" spans="1:13">
      <c r="A15" t="str">
        <f>results!A16</f>
        <v>HTFSI</v>
      </c>
      <c r="B15">
        <f>results!B16</f>
        <v>2.5239247726899154E-3</v>
      </c>
      <c r="C15">
        <f>results!C16</f>
        <v>3.9592547662353358E-2</v>
      </c>
      <c r="D15" s="1"/>
      <c r="E15" s="20"/>
      <c r="F15" s="9"/>
      <c r="G15" s="1"/>
      <c r="H15" s="1"/>
      <c r="I15" s="1"/>
    </row>
    <row r="16" spans="1:13">
      <c r="A16" t="str">
        <f>results!A17</f>
        <v>Acetonitrile</v>
      </c>
      <c r="B16">
        <f>results!B17</f>
        <v>1.0719123332325344E-3</v>
      </c>
      <c r="C16">
        <f>results!C17</f>
        <v>2.9014695842552819E-2</v>
      </c>
      <c r="D16" s="1"/>
      <c r="E16" s="20"/>
      <c r="F16" s="9"/>
      <c r="G16" s="1"/>
      <c r="H16" s="1"/>
      <c r="I16" s="1"/>
      <c r="L16" s="11"/>
    </row>
    <row r="17" spans="1:13">
      <c r="A17" t="str">
        <f>results!A18</f>
        <v>FK209</v>
      </c>
      <c r="B17">
        <f>results!B18</f>
        <v>0</v>
      </c>
      <c r="C17">
        <f>results!C18</f>
        <v>0</v>
      </c>
      <c r="D17" s="1"/>
      <c r="E17" s="20"/>
      <c r="F17" s="9"/>
      <c r="G17" s="1"/>
      <c r="H17" s="1"/>
      <c r="I17" s="1"/>
    </row>
    <row r="18" spans="1:13">
      <c r="A18" t="str">
        <f>results!A19</f>
        <v>4-tert-Butylpyridine</v>
      </c>
      <c r="B18">
        <f>results!B19</f>
        <v>1.9758472460220324E-3</v>
      </c>
      <c r="C18">
        <f>results!C19</f>
        <v>3.2400038484210532E-2</v>
      </c>
      <c r="D18" s="1"/>
      <c r="E18" s="20"/>
      <c r="F18" s="9"/>
      <c r="G18" s="1"/>
      <c r="H18" s="1"/>
      <c r="I18" s="1"/>
    </row>
    <row r="19" spans="1:13">
      <c r="A19" t="str">
        <f>results!A20</f>
        <v>Cu</v>
      </c>
      <c r="B19">
        <f>results!B20*0.18</f>
        <v>1.04104820736E-3</v>
      </c>
      <c r="C19">
        <f>results!C20*0.18</f>
        <v>1.4970259912753154E-2</v>
      </c>
      <c r="D19" s="20"/>
      <c r="E19" s="20"/>
      <c r="F19" s="9"/>
      <c r="G19" s="1"/>
      <c r="H19" s="9"/>
      <c r="I19" s="1"/>
    </row>
    <row r="21" spans="1:13">
      <c r="B21">
        <f>SUM(B2:B19)</f>
        <v>0.31446209301113015</v>
      </c>
      <c r="C21" s="53">
        <f>SUM(C2:C19)</f>
        <v>5.6420087862949089</v>
      </c>
    </row>
    <row r="24" spans="1:13">
      <c r="L24" s="11"/>
    </row>
    <row r="30" spans="1:13">
      <c r="L30" s="11"/>
    </row>
    <row r="31" spans="1:13">
      <c r="M31" s="21"/>
    </row>
    <row r="32" spans="1:13">
      <c r="L32" s="11"/>
    </row>
    <row r="42" spans="1:9">
      <c r="B42" s="11" t="str">
        <f>'energy consumption'!P2</f>
        <v>Carbon footprint</v>
      </c>
      <c r="C42" s="11" t="str">
        <f>'energy consumption'!Q2</f>
        <v>Primary energy consumption</v>
      </c>
    </row>
    <row r="43" spans="1:9">
      <c r="A43" s="11" t="s">
        <v>71</v>
      </c>
      <c r="B43">
        <f>'energy consumption'!P3</f>
        <v>2.8396800022717437</v>
      </c>
      <c r="C43">
        <f>'energy consumption'!Q3</f>
        <v>49.96641093677313</v>
      </c>
    </row>
    <row r="44" spans="1:9">
      <c r="A44" s="11" t="s">
        <v>72</v>
      </c>
      <c r="B44">
        <v>0</v>
      </c>
      <c r="C44">
        <v>0</v>
      </c>
      <c r="H44">
        <f>B21-SUM('recycling level'!C3:C20)</f>
        <v>0</v>
      </c>
      <c r="I44">
        <f>C21-SUM('recycling level'!AB3:AB20)</f>
        <v>0</v>
      </c>
    </row>
    <row r="45" spans="1:9">
      <c r="A45" s="11" t="s">
        <v>153</v>
      </c>
      <c r="B45">
        <v>0</v>
      </c>
      <c r="C45">
        <v>0</v>
      </c>
      <c r="H45">
        <f>B53-SUM('recycling level'!C21:C30)</f>
        <v>0</v>
      </c>
      <c r="I45">
        <f>C53-SUM('recycling level'!AB21:AB30)</f>
        <v>0</v>
      </c>
    </row>
    <row r="46" spans="1:9">
      <c r="A46" s="11" t="s">
        <v>154</v>
      </c>
      <c r="B46">
        <v>0</v>
      </c>
      <c r="C46">
        <v>0</v>
      </c>
    </row>
    <row r="47" spans="1:9">
      <c r="A47" s="11" t="s">
        <v>155</v>
      </c>
      <c r="B47">
        <f>'energy consumption'!P7</f>
        <v>8.4576274476780081E-2</v>
      </c>
      <c r="C47">
        <f>'energy consumption'!Q7</f>
        <v>1.4881863036072136</v>
      </c>
    </row>
    <row r="48" spans="1:9">
      <c r="A48" s="11" t="s">
        <v>156</v>
      </c>
      <c r="B48">
        <f>'energy consumption'!P8</f>
        <v>8.2436494732517538</v>
      </c>
      <c r="C48">
        <f>'energy consumption'!Q8</f>
        <v>145.05351901259513</v>
      </c>
    </row>
    <row r="49" spans="1:12">
      <c r="A49" s="11" t="s">
        <v>157</v>
      </c>
      <c r="B49">
        <f>'energy consumption'!P9</f>
        <v>15.334272012267418</v>
      </c>
      <c r="C49">
        <f>'energy consumption'!Q9</f>
        <v>269.81861905857494</v>
      </c>
      <c r="L49" s="11"/>
    </row>
    <row r="50" spans="1:12">
      <c r="A50" s="11" t="s">
        <v>158</v>
      </c>
      <c r="B50">
        <f>'energy consumption'!P10</f>
        <v>1.5223729405820419</v>
      </c>
      <c r="C50">
        <f>'energy consumption'!Q10</f>
        <v>26.787353464929854</v>
      </c>
    </row>
    <row r="51" spans="1:12">
      <c r="A51" s="11" t="s">
        <v>79</v>
      </c>
      <c r="B51">
        <f>'energy consumption'!P11</f>
        <v>5.0088800040071035</v>
      </c>
      <c r="C51">
        <f>'energy consumption'!Q11</f>
        <v>88.135197069030383</v>
      </c>
    </row>
    <row r="52" spans="1:12">
      <c r="A52" s="11" t="s">
        <v>163</v>
      </c>
      <c r="B52">
        <f>'energy consumption'!$P$13</f>
        <v>1.6328160013062525E-2</v>
      </c>
      <c r="C52">
        <f>'energy consumption'!$Q$13</f>
        <v>0.28730686288644547</v>
      </c>
    </row>
    <row r="53" spans="1:12">
      <c r="B53">
        <f>SUM(B43:B52)</f>
        <v>33.049758866869901</v>
      </c>
      <c r="C53" s="53">
        <f>SUM(C43:C52)</f>
        <v>581.53659270839717</v>
      </c>
    </row>
    <row r="68" spans="4:6">
      <c r="D68" t="s">
        <v>10</v>
      </c>
      <c r="E68">
        <v>3.6067691999999998E-2</v>
      </c>
      <c r="F68">
        <v>1.0715802776700001</v>
      </c>
    </row>
    <row r="69" spans="4:6">
      <c r="D69" t="s">
        <v>12</v>
      </c>
      <c r="E69">
        <v>5.6916582000000001E-5</v>
      </c>
      <c r="F69">
        <v>7.8310930304560005E-4</v>
      </c>
    </row>
    <row r="70" spans="4:6">
      <c r="D70" t="s">
        <v>10</v>
      </c>
      <c r="E70">
        <v>5.0232916363636372E-4</v>
      </c>
      <c r="F70">
        <v>1.492432686436364E-2</v>
      </c>
    </row>
  </sheetData>
  <phoneticPr fontId="7"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2E5E8-692A-4800-B8C8-10EA5DA2392F}">
  <dimension ref="A1:AY45"/>
  <sheetViews>
    <sheetView workbookViewId="0">
      <pane xSplit="1" topLeftCell="B1" activePane="topRight" state="frozen"/>
      <selection pane="topRight" activeCell="AB21" sqref="AB21:AB30"/>
    </sheetView>
  </sheetViews>
  <sheetFormatPr defaultRowHeight="15"/>
  <cols>
    <col min="1" max="2" width="26.5703125" style="1" customWidth="1"/>
    <col min="3" max="3" width="9.28515625" bestFit="1" customWidth="1"/>
    <col min="5" max="5" width="11" bestFit="1" customWidth="1"/>
    <col min="7" max="7" width="11" bestFit="1" customWidth="1"/>
    <col min="9" max="9" width="11" bestFit="1" customWidth="1"/>
    <col min="11" max="11" width="9.28515625" bestFit="1" customWidth="1"/>
    <col min="13" max="13" width="11" bestFit="1" customWidth="1"/>
    <col min="15" max="15" width="11" bestFit="1" customWidth="1"/>
    <col min="17" max="17" width="11" bestFit="1" customWidth="1"/>
    <col min="19" max="19" width="9.28515625" bestFit="1" customWidth="1"/>
    <col min="21" max="21" width="11" bestFit="1" customWidth="1"/>
    <col min="23" max="23" width="11" bestFit="1" customWidth="1"/>
    <col min="25" max="25" width="11" bestFit="1" customWidth="1"/>
    <col min="27" max="27" width="30" customWidth="1"/>
  </cols>
  <sheetData>
    <row r="1" spans="1:51">
      <c r="C1" s="34" t="s">
        <v>133</v>
      </c>
      <c r="D1" s="34" t="s">
        <v>134</v>
      </c>
      <c r="E1" s="34" t="s">
        <v>133</v>
      </c>
      <c r="F1" s="34" t="s">
        <v>134</v>
      </c>
      <c r="G1" s="34" t="s">
        <v>133</v>
      </c>
      <c r="H1" s="34" t="s">
        <v>134</v>
      </c>
      <c r="I1" s="34" t="s">
        <v>133</v>
      </c>
      <c r="J1" s="34" t="s">
        <v>134</v>
      </c>
      <c r="K1" s="36" t="s">
        <v>133</v>
      </c>
      <c r="L1" s="36" t="s">
        <v>134</v>
      </c>
      <c r="M1" s="36" t="s">
        <v>133</v>
      </c>
      <c r="N1" s="36" t="s">
        <v>134</v>
      </c>
      <c r="O1" s="36" t="s">
        <v>133</v>
      </c>
      <c r="P1" s="36" t="s">
        <v>134</v>
      </c>
      <c r="Q1" s="36" t="s">
        <v>133</v>
      </c>
      <c r="R1" s="36" t="s">
        <v>134</v>
      </c>
      <c r="S1" s="34" t="s">
        <v>133</v>
      </c>
      <c r="T1" s="34" t="s">
        <v>134</v>
      </c>
      <c r="U1" s="34" t="s">
        <v>133</v>
      </c>
      <c r="V1" s="34" t="s">
        <v>134</v>
      </c>
      <c r="W1" s="34" t="s">
        <v>133</v>
      </c>
      <c r="X1" s="34" t="s">
        <v>134</v>
      </c>
      <c r="Y1" s="34" t="s">
        <v>133</v>
      </c>
      <c r="Z1" s="34" t="s">
        <v>134</v>
      </c>
      <c r="AB1" s="34" t="s">
        <v>133</v>
      </c>
      <c r="AC1" s="34" t="s">
        <v>134</v>
      </c>
      <c r="AD1" s="34" t="s">
        <v>133</v>
      </c>
      <c r="AE1" s="34" t="s">
        <v>134</v>
      </c>
      <c r="AF1" s="34" t="s">
        <v>133</v>
      </c>
      <c r="AG1" s="34" t="s">
        <v>134</v>
      </c>
      <c r="AH1" s="34" t="s">
        <v>133</v>
      </c>
      <c r="AI1" s="34" t="s">
        <v>134</v>
      </c>
      <c r="AJ1" s="36" t="s">
        <v>133</v>
      </c>
      <c r="AK1" s="36" t="s">
        <v>134</v>
      </c>
      <c r="AL1" s="36" t="s">
        <v>133</v>
      </c>
      <c r="AM1" s="36" t="s">
        <v>134</v>
      </c>
      <c r="AN1" s="36" t="s">
        <v>133</v>
      </c>
      <c r="AO1" s="36" t="s">
        <v>134</v>
      </c>
      <c r="AP1" s="36" t="s">
        <v>133</v>
      </c>
      <c r="AQ1" s="36" t="s">
        <v>134</v>
      </c>
      <c r="AR1" s="34" t="s">
        <v>133</v>
      </c>
      <c r="AS1" s="34" t="s">
        <v>134</v>
      </c>
      <c r="AT1" s="34" t="s">
        <v>133</v>
      </c>
      <c r="AU1" s="34" t="s">
        <v>134</v>
      </c>
      <c r="AV1" s="34" t="s">
        <v>133</v>
      </c>
      <c r="AW1" s="34" t="s">
        <v>134</v>
      </c>
      <c r="AX1" s="34" t="s">
        <v>133</v>
      </c>
      <c r="AY1" s="34" t="s">
        <v>134</v>
      </c>
    </row>
    <row r="2" spans="1:51">
      <c r="B2" s="1" t="str">
        <f>results!B1</f>
        <v>Carbon footprint</v>
      </c>
      <c r="C2" s="35">
        <v>1</v>
      </c>
      <c r="D2" s="35">
        <v>1</v>
      </c>
      <c r="E2" s="35">
        <v>1</v>
      </c>
      <c r="F2" s="35">
        <v>0.9</v>
      </c>
      <c r="G2" s="35">
        <v>1</v>
      </c>
      <c r="H2" s="35">
        <v>0.8</v>
      </c>
      <c r="I2" s="35">
        <v>1</v>
      </c>
      <c r="J2" s="35">
        <v>0.7</v>
      </c>
      <c r="K2" s="37">
        <v>0.95</v>
      </c>
      <c r="L2" s="37">
        <v>1</v>
      </c>
      <c r="M2" s="37">
        <v>0.95</v>
      </c>
      <c r="N2" s="37">
        <v>0.9</v>
      </c>
      <c r="O2" s="37">
        <v>0.95</v>
      </c>
      <c r="P2" s="37">
        <v>0.8</v>
      </c>
      <c r="Q2" s="37">
        <v>0.95</v>
      </c>
      <c r="R2" s="37">
        <v>0.7</v>
      </c>
      <c r="S2" s="35">
        <v>0.9</v>
      </c>
      <c r="T2" s="35">
        <v>1</v>
      </c>
      <c r="U2" s="35">
        <v>0.9</v>
      </c>
      <c r="V2" s="35">
        <v>0.9</v>
      </c>
      <c r="W2" s="35">
        <v>0.9</v>
      </c>
      <c r="X2" s="35">
        <v>0.8</v>
      </c>
      <c r="Y2" s="35">
        <v>0.9</v>
      </c>
      <c r="Z2" s="35">
        <v>0.7</v>
      </c>
      <c r="AA2" s="1" t="str">
        <f>results!C1</f>
        <v>Primary energy consumption</v>
      </c>
      <c r="AB2" s="35">
        <v>1</v>
      </c>
      <c r="AC2" s="35">
        <v>1</v>
      </c>
      <c r="AD2" s="35">
        <v>1</v>
      </c>
      <c r="AE2" s="35">
        <v>0.9</v>
      </c>
      <c r="AF2" s="35">
        <v>1</v>
      </c>
      <c r="AG2" s="35">
        <v>0.8</v>
      </c>
      <c r="AH2" s="35">
        <v>1</v>
      </c>
      <c r="AI2" s="35">
        <v>0.7</v>
      </c>
      <c r="AJ2" s="37">
        <v>0.95</v>
      </c>
      <c r="AK2" s="37">
        <v>1</v>
      </c>
      <c r="AL2" s="37">
        <v>0.95</v>
      </c>
      <c r="AM2" s="37">
        <v>0.9</v>
      </c>
      <c r="AN2" s="37">
        <v>0.95</v>
      </c>
      <c r="AO2" s="37">
        <v>0.8</v>
      </c>
      <c r="AP2" s="37">
        <v>0.95</v>
      </c>
      <c r="AQ2" s="37">
        <v>0.7</v>
      </c>
      <c r="AR2" s="35">
        <v>0.9</v>
      </c>
      <c r="AS2" s="35">
        <v>1</v>
      </c>
      <c r="AT2" s="35">
        <v>0.9</v>
      </c>
      <c r="AU2" s="35">
        <v>0.9</v>
      </c>
      <c r="AV2" s="35">
        <v>0.9</v>
      </c>
      <c r="AW2" s="35">
        <v>0.8</v>
      </c>
      <c r="AX2" s="35">
        <v>0.9</v>
      </c>
      <c r="AY2" s="35">
        <v>0.7</v>
      </c>
    </row>
    <row r="3" spans="1:51" s="47" customFormat="1">
      <c r="A3" s="32" t="str">
        <f>results!A2</f>
        <v>FTO glass</v>
      </c>
      <c r="B3" s="32">
        <f>results!B2</f>
        <v>3.4780676817599994</v>
      </c>
      <c r="C3" s="47">
        <f>$B3*(1-D$2)</f>
        <v>0</v>
      </c>
      <c r="E3" s="47">
        <f>$B3*(1-F$2)</f>
        <v>0.34780676817599987</v>
      </c>
      <c r="G3" s="47">
        <f>$B3*(1-H$2)</f>
        <v>0.69561353635199974</v>
      </c>
      <c r="I3" s="47">
        <f>$B3*(1-J$2)</f>
        <v>1.0434203045279999</v>
      </c>
      <c r="K3" s="47">
        <f>$B3*(1-L$2)</f>
        <v>0</v>
      </c>
      <c r="M3" s="47">
        <f>$B3*(1-N$2)</f>
        <v>0.34780676817599987</v>
      </c>
      <c r="O3" s="47">
        <f>$B3*(1-P$2)</f>
        <v>0.69561353635199974</v>
      </c>
      <c r="Q3" s="47">
        <f>$B3*(1-R$2)</f>
        <v>1.0434203045279999</v>
      </c>
      <c r="S3" s="47">
        <f>$B3*(1-T$2)</f>
        <v>0</v>
      </c>
      <c r="U3" s="47">
        <f>$B3*(1-V$2)</f>
        <v>0.34780676817599987</v>
      </c>
      <c r="W3" s="47">
        <f>$B3*(1-X$2)</f>
        <v>0.69561353635199974</v>
      </c>
      <c r="Y3" s="47">
        <f>$B3*(1-Z$2)</f>
        <v>1.0434203045279999</v>
      </c>
      <c r="AA3" s="12">
        <f>results!C2</f>
        <v>85.029036949120112</v>
      </c>
      <c r="AB3" s="47">
        <f>$AA3*(1-AC$2)</f>
        <v>0</v>
      </c>
      <c r="AD3" s="47">
        <f>$AA3*(1-AE$2)</f>
        <v>8.5029036949120087</v>
      </c>
      <c r="AF3" s="47">
        <f>$AA3*(1-AG$2)</f>
        <v>17.005807389824017</v>
      </c>
      <c r="AH3" s="47">
        <f>$AA3*(1-AI$2)</f>
        <v>25.508711084736039</v>
      </c>
      <c r="AJ3" s="47">
        <f>$AA3*(1-AK$2)</f>
        <v>0</v>
      </c>
      <c r="AL3" s="47">
        <f>$AA3*(1-AM$2)</f>
        <v>8.5029036949120087</v>
      </c>
      <c r="AN3" s="47">
        <f>$AA3*(1-AO$2)</f>
        <v>17.005807389824017</v>
      </c>
      <c r="AP3" s="47">
        <f>$AA3*(1-AQ$2)</f>
        <v>25.508711084736039</v>
      </c>
      <c r="AR3" s="47">
        <f>$AA3*(1-AS$2)</f>
        <v>0</v>
      </c>
      <c r="AT3" s="47">
        <f>$AA3*(1-AU$2)</f>
        <v>8.5029036949120087</v>
      </c>
      <c r="AV3" s="47">
        <f>$AA3*(1-AW$2)</f>
        <v>17.005807389824017</v>
      </c>
      <c r="AX3" s="47">
        <f>$AA3*(1-AY$2)</f>
        <v>25.508711084736039</v>
      </c>
    </row>
    <row r="4" spans="1:51" s="47" customFormat="1">
      <c r="A4" s="32" t="str">
        <f>results!A3</f>
        <v>Ethanol</v>
      </c>
      <c r="B4" s="32">
        <f>results!B3</f>
        <v>7.2422429236363647E-2</v>
      </c>
      <c r="C4" s="47">
        <f t="shared" ref="C4:E7" si="0">$B4*(1-D$2)</f>
        <v>0</v>
      </c>
      <c r="E4" s="47">
        <f t="shared" si="0"/>
        <v>7.242242923636363E-3</v>
      </c>
      <c r="G4" s="47">
        <f t="shared" ref="G4" si="1">$B4*(1-H$2)</f>
        <v>1.4484485847272726E-2</v>
      </c>
      <c r="I4" s="47">
        <f t="shared" ref="I4" si="2">$B4*(1-J$2)</f>
        <v>2.1726728770909098E-2</v>
      </c>
      <c r="K4" s="47">
        <f t="shared" ref="K4" si="3">$B4*(1-L$2)</f>
        <v>0</v>
      </c>
      <c r="M4" s="47">
        <f t="shared" ref="M4" si="4">$B4*(1-N$2)</f>
        <v>7.242242923636363E-3</v>
      </c>
      <c r="O4" s="47">
        <f t="shared" ref="O4" si="5">$B4*(1-P$2)</f>
        <v>1.4484485847272726E-2</v>
      </c>
      <c r="Q4" s="47">
        <f t="shared" ref="Q4" si="6">$B4*(1-R$2)</f>
        <v>2.1726728770909098E-2</v>
      </c>
      <c r="S4" s="47">
        <f t="shared" ref="S4" si="7">$B4*(1-T$2)</f>
        <v>0</v>
      </c>
      <c r="U4" s="47">
        <f t="shared" ref="U4" si="8">$B4*(1-V$2)</f>
        <v>7.242242923636363E-3</v>
      </c>
      <c r="W4" s="47">
        <f t="shared" ref="W4" si="9">$B4*(1-X$2)</f>
        <v>1.4484485847272726E-2</v>
      </c>
      <c r="Y4" s="47">
        <f t="shared" ref="Y4" si="10">$B4*(1-Z$2)</f>
        <v>2.1726728770909098E-2</v>
      </c>
      <c r="AA4" s="12">
        <f>results!C3</f>
        <v>2.1516887421196365</v>
      </c>
      <c r="AB4" s="47">
        <f t="shared" ref="AB4:AD7" si="11">$AA4*(1-AC$2)</f>
        <v>0</v>
      </c>
      <c r="AD4" s="47">
        <f t="shared" si="11"/>
        <v>0.2151688742119636</v>
      </c>
      <c r="AF4" s="47">
        <f t="shared" ref="AF4" si="12">$AA4*(1-AG$2)</f>
        <v>0.43033774842392719</v>
      </c>
      <c r="AH4" s="47">
        <f t="shared" ref="AH4" si="13">$AA4*(1-AI$2)</f>
        <v>0.64550662263589098</v>
      </c>
      <c r="AJ4" s="47">
        <f t="shared" ref="AJ4" si="14">$AA4*(1-AK$2)</f>
        <v>0</v>
      </c>
      <c r="AL4" s="47">
        <f t="shared" ref="AL4" si="15">$AA4*(1-AM$2)</f>
        <v>0.2151688742119636</v>
      </c>
      <c r="AN4" s="47">
        <f t="shared" ref="AN4" si="16">$AA4*(1-AO$2)</f>
        <v>0.43033774842392719</v>
      </c>
      <c r="AP4" s="47">
        <f t="shared" ref="AP4" si="17">$AA4*(1-AQ$2)</f>
        <v>0.64550662263589098</v>
      </c>
      <c r="AR4" s="47">
        <f t="shared" ref="AR4" si="18">$AA4*(1-AS$2)</f>
        <v>0</v>
      </c>
      <c r="AT4" s="47">
        <f t="shared" ref="AT4" si="19">$AA4*(1-AU$2)</f>
        <v>0.2151688742119636</v>
      </c>
      <c r="AV4" s="47">
        <f t="shared" ref="AV4" si="20">$AA4*(1-AW$2)</f>
        <v>0.43033774842392719</v>
      </c>
      <c r="AX4" s="47">
        <f t="shared" ref="AX4" si="21">$AA4*(1-AY$2)</f>
        <v>0.64550662263589098</v>
      </c>
    </row>
    <row r="5" spans="1:51" s="47" customFormat="1">
      <c r="A5" s="32" t="str">
        <f>results!A5</f>
        <v>Deionized water</v>
      </c>
      <c r="B5" s="32">
        <f>results!B5</f>
        <v>5.6916582000000001E-5</v>
      </c>
      <c r="C5" s="47">
        <f t="shared" si="0"/>
        <v>0</v>
      </c>
      <c r="E5" s="47">
        <f t="shared" si="0"/>
        <v>5.6916581999999992E-6</v>
      </c>
      <c r="G5" s="47">
        <f t="shared" ref="G5" si="22">$B5*(1-H$2)</f>
        <v>1.1383316399999998E-5</v>
      </c>
      <c r="I5" s="47">
        <f t="shared" ref="I5" si="23">$B5*(1-J$2)</f>
        <v>1.7074974600000004E-5</v>
      </c>
      <c r="K5" s="47">
        <f t="shared" ref="K5" si="24">$B5*(1-L$2)</f>
        <v>0</v>
      </c>
      <c r="M5" s="47">
        <f t="shared" ref="M5" si="25">$B5*(1-N$2)</f>
        <v>5.6916581999999992E-6</v>
      </c>
      <c r="O5" s="47">
        <f t="shared" ref="O5" si="26">$B5*(1-P$2)</f>
        <v>1.1383316399999998E-5</v>
      </c>
      <c r="Q5" s="47">
        <f t="shared" ref="Q5" si="27">$B5*(1-R$2)</f>
        <v>1.7074974600000004E-5</v>
      </c>
      <c r="S5" s="47">
        <f t="shared" ref="S5" si="28">$B5*(1-T$2)</f>
        <v>0</v>
      </c>
      <c r="U5" s="47">
        <f t="shared" ref="U5" si="29">$B5*(1-V$2)</f>
        <v>5.6916581999999992E-6</v>
      </c>
      <c r="W5" s="47">
        <f t="shared" ref="W5" si="30">$B5*(1-X$2)</f>
        <v>1.1383316399999998E-5</v>
      </c>
      <c r="Y5" s="47">
        <f t="shared" ref="Y5" si="31">$B5*(1-Z$2)</f>
        <v>1.7074974600000004E-5</v>
      </c>
      <c r="AA5" s="12">
        <f>results!C5</f>
        <v>7.8310930304560005E-4</v>
      </c>
      <c r="AB5" s="47">
        <f t="shared" si="11"/>
        <v>0</v>
      </c>
      <c r="AD5" s="47">
        <f t="shared" si="11"/>
        <v>7.8310930304559991E-5</v>
      </c>
      <c r="AF5" s="47">
        <f t="shared" ref="AF5" si="32">$AA5*(1-AG$2)</f>
        <v>1.5662186060911998E-4</v>
      </c>
      <c r="AH5" s="47">
        <f t="shared" ref="AH5" si="33">$AA5*(1-AI$2)</f>
        <v>2.3493279091368004E-4</v>
      </c>
      <c r="AJ5" s="47">
        <f t="shared" ref="AJ5" si="34">$AA5*(1-AK$2)</f>
        <v>0</v>
      </c>
      <c r="AL5" s="47">
        <f t="shared" ref="AL5" si="35">$AA5*(1-AM$2)</f>
        <v>7.8310930304559991E-5</v>
      </c>
      <c r="AN5" s="47">
        <f t="shared" ref="AN5" si="36">$AA5*(1-AO$2)</f>
        <v>1.5662186060911998E-4</v>
      </c>
      <c r="AP5" s="47">
        <f t="shared" ref="AP5" si="37">$AA5*(1-AQ$2)</f>
        <v>2.3493279091368004E-4</v>
      </c>
      <c r="AR5" s="47">
        <f t="shared" ref="AR5" si="38">$AA5*(1-AS$2)</f>
        <v>0</v>
      </c>
      <c r="AT5" s="47">
        <f t="shared" ref="AT5" si="39">$AA5*(1-AU$2)</f>
        <v>7.8310930304559991E-5</v>
      </c>
      <c r="AV5" s="47">
        <f t="shared" ref="AV5" si="40">$AA5*(1-AW$2)</f>
        <v>1.5662186060911998E-4</v>
      </c>
      <c r="AX5" s="47">
        <f t="shared" ref="AX5" si="41">$AA5*(1-AY$2)</f>
        <v>2.3493279091368004E-4</v>
      </c>
    </row>
    <row r="6" spans="1:51" s="47" customFormat="1">
      <c r="A6" s="32" t="str">
        <f>results!A6</f>
        <v>BL-TiO₂ ink</v>
      </c>
      <c r="B6" s="32">
        <f>results!B6</f>
        <v>1.1382696060619051E-2</v>
      </c>
      <c r="C6" s="47">
        <f t="shared" si="0"/>
        <v>0</v>
      </c>
      <c r="E6" s="47">
        <f t="shared" si="0"/>
        <v>1.1382696060619048E-3</v>
      </c>
      <c r="G6" s="47">
        <f t="shared" ref="G6" si="42">$B6*(1-H$2)</f>
        <v>2.2765392121238096E-3</v>
      </c>
      <c r="I6" s="47">
        <f t="shared" ref="I6" si="43">$B6*(1-J$2)</f>
        <v>3.4148088181857159E-3</v>
      </c>
      <c r="K6" s="47">
        <f t="shared" ref="K6" si="44">$B6*(1-L$2)</f>
        <v>0</v>
      </c>
      <c r="M6" s="47">
        <f t="shared" ref="M6" si="45">$B6*(1-N$2)</f>
        <v>1.1382696060619048E-3</v>
      </c>
      <c r="O6" s="47">
        <f t="shared" ref="O6" si="46">$B6*(1-P$2)</f>
        <v>2.2765392121238096E-3</v>
      </c>
      <c r="Q6" s="47">
        <f t="shared" ref="Q6" si="47">$B6*(1-R$2)</f>
        <v>3.4148088181857159E-3</v>
      </c>
      <c r="S6" s="47">
        <f t="shared" ref="S6" si="48">$B6*(1-T$2)</f>
        <v>0</v>
      </c>
      <c r="U6" s="47">
        <f t="shared" ref="U6" si="49">$B6*(1-V$2)</f>
        <v>1.1382696060619048E-3</v>
      </c>
      <c r="W6" s="47">
        <f t="shared" ref="W6" si="50">$B6*(1-X$2)</f>
        <v>2.2765392121238096E-3</v>
      </c>
      <c r="Y6" s="47">
        <f t="shared" ref="Y6" si="51">$B6*(1-Z$2)</f>
        <v>3.4148088181857159E-3</v>
      </c>
      <c r="AA6" s="12">
        <f>results!C6</f>
        <v>0.3085047812739285</v>
      </c>
      <c r="AB6" s="47">
        <f t="shared" si="11"/>
        <v>0</v>
      </c>
      <c r="AD6" s="47">
        <f t="shared" si="11"/>
        <v>3.0850478127392843E-2</v>
      </c>
      <c r="AF6" s="47">
        <f t="shared" ref="AF6" si="52">$AA6*(1-AG$2)</f>
        <v>6.1700956254785687E-2</v>
      </c>
      <c r="AH6" s="47">
        <f t="shared" ref="AH6" si="53">$AA6*(1-AI$2)</f>
        <v>9.2551434382178568E-2</v>
      </c>
      <c r="AJ6" s="47">
        <f t="shared" ref="AJ6" si="54">$AA6*(1-AK$2)</f>
        <v>0</v>
      </c>
      <c r="AL6" s="47">
        <f t="shared" ref="AL6" si="55">$AA6*(1-AM$2)</f>
        <v>3.0850478127392843E-2</v>
      </c>
      <c r="AN6" s="47">
        <f t="shared" ref="AN6" si="56">$AA6*(1-AO$2)</f>
        <v>6.1700956254785687E-2</v>
      </c>
      <c r="AP6" s="47">
        <f t="shared" ref="AP6" si="57">$AA6*(1-AQ$2)</f>
        <v>9.2551434382178568E-2</v>
      </c>
      <c r="AR6" s="47">
        <f t="shared" ref="AR6" si="58">$AA6*(1-AS$2)</f>
        <v>0</v>
      </c>
      <c r="AT6" s="47">
        <f t="shared" ref="AT6" si="59">$AA6*(1-AU$2)</f>
        <v>3.0850478127392843E-2</v>
      </c>
      <c r="AV6" s="47">
        <f t="shared" ref="AV6" si="60">$AA6*(1-AW$2)</f>
        <v>6.1700956254785687E-2</v>
      </c>
      <c r="AX6" s="47">
        <f t="shared" ref="AX6" si="61">$AA6*(1-AY$2)</f>
        <v>9.2551434382178568E-2</v>
      </c>
    </row>
    <row r="7" spans="1:51" s="47" customFormat="1">
      <c r="A7" s="32" t="str">
        <f>results!A7</f>
        <v>TiO₂</v>
      </c>
      <c r="B7" s="32">
        <f>results!B7</f>
        <v>9.6978672000000016E-3</v>
      </c>
      <c r="C7" s="47">
        <f t="shared" si="0"/>
        <v>0</v>
      </c>
      <c r="E7" s="47">
        <f t="shared" si="0"/>
        <v>9.6978671999999998E-4</v>
      </c>
      <c r="G7" s="47">
        <f t="shared" ref="G7" si="62">$B7*(1-H$2)</f>
        <v>1.93957344E-3</v>
      </c>
      <c r="I7" s="47">
        <f t="shared" ref="I7" si="63">$B7*(1-J$2)</f>
        <v>2.9093601600000008E-3</v>
      </c>
      <c r="K7" s="47">
        <f t="shared" ref="K7" si="64">$B7*(1-L$2)</f>
        <v>0</v>
      </c>
      <c r="M7" s="47">
        <f t="shared" ref="M7" si="65">$B7*(1-N$2)</f>
        <v>9.6978671999999998E-4</v>
      </c>
      <c r="O7" s="47">
        <f t="shared" ref="O7" si="66">$B7*(1-P$2)</f>
        <v>1.93957344E-3</v>
      </c>
      <c r="Q7" s="47">
        <f t="shared" ref="Q7" si="67">$B7*(1-R$2)</f>
        <v>2.9093601600000008E-3</v>
      </c>
      <c r="S7" s="47">
        <f t="shared" ref="S7" si="68">$B7*(1-T$2)</f>
        <v>0</v>
      </c>
      <c r="U7" s="47">
        <f t="shared" ref="U7" si="69">$B7*(1-V$2)</f>
        <v>9.6978671999999998E-4</v>
      </c>
      <c r="W7" s="47">
        <f t="shared" ref="W7" si="70">$B7*(1-X$2)</f>
        <v>1.93957344E-3</v>
      </c>
      <c r="Y7" s="47">
        <f t="shared" ref="Y7" si="71">$B7*(1-Z$2)</f>
        <v>2.9093601600000008E-3</v>
      </c>
      <c r="AA7" s="12">
        <f>results!C7</f>
        <v>0.10402164186408001</v>
      </c>
      <c r="AB7" s="47">
        <f t="shared" si="11"/>
        <v>0</v>
      </c>
      <c r="AD7" s="47">
        <f t="shared" si="11"/>
        <v>1.0402164186407999E-2</v>
      </c>
      <c r="AF7" s="47">
        <f t="shared" ref="AF7" si="72">$AA7*(1-AG$2)</f>
        <v>2.0804328372815997E-2</v>
      </c>
      <c r="AH7" s="47">
        <f t="shared" ref="AH7" si="73">$AA7*(1-AI$2)</f>
        <v>3.120649255922401E-2</v>
      </c>
      <c r="AJ7" s="47">
        <f t="shared" ref="AJ7" si="74">$AA7*(1-AK$2)</f>
        <v>0</v>
      </c>
      <c r="AL7" s="47">
        <f t="shared" ref="AL7" si="75">$AA7*(1-AM$2)</f>
        <v>1.0402164186407999E-2</v>
      </c>
      <c r="AN7" s="47">
        <f t="shared" ref="AN7" si="76">$AA7*(1-AO$2)</f>
        <v>2.0804328372815997E-2</v>
      </c>
      <c r="AP7" s="47">
        <f t="shared" ref="AP7" si="77">$AA7*(1-AQ$2)</f>
        <v>3.120649255922401E-2</v>
      </c>
      <c r="AR7" s="47">
        <f t="shared" ref="AR7" si="78">$AA7*(1-AS$2)</f>
        <v>0</v>
      </c>
      <c r="AT7" s="47">
        <f t="shared" ref="AT7" si="79">$AA7*(1-AU$2)</f>
        <v>1.0402164186407999E-2</v>
      </c>
      <c r="AV7" s="47">
        <f t="shared" ref="AV7" si="80">$AA7*(1-AW$2)</f>
        <v>2.0804328372815997E-2</v>
      </c>
      <c r="AX7" s="47">
        <f t="shared" ref="AX7" si="81">$AA7*(1-AY$2)</f>
        <v>3.120649255922401E-2</v>
      </c>
    </row>
    <row r="8" spans="1:51">
      <c r="A8" s="14" t="str">
        <f>results!A8</f>
        <v>FAI</v>
      </c>
      <c r="B8" s="14">
        <f>results!B8</f>
        <v>3.3631633504582502E-2</v>
      </c>
      <c r="C8" s="48">
        <f>$B8</f>
        <v>3.3631633504582502E-2</v>
      </c>
      <c r="D8" s="48"/>
      <c r="E8" s="48">
        <f>$B8</f>
        <v>3.3631633504582502E-2</v>
      </c>
      <c r="F8" s="48"/>
      <c r="G8" s="48">
        <f>$B8</f>
        <v>3.3631633504582502E-2</v>
      </c>
      <c r="H8" s="48"/>
      <c r="I8" s="48">
        <f>$B8</f>
        <v>3.3631633504582502E-2</v>
      </c>
      <c r="J8" s="48"/>
      <c r="K8" s="48">
        <f>$B8</f>
        <v>3.3631633504582502E-2</v>
      </c>
      <c r="L8" s="48"/>
      <c r="M8" s="48">
        <f>$B8</f>
        <v>3.3631633504582502E-2</v>
      </c>
      <c r="N8" s="48"/>
      <c r="O8" s="48">
        <f>$B8</f>
        <v>3.3631633504582502E-2</v>
      </c>
      <c r="P8" s="48"/>
      <c r="Q8" s="48">
        <f>$B8</f>
        <v>3.3631633504582502E-2</v>
      </c>
      <c r="R8" s="48"/>
      <c r="S8" s="48">
        <f>$B8</f>
        <v>3.3631633504582502E-2</v>
      </c>
      <c r="T8" s="48"/>
      <c r="U8" s="48">
        <f>$B8</f>
        <v>3.3631633504582502E-2</v>
      </c>
      <c r="V8" s="48"/>
      <c r="W8" s="48">
        <f>$B8</f>
        <v>3.3631633504582502E-2</v>
      </c>
      <c r="X8" s="48"/>
      <c r="Y8" s="48">
        <f>$B8</f>
        <v>3.3631633504582502E-2</v>
      </c>
      <c r="AA8" s="17">
        <f>results!C8</f>
        <v>0.59575957692753112</v>
      </c>
      <c r="AB8" s="48">
        <f>$AA8</f>
        <v>0.59575957692753112</v>
      </c>
      <c r="AD8" s="48">
        <f>$AA8</f>
        <v>0.59575957692753112</v>
      </c>
      <c r="AF8" s="48">
        <f>$AA8</f>
        <v>0.59575957692753112</v>
      </c>
      <c r="AH8" s="48">
        <f>$AA8</f>
        <v>0.59575957692753112</v>
      </c>
      <c r="AJ8" s="48">
        <f>$AA8</f>
        <v>0.59575957692753112</v>
      </c>
      <c r="AL8" s="48">
        <f>$AA8</f>
        <v>0.59575957692753112</v>
      </c>
      <c r="AN8" s="48">
        <f>$AA8</f>
        <v>0.59575957692753112</v>
      </c>
      <c r="AP8" s="48">
        <f>$AA8</f>
        <v>0.59575957692753112</v>
      </c>
      <c r="AR8" s="48">
        <f>$AA8</f>
        <v>0.59575957692753112</v>
      </c>
      <c r="AT8" s="48">
        <f>$AA8</f>
        <v>0.59575957692753112</v>
      </c>
      <c r="AV8" s="48">
        <f>$AA8</f>
        <v>0.59575957692753112</v>
      </c>
      <c r="AX8" s="48">
        <f>$AA8</f>
        <v>0.59575957692753112</v>
      </c>
    </row>
    <row r="9" spans="1:51">
      <c r="A9" s="14" t="str">
        <f>results!A9</f>
        <v>PbI₂</v>
      </c>
      <c r="B9" s="14">
        <f>results!B9</f>
        <v>5.2897034213452822E-3</v>
      </c>
      <c r="C9" s="48">
        <f t="shared" ref="C9:Y21" si="82">$B9</f>
        <v>5.2897034213452822E-3</v>
      </c>
      <c r="D9" s="48"/>
      <c r="E9" s="48">
        <f t="shared" si="82"/>
        <v>5.2897034213452822E-3</v>
      </c>
      <c r="F9" s="48"/>
      <c r="G9" s="48">
        <f t="shared" si="82"/>
        <v>5.2897034213452822E-3</v>
      </c>
      <c r="H9" s="48"/>
      <c r="I9" s="48">
        <f t="shared" si="82"/>
        <v>5.2897034213452822E-3</v>
      </c>
      <c r="J9" s="48"/>
      <c r="K9" s="48">
        <f t="shared" si="82"/>
        <v>5.2897034213452822E-3</v>
      </c>
      <c r="L9" s="48"/>
      <c r="M9" s="48">
        <f t="shared" si="82"/>
        <v>5.2897034213452822E-3</v>
      </c>
      <c r="N9" s="48"/>
      <c r="O9" s="48">
        <f t="shared" si="82"/>
        <v>5.2897034213452822E-3</v>
      </c>
      <c r="P9" s="48"/>
      <c r="Q9" s="48">
        <f t="shared" si="82"/>
        <v>5.2897034213452822E-3</v>
      </c>
      <c r="R9" s="48"/>
      <c r="S9" s="48">
        <f t="shared" si="82"/>
        <v>5.2897034213452822E-3</v>
      </c>
      <c r="T9" s="48"/>
      <c r="U9" s="48">
        <f t="shared" si="82"/>
        <v>5.2897034213452822E-3</v>
      </c>
      <c r="V9" s="48"/>
      <c r="W9" s="48">
        <f t="shared" si="82"/>
        <v>5.2897034213452822E-3</v>
      </c>
      <c r="X9" s="48"/>
      <c r="Y9" s="48">
        <f t="shared" si="82"/>
        <v>5.2897034213452822E-3</v>
      </c>
      <c r="AA9" s="17">
        <f>results!C9</f>
        <v>6.2900780904729572E-2</v>
      </c>
      <c r="AB9" s="48">
        <f t="shared" ref="AB9:AX21" si="83">$AA9</f>
        <v>6.2900780904729572E-2</v>
      </c>
      <c r="AD9" s="48">
        <f t="shared" si="83"/>
        <v>6.2900780904729572E-2</v>
      </c>
      <c r="AF9" s="48">
        <f t="shared" si="83"/>
        <v>6.2900780904729572E-2</v>
      </c>
      <c r="AH9" s="48">
        <f t="shared" si="83"/>
        <v>6.2900780904729572E-2</v>
      </c>
      <c r="AJ9" s="48">
        <f t="shared" si="83"/>
        <v>6.2900780904729572E-2</v>
      </c>
      <c r="AL9" s="48">
        <f t="shared" si="83"/>
        <v>6.2900780904729572E-2</v>
      </c>
      <c r="AN9" s="48">
        <f t="shared" si="83"/>
        <v>6.2900780904729572E-2</v>
      </c>
      <c r="AP9" s="48">
        <f t="shared" si="83"/>
        <v>6.2900780904729572E-2</v>
      </c>
      <c r="AR9" s="48">
        <f t="shared" si="83"/>
        <v>6.2900780904729572E-2</v>
      </c>
      <c r="AT9" s="48">
        <f t="shared" si="83"/>
        <v>6.2900780904729572E-2</v>
      </c>
      <c r="AV9" s="48">
        <f t="shared" si="83"/>
        <v>6.2900780904729572E-2</v>
      </c>
      <c r="AX9" s="48">
        <f t="shared" si="83"/>
        <v>6.2900780904729572E-2</v>
      </c>
    </row>
    <row r="10" spans="1:51">
      <c r="A10" s="14" t="str">
        <f>results!A10</f>
        <v>MABr</v>
      </c>
      <c r="B10" s="14">
        <f>results!B10</f>
        <v>0.17984551647235406</v>
      </c>
      <c r="C10" s="48">
        <f t="shared" si="82"/>
        <v>0.17984551647235406</v>
      </c>
      <c r="D10" s="48"/>
      <c r="E10" s="48">
        <f t="shared" si="82"/>
        <v>0.17984551647235406</v>
      </c>
      <c r="F10" s="48"/>
      <c r="G10" s="48">
        <f t="shared" si="82"/>
        <v>0.17984551647235406</v>
      </c>
      <c r="H10" s="48"/>
      <c r="I10" s="48">
        <f t="shared" si="82"/>
        <v>0.17984551647235406</v>
      </c>
      <c r="J10" s="48"/>
      <c r="K10" s="48">
        <f t="shared" si="82"/>
        <v>0.17984551647235406</v>
      </c>
      <c r="L10" s="48"/>
      <c r="M10" s="48">
        <f t="shared" si="82"/>
        <v>0.17984551647235406</v>
      </c>
      <c r="N10" s="48"/>
      <c r="O10" s="48">
        <f t="shared" si="82"/>
        <v>0.17984551647235406</v>
      </c>
      <c r="P10" s="48"/>
      <c r="Q10" s="48">
        <f t="shared" si="82"/>
        <v>0.17984551647235406</v>
      </c>
      <c r="R10" s="48"/>
      <c r="S10" s="48">
        <f t="shared" si="82"/>
        <v>0.17984551647235406</v>
      </c>
      <c r="T10" s="48"/>
      <c r="U10" s="48">
        <f t="shared" si="82"/>
        <v>0.17984551647235406</v>
      </c>
      <c r="V10" s="48"/>
      <c r="W10" s="48">
        <f t="shared" si="82"/>
        <v>0.17984551647235406</v>
      </c>
      <c r="X10" s="48"/>
      <c r="Y10" s="48">
        <f t="shared" si="82"/>
        <v>0.17984551647235406</v>
      </c>
      <c r="AA10" s="17">
        <f>results!C10</f>
        <v>3.1681347872173444</v>
      </c>
      <c r="AB10" s="48">
        <f t="shared" si="83"/>
        <v>3.1681347872173444</v>
      </c>
      <c r="AD10" s="48">
        <f t="shared" si="83"/>
        <v>3.1681347872173444</v>
      </c>
      <c r="AF10" s="48">
        <f t="shared" si="83"/>
        <v>3.1681347872173444</v>
      </c>
      <c r="AH10" s="48">
        <f t="shared" si="83"/>
        <v>3.1681347872173444</v>
      </c>
      <c r="AJ10" s="48">
        <f t="shared" si="83"/>
        <v>3.1681347872173444</v>
      </c>
      <c r="AL10" s="48">
        <f t="shared" si="83"/>
        <v>3.1681347872173444</v>
      </c>
      <c r="AN10" s="48">
        <f t="shared" si="83"/>
        <v>3.1681347872173444</v>
      </c>
      <c r="AP10" s="48">
        <f t="shared" si="83"/>
        <v>3.1681347872173444</v>
      </c>
      <c r="AR10" s="48">
        <f t="shared" si="83"/>
        <v>3.1681347872173444</v>
      </c>
      <c r="AT10" s="48">
        <f t="shared" si="83"/>
        <v>3.1681347872173444</v>
      </c>
      <c r="AV10" s="48">
        <f t="shared" si="83"/>
        <v>3.1681347872173444</v>
      </c>
      <c r="AX10" s="48">
        <f t="shared" si="83"/>
        <v>3.1681347872173444</v>
      </c>
    </row>
    <row r="11" spans="1:51">
      <c r="A11" s="14" t="str">
        <f>results!A11</f>
        <v>PbBr₂</v>
      </c>
      <c r="B11" s="14">
        <f>results!B11</f>
        <v>6.2686334877505199E-4</v>
      </c>
      <c r="C11" s="48">
        <f t="shared" si="82"/>
        <v>6.2686334877505199E-4</v>
      </c>
      <c r="D11" s="48"/>
      <c r="E11" s="48">
        <f t="shared" si="82"/>
        <v>6.2686334877505199E-4</v>
      </c>
      <c r="F11" s="48"/>
      <c r="G11" s="48">
        <f t="shared" si="82"/>
        <v>6.2686334877505199E-4</v>
      </c>
      <c r="H11" s="48"/>
      <c r="I11" s="48">
        <f t="shared" si="82"/>
        <v>6.2686334877505199E-4</v>
      </c>
      <c r="J11" s="48"/>
      <c r="K11" s="48">
        <f t="shared" si="82"/>
        <v>6.2686334877505199E-4</v>
      </c>
      <c r="L11" s="48"/>
      <c r="M11" s="48">
        <f t="shared" si="82"/>
        <v>6.2686334877505199E-4</v>
      </c>
      <c r="N11" s="48"/>
      <c r="O11" s="48">
        <f t="shared" si="82"/>
        <v>6.2686334877505199E-4</v>
      </c>
      <c r="P11" s="48"/>
      <c r="Q11" s="48">
        <f t="shared" si="82"/>
        <v>6.2686334877505199E-4</v>
      </c>
      <c r="R11" s="48"/>
      <c r="S11" s="48">
        <f t="shared" si="82"/>
        <v>6.2686334877505199E-4</v>
      </c>
      <c r="T11" s="48"/>
      <c r="U11" s="48">
        <f t="shared" si="82"/>
        <v>6.2686334877505199E-4</v>
      </c>
      <c r="V11" s="48"/>
      <c r="W11" s="48">
        <f t="shared" si="82"/>
        <v>6.2686334877505199E-4</v>
      </c>
      <c r="X11" s="48"/>
      <c r="Y11" s="48">
        <f t="shared" si="82"/>
        <v>6.2686334877505199E-4</v>
      </c>
      <c r="AA11" s="17">
        <f>results!C11</f>
        <v>8.2194376428353123E-3</v>
      </c>
      <c r="AB11" s="48">
        <f t="shared" si="83"/>
        <v>8.2194376428353123E-3</v>
      </c>
      <c r="AD11" s="48">
        <f t="shared" si="83"/>
        <v>8.2194376428353123E-3</v>
      </c>
      <c r="AF11" s="48">
        <f t="shared" si="83"/>
        <v>8.2194376428353123E-3</v>
      </c>
      <c r="AH11" s="48">
        <f t="shared" si="83"/>
        <v>8.2194376428353123E-3</v>
      </c>
      <c r="AJ11" s="48">
        <f t="shared" si="83"/>
        <v>8.2194376428353123E-3</v>
      </c>
      <c r="AL11" s="48">
        <f t="shared" si="83"/>
        <v>8.2194376428353123E-3</v>
      </c>
      <c r="AN11" s="48">
        <f t="shared" si="83"/>
        <v>8.2194376428353123E-3</v>
      </c>
      <c r="AP11" s="48">
        <f t="shared" si="83"/>
        <v>8.2194376428353123E-3</v>
      </c>
      <c r="AR11" s="48">
        <f t="shared" si="83"/>
        <v>8.2194376428353123E-3</v>
      </c>
      <c r="AT11" s="48">
        <f t="shared" si="83"/>
        <v>8.2194376428353123E-3</v>
      </c>
      <c r="AV11" s="48">
        <f t="shared" si="83"/>
        <v>8.2194376428353123E-3</v>
      </c>
      <c r="AX11" s="48">
        <f t="shared" si="83"/>
        <v>8.2194376428353123E-3</v>
      </c>
    </row>
    <row r="12" spans="1:51">
      <c r="A12" s="14" t="str">
        <f>results!A12</f>
        <v>DMF</v>
      </c>
      <c r="B12" s="14">
        <f>results!B12</f>
        <v>4.7032591399933429E-3</v>
      </c>
      <c r="C12" s="48">
        <f t="shared" si="82"/>
        <v>4.7032591399933429E-3</v>
      </c>
      <c r="D12" s="48"/>
      <c r="E12" s="48">
        <f t="shared" si="82"/>
        <v>4.7032591399933429E-3</v>
      </c>
      <c r="F12" s="48"/>
      <c r="G12" s="48">
        <f t="shared" si="82"/>
        <v>4.7032591399933429E-3</v>
      </c>
      <c r="H12" s="48"/>
      <c r="I12" s="48">
        <f t="shared" si="82"/>
        <v>4.7032591399933429E-3</v>
      </c>
      <c r="J12" s="48"/>
      <c r="K12" s="48">
        <f t="shared" si="82"/>
        <v>4.7032591399933429E-3</v>
      </c>
      <c r="L12" s="48"/>
      <c r="M12" s="48">
        <f t="shared" si="82"/>
        <v>4.7032591399933429E-3</v>
      </c>
      <c r="N12" s="48"/>
      <c r="O12" s="48">
        <f t="shared" si="82"/>
        <v>4.7032591399933429E-3</v>
      </c>
      <c r="P12" s="48"/>
      <c r="Q12" s="48">
        <f t="shared" si="82"/>
        <v>4.7032591399933429E-3</v>
      </c>
      <c r="R12" s="48"/>
      <c r="S12" s="48">
        <f t="shared" si="82"/>
        <v>4.7032591399933429E-3</v>
      </c>
      <c r="T12" s="48"/>
      <c r="U12" s="48">
        <f t="shared" si="82"/>
        <v>4.7032591399933429E-3</v>
      </c>
      <c r="V12" s="48"/>
      <c r="W12" s="48">
        <f t="shared" si="82"/>
        <v>4.7032591399933429E-3</v>
      </c>
      <c r="X12" s="48"/>
      <c r="Y12" s="48">
        <f t="shared" si="82"/>
        <v>4.7032591399933429E-3</v>
      </c>
      <c r="AA12" s="17">
        <f>results!C12</f>
        <v>0.12792526254726047</v>
      </c>
      <c r="AB12" s="48">
        <f t="shared" si="83"/>
        <v>0.12792526254726047</v>
      </c>
      <c r="AD12" s="48">
        <f t="shared" si="83"/>
        <v>0.12792526254726047</v>
      </c>
      <c r="AF12" s="48">
        <f t="shared" si="83"/>
        <v>0.12792526254726047</v>
      </c>
      <c r="AH12" s="48">
        <f t="shared" si="83"/>
        <v>0.12792526254726047</v>
      </c>
      <c r="AJ12" s="48">
        <f t="shared" si="83"/>
        <v>0.12792526254726047</v>
      </c>
      <c r="AL12" s="48">
        <f t="shared" si="83"/>
        <v>0.12792526254726047</v>
      </c>
      <c r="AN12" s="48">
        <f t="shared" si="83"/>
        <v>0.12792526254726047</v>
      </c>
      <c r="AP12" s="48">
        <f t="shared" si="83"/>
        <v>0.12792526254726047</v>
      </c>
      <c r="AR12" s="48">
        <f t="shared" si="83"/>
        <v>0.12792526254726047</v>
      </c>
      <c r="AT12" s="48">
        <f t="shared" si="83"/>
        <v>0.12792526254726047</v>
      </c>
      <c r="AV12" s="48">
        <f t="shared" si="83"/>
        <v>0.12792526254726047</v>
      </c>
      <c r="AX12" s="48">
        <f t="shared" si="83"/>
        <v>0.12792526254726047</v>
      </c>
    </row>
    <row r="13" spans="1:51">
      <c r="A13" s="14" t="str">
        <f>results!A13</f>
        <v>DMSO</v>
      </c>
      <c r="B13" s="14">
        <f>results!B13</f>
        <v>6.0796461783594257E-4</v>
      </c>
      <c r="C13" s="48">
        <f t="shared" si="82"/>
        <v>6.0796461783594257E-4</v>
      </c>
      <c r="D13" s="48"/>
      <c r="E13" s="48">
        <f t="shared" si="82"/>
        <v>6.0796461783594257E-4</v>
      </c>
      <c r="F13" s="48"/>
      <c r="G13" s="48">
        <f t="shared" si="82"/>
        <v>6.0796461783594257E-4</v>
      </c>
      <c r="H13" s="48"/>
      <c r="I13" s="48">
        <f t="shared" si="82"/>
        <v>6.0796461783594257E-4</v>
      </c>
      <c r="J13" s="48"/>
      <c r="K13" s="48">
        <f t="shared" si="82"/>
        <v>6.0796461783594257E-4</v>
      </c>
      <c r="L13" s="48"/>
      <c r="M13" s="48">
        <f t="shared" si="82"/>
        <v>6.0796461783594257E-4</v>
      </c>
      <c r="N13" s="48"/>
      <c r="O13" s="48">
        <f t="shared" si="82"/>
        <v>6.0796461783594257E-4</v>
      </c>
      <c r="P13" s="48"/>
      <c r="Q13" s="48">
        <f t="shared" si="82"/>
        <v>6.0796461783594257E-4</v>
      </c>
      <c r="R13" s="48"/>
      <c r="S13" s="48">
        <f t="shared" si="82"/>
        <v>6.0796461783594257E-4</v>
      </c>
      <c r="T13" s="48"/>
      <c r="U13" s="48">
        <f t="shared" si="82"/>
        <v>6.0796461783594257E-4</v>
      </c>
      <c r="V13" s="48"/>
      <c r="W13" s="48">
        <f t="shared" si="82"/>
        <v>6.0796461783594257E-4</v>
      </c>
      <c r="X13" s="48"/>
      <c r="Y13" s="48">
        <f t="shared" si="82"/>
        <v>6.0796461783594257E-4</v>
      </c>
      <c r="AA13" s="17">
        <f>results!C13</f>
        <v>2.8054715315643849E-2</v>
      </c>
      <c r="AB13" s="48">
        <f t="shared" si="83"/>
        <v>2.8054715315643849E-2</v>
      </c>
      <c r="AD13" s="48">
        <f t="shared" si="83"/>
        <v>2.8054715315643849E-2</v>
      </c>
      <c r="AF13" s="48">
        <f t="shared" si="83"/>
        <v>2.8054715315643849E-2</v>
      </c>
      <c r="AH13" s="48">
        <f t="shared" si="83"/>
        <v>2.8054715315643849E-2</v>
      </c>
      <c r="AJ13" s="48">
        <f t="shared" si="83"/>
        <v>2.8054715315643849E-2</v>
      </c>
      <c r="AL13" s="48">
        <f t="shared" si="83"/>
        <v>2.8054715315643849E-2</v>
      </c>
      <c r="AN13" s="48">
        <f t="shared" si="83"/>
        <v>2.8054715315643849E-2</v>
      </c>
      <c r="AP13" s="48">
        <f t="shared" si="83"/>
        <v>2.8054715315643849E-2</v>
      </c>
      <c r="AR13" s="48">
        <f t="shared" si="83"/>
        <v>2.8054715315643849E-2</v>
      </c>
      <c r="AT13" s="48">
        <f t="shared" si="83"/>
        <v>2.8054715315643849E-2</v>
      </c>
      <c r="AV13" s="48">
        <f t="shared" si="83"/>
        <v>2.8054715315643849E-2</v>
      </c>
      <c r="AX13" s="48">
        <f t="shared" si="83"/>
        <v>2.8054715315643849E-2</v>
      </c>
    </row>
    <row r="14" spans="1:51">
      <c r="A14" s="14" t="str">
        <f>results!A14</f>
        <v>Chlorobenzene</v>
      </c>
      <c r="B14" s="14">
        <f>results!B14</f>
        <v>2.4153683486401473E-2</v>
      </c>
      <c r="C14" s="48">
        <f t="shared" si="82"/>
        <v>2.4153683486401473E-2</v>
      </c>
      <c r="D14" s="48"/>
      <c r="E14" s="48">
        <f t="shared" si="82"/>
        <v>2.4153683486401473E-2</v>
      </c>
      <c r="F14" s="48"/>
      <c r="G14" s="48">
        <f t="shared" si="82"/>
        <v>2.4153683486401473E-2</v>
      </c>
      <c r="H14" s="48"/>
      <c r="I14" s="48">
        <f t="shared" si="82"/>
        <v>2.4153683486401473E-2</v>
      </c>
      <c r="J14" s="48"/>
      <c r="K14" s="48">
        <f t="shared" si="82"/>
        <v>2.4153683486401473E-2</v>
      </c>
      <c r="L14" s="48"/>
      <c r="M14" s="48">
        <f t="shared" si="82"/>
        <v>2.4153683486401473E-2</v>
      </c>
      <c r="N14" s="48"/>
      <c r="O14" s="48">
        <f t="shared" si="82"/>
        <v>2.4153683486401473E-2</v>
      </c>
      <c r="P14" s="48"/>
      <c r="Q14" s="48">
        <f t="shared" si="82"/>
        <v>2.4153683486401473E-2</v>
      </c>
      <c r="R14" s="48"/>
      <c r="S14" s="48">
        <f t="shared" si="82"/>
        <v>2.4153683486401473E-2</v>
      </c>
      <c r="T14" s="48"/>
      <c r="U14" s="48">
        <f t="shared" si="82"/>
        <v>2.4153683486401473E-2</v>
      </c>
      <c r="V14" s="48"/>
      <c r="W14" s="48">
        <f t="shared" si="82"/>
        <v>2.4153683486401473E-2</v>
      </c>
      <c r="X14" s="48"/>
      <c r="Y14" s="48">
        <f t="shared" si="82"/>
        <v>2.4153683486401473E-2</v>
      </c>
      <c r="AA14" s="17">
        <f>results!C14</f>
        <v>0.58474354758357783</v>
      </c>
      <c r="AB14" s="48">
        <f t="shared" si="83"/>
        <v>0.58474354758357783</v>
      </c>
      <c r="AD14" s="48">
        <f t="shared" si="83"/>
        <v>0.58474354758357783</v>
      </c>
      <c r="AF14" s="48">
        <f t="shared" si="83"/>
        <v>0.58474354758357783</v>
      </c>
      <c r="AH14" s="48">
        <f t="shared" si="83"/>
        <v>0.58474354758357783</v>
      </c>
      <c r="AJ14" s="48">
        <f t="shared" si="83"/>
        <v>0.58474354758357783</v>
      </c>
      <c r="AL14" s="48">
        <f t="shared" si="83"/>
        <v>0.58474354758357783</v>
      </c>
      <c r="AN14" s="48">
        <f t="shared" si="83"/>
        <v>0.58474354758357783</v>
      </c>
      <c r="AP14" s="48">
        <f t="shared" si="83"/>
        <v>0.58474354758357783</v>
      </c>
      <c r="AR14" s="48">
        <f t="shared" si="83"/>
        <v>0.58474354758357783</v>
      </c>
      <c r="AT14" s="48">
        <f t="shared" si="83"/>
        <v>0.58474354758357783</v>
      </c>
      <c r="AV14" s="48">
        <f t="shared" si="83"/>
        <v>0.58474354758357783</v>
      </c>
      <c r="AX14" s="48">
        <f t="shared" si="83"/>
        <v>0.58474354758357783</v>
      </c>
    </row>
    <row r="15" spans="1:51">
      <c r="A15" s="14" t="str">
        <f>results!A15</f>
        <v>spiro-OMeTAD</v>
      </c>
      <c r="B15" s="14">
        <f>results!B15</f>
        <v>5.8990736460538019E-2</v>
      </c>
      <c r="C15" s="48">
        <f t="shared" si="82"/>
        <v>5.8990736460538019E-2</v>
      </c>
      <c r="D15" s="48"/>
      <c r="E15" s="48">
        <f t="shared" si="82"/>
        <v>5.8990736460538019E-2</v>
      </c>
      <c r="F15" s="48"/>
      <c r="G15" s="48">
        <f t="shared" si="82"/>
        <v>5.8990736460538019E-2</v>
      </c>
      <c r="H15" s="48"/>
      <c r="I15" s="48">
        <f t="shared" si="82"/>
        <v>5.8990736460538019E-2</v>
      </c>
      <c r="J15" s="48"/>
      <c r="K15" s="48">
        <f t="shared" si="82"/>
        <v>5.8990736460538019E-2</v>
      </c>
      <c r="L15" s="48"/>
      <c r="M15" s="48">
        <f t="shared" si="82"/>
        <v>5.8990736460538019E-2</v>
      </c>
      <c r="N15" s="48"/>
      <c r="O15" s="48">
        <f t="shared" si="82"/>
        <v>5.8990736460538019E-2</v>
      </c>
      <c r="P15" s="48"/>
      <c r="Q15" s="48">
        <f t="shared" si="82"/>
        <v>5.8990736460538019E-2</v>
      </c>
      <c r="R15" s="48"/>
      <c r="S15" s="48">
        <f t="shared" si="82"/>
        <v>5.8990736460538019E-2</v>
      </c>
      <c r="T15" s="48"/>
      <c r="U15" s="48">
        <f t="shared" si="82"/>
        <v>5.8990736460538019E-2</v>
      </c>
      <c r="V15" s="48"/>
      <c r="W15" s="48">
        <f t="shared" si="82"/>
        <v>5.8990736460538019E-2</v>
      </c>
      <c r="X15" s="48"/>
      <c r="Y15" s="48">
        <f t="shared" si="82"/>
        <v>5.8990736460538019E-2</v>
      </c>
      <c r="AA15" s="17">
        <f>results!C15</f>
        <v>0.95029313625411649</v>
      </c>
      <c r="AB15" s="48">
        <f t="shared" si="83"/>
        <v>0.95029313625411649</v>
      </c>
      <c r="AD15" s="48">
        <f t="shared" si="83"/>
        <v>0.95029313625411649</v>
      </c>
      <c r="AF15" s="48">
        <f t="shared" si="83"/>
        <v>0.95029313625411649</v>
      </c>
      <c r="AH15" s="48">
        <f t="shared" si="83"/>
        <v>0.95029313625411649</v>
      </c>
      <c r="AJ15" s="48">
        <f t="shared" si="83"/>
        <v>0.95029313625411649</v>
      </c>
      <c r="AL15" s="48">
        <f t="shared" si="83"/>
        <v>0.95029313625411649</v>
      </c>
      <c r="AN15" s="48">
        <f t="shared" si="83"/>
        <v>0.95029313625411649</v>
      </c>
      <c r="AP15" s="48">
        <f t="shared" si="83"/>
        <v>0.95029313625411649</v>
      </c>
      <c r="AR15" s="48">
        <f t="shared" si="83"/>
        <v>0.95029313625411649</v>
      </c>
      <c r="AT15" s="48">
        <f t="shared" si="83"/>
        <v>0.95029313625411649</v>
      </c>
      <c r="AV15" s="48">
        <f t="shared" si="83"/>
        <v>0.95029313625411649</v>
      </c>
      <c r="AX15" s="48">
        <f t="shared" si="83"/>
        <v>0.95029313625411649</v>
      </c>
    </row>
    <row r="16" spans="1:51">
      <c r="A16" s="14" t="str">
        <f>results!A16</f>
        <v>HTFSI</v>
      </c>
      <c r="B16" s="14">
        <f>results!B16</f>
        <v>2.5239247726899154E-3</v>
      </c>
      <c r="C16" s="48">
        <f t="shared" si="82"/>
        <v>2.5239247726899154E-3</v>
      </c>
      <c r="D16" s="48"/>
      <c r="E16" s="48">
        <f t="shared" si="82"/>
        <v>2.5239247726899154E-3</v>
      </c>
      <c r="F16" s="48"/>
      <c r="G16" s="48">
        <f t="shared" si="82"/>
        <v>2.5239247726899154E-3</v>
      </c>
      <c r="H16" s="48"/>
      <c r="I16" s="48">
        <f t="shared" si="82"/>
        <v>2.5239247726899154E-3</v>
      </c>
      <c r="J16" s="48"/>
      <c r="K16" s="48">
        <f t="shared" si="82"/>
        <v>2.5239247726899154E-3</v>
      </c>
      <c r="L16" s="48"/>
      <c r="M16" s="48">
        <f t="shared" si="82"/>
        <v>2.5239247726899154E-3</v>
      </c>
      <c r="N16" s="48"/>
      <c r="O16" s="48">
        <f t="shared" si="82"/>
        <v>2.5239247726899154E-3</v>
      </c>
      <c r="P16" s="48"/>
      <c r="Q16" s="48">
        <f t="shared" si="82"/>
        <v>2.5239247726899154E-3</v>
      </c>
      <c r="R16" s="48"/>
      <c r="S16" s="48">
        <f t="shared" si="82"/>
        <v>2.5239247726899154E-3</v>
      </c>
      <c r="T16" s="48"/>
      <c r="U16" s="48">
        <f t="shared" si="82"/>
        <v>2.5239247726899154E-3</v>
      </c>
      <c r="V16" s="48"/>
      <c r="W16" s="48">
        <f t="shared" si="82"/>
        <v>2.5239247726899154E-3</v>
      </c>
      <c r="X16" s="48"/>
      <c r="Y16" s="48">
        <f t="shared" si="82"/>
        <v>2.5239247726899154E-3</v>
      </c>
      <c r="AA16" s="17">
        <f>results!C16</f>
        <v>3.9592547662353358E-2</v>
      </c>
      <c r="AB16" s="48">
        <f t="shared" si="83"/>
        <v>3.9592547662353358E-2</v>
      </c>
      <c r="AD16" s="48">
        <f t="shared" si="83"/>
        <v>3.9592547662353358E-2</v>
      </c>
      <c r="AF16" s="48">
        <f t="shared" si="83"/>
        <v>3.9592547662353358E-2</v>
      </c>
      <c r="AH16" s="48">
        <f t="shared" si="83"/>
        <v>3.9592547662353358E-2</v>
      </c>
      <c r="AJ16" s="48">
        <f t="shared" si="83"/>
        <v>3.9592547662353358E-2</v>
      </c>
      <c r="AL16" s="48">
        <f t="shared" si="83"/>
        <v>3.9592547662353358E-2</v>
      </c>
      <c r="AN16" s="48">
        <f t="shared" si="83"/>
        <v>3.9592547662353358E-2</v>
      </c>
      <c r="AP16" s="48">
        <f t="shared" si="83"/>
        <v>3.9592547662353358E-2</v>
      </c>
      <c r="AR16" s="48">
        <f t="shared" si="83"/>
        <v>3.9592547662353358E-2</v>
      </c>
      <c r="AT16" s="48">
        <f t="shared" si="83"/>
        <v>3.9592547662353358E-2</v>
      </c>
      <c r="AV16" s="48">
        <f t="shared" si="83"/>
        <v>3.9592547662353358E-2</v>
      </c>
      <c r="AX16" s="48">
        <f t="shared" si="83"/>
        <v>3.9592547662353358E-2</v>
      </c>
    </row>
    <row r="17" spans="1:50">
      <c r="A17" s="14" t="str">
        <f>results!A17</f>
        <v>Acetonitrile</v>
      </c>
      <c r="B17" s="14">
        <f>results!B17</f>
        <v>1.0719123332325344E-3</v>
      </c>
      <c r="C17" s="48">
        <f t="shared" si="82"/>
        <v>1.0719123332325344E-3</v>
      </c>
      <c r="D17" s="48"/>
      <c r="E17" s="48">
        <f t="shared" si="82"/>
        <v>1.0719123332325344E-3</v>
      </c>
      <c r="F17" s="48"/>
      <c r="G17" s="48">
        <f t="shared" si="82"/>
        <v>1.0719123332325344E-3</v>
      </c>
      <c r="H17" s="48"/>
      <c r="I17" s="48">
        <f t="shared" si="82"/>
        <v>1.0719123332325344E-3</v>
      </c>
      <c r="J17" s="48"/>
      <c r="K17" s="48">
        <f t="shared" si="82"/>
        <v>1.0719123332325344E-3</v>
      </c>
      <c r="L17" s="48"/>
      <c r="M17" s="48">
        <f t="shared" si="82"/>
        <v>1.0719123332325344E-3</v>
      </c>
      <c r="N17" s="48"/>
      <c r="O17" s="48">
        <f t="shared" si="82"/>
        <v>1.0719123332325344E-3</v>
      </c>
      <c r="P17" s="48"/>
      <c r="Q17" s="48">
        <f t="shared" si="82"/>
        <v>1.0719123332325344E-3</v>
      </c>
      <c r="R17" s="48"/>
      <c r="S17" s="48">
        <f t="shared" si="82"/>
        <v>1.0719123332325344E-3</v>
      </c>
      <c r="T17" s="48"/>
      <c r="U17" s="48">
        <f t="shared" si="82"/>
        <v>1.0719123332325344E-3</v>
      </c>
      <c r="V17" s="48"/>
      <c r="W17" s="48">
        <f t="shared" si="82"/>
        <v>1.0719123332325344E-3</v>
      </c>
      <c r="X17" s="48"/>
      <c r="Y17" s="48">
        <f t="shared" si="82"/>
        <v>1.0719123332325344E-3</v>
      </c>
      <c r="AA17" s="17">
        <f>results!C17</f>
        <v>2.9014695842552819E-2</v>
      </c>
      <c r="AB17" s="48">
        <f t="shared" si="83"/>
        <v>2.9014695842552819E-2</v>
      </c>
      <c r="AD17" s="48">
        <f t="shared" si="83"/>
        <v>2.9014695842552819E-2</v>
      </c>
      <c r="AF17" s="48">
        <f t="shared" si="83"/>
        <v>2.9014695842552819E-2</v>
      </c>
      <c r="AH17" s="48">
        <f t="shared" si="83"/>
        <v>2.9014695842552819E-2</v>
      </c>
      <c r="AJ17" s="48">
        <f t="shared" si="83"/>
        <v>2.9014695842552819E-2</v>
      </c>
      <c r="AL17" s="48">
        <f t="shared" si="83"/>
        <v>2.9014695842552819E-2</v>
      </c>
      <c r="AN17" s="48">
        <f t="shared" si="83"/>
        <v>2.9014695842552819E-2</v>
      </c>
      <c r="AP17" s="48">
        <f t="shared" si="83"/>
        <v>2.9014695842552819E-2</v>
      </c>
      <c r="AR17" s="48">
        <f t="shared" si="83"/>
        <v>2.9014695842552819E-2</v>
      </c>
      <c r="AT17" s="48">
        <f t="shared" si="83"/>
        <v>2.9014695842552819E-2</v>
      </c>
      <c r="AV17" s="48">
        <f t="shared" si="83"/>
        <v>2.9014695842552819E-2</v>
      </c>
      <c r="AX17" s="48">
        <f t="shared" si="83"/>
        <v>2.9014695842552819E-2</v>
      </c>
    </row>
    <row r="18" spans="1:50">
      <c r="A18" s="14" t="str">
        <f>results!A18</f>
        <v>FK209</v>
      </c>
      <c r="B18" s="14">
        <f>results!B18</f>
        <v>0</v>
      </c>
      <c r="C18" s="48">
        <f t="shared" si="82"/>
        <v>0</v>
      </c>
      <c r="D18" s="48"/>
      <c r="E18" s="48">
        <f t="shared" si="82"/>
        <v>0</v>
      </c>
      <c r="F18" s="48"/>
      <c r="G18" s="48">
        <f t="shared" si="82"/>
        <v>0</v>
      </c>
      <c r="H18" s="48"/>
      <c r="I18" s="48">
        <f t="shared" si="82"/>
        <v>0</v>
      </c>
      <c r="J18" s="48"/>
      <c r="K18" s="48">
        <f t="shared" si="82"/>
        <v>0</v>
      </c>
      <c r="L18" s="48"/>
      <c r="M18" s="48">
        <f t="shared" si="82"/>
        <v>0</v>
      </c>
      <c r="N18" s="48"/>
      <c r="O18" s="48">
        <f t="shared" si="82"/>
        <v>0</v>
      </c>
      <c r="P18" s="48"/>
      <c r="Q18" s="48">
        <f t="shared" si="82"/>
        <v>0</v>
      </c>
      <c r="R18" s="48"/>
      <c r="S18" s="48">
        <f t="shared" si="82"/>
        <v>0</v>
      </c>
      <c r="T18" s="48"/>
      <c r="U18" s="48">
        <f t="shared" si="82"/>
        <v>0</v>
      </c>
      <c r="V18" s="48"/>
      <c r="W18" s="48">
        <f t="shared" si="82"/>
        <v>0</v>
      </c>
      <c r="X18" s="48"/>
      <c r="Y18" s="48">
        <f t="shared" si="82"/>
        <v>0</v>
      </c>
      <c r="AA18" s="17">
        <f>results!C18</f>
        <v>0</v>
      </c>
      <c r="AB18" s="48">
        <f t="shared" si="83"/>
        <v>0</v>
      </c>
      <c r="AD18" s="48">
        <f t="shared" si="83"/>
        <v>0</v>
      </c>
      <c r="AF18" s="48">
        <f t="shared" si="83"/>
        <v>0</v>
      </c>
      <c r="AH18" s="48">
        <f t="shared" si="83"/>
        <v>0</v>
      </c>
      <c r="AJ18" s="48">
        <f t="shared" si="83"/>
        <v>0</v>
      </c>
      <c r="AL18" s="48">
        <f t="shared" si="83"/>
        <v>0</v>
      </c>
      <c r="AN18" s="48">
        <f t="shared" si="83"/>
        <v>0</v>
      </c>
      <c r="AP18" s="48">
        <f t="shared" si="83"/>
        <v>0</v>
      </c>
      <c r="AR18" s="48">
        <f t="shared" si="83"/>
        <v>0</v>
      </c>
      <c r="AT18" s="48">
        <f t="shared" si="83"/>
        <v>0</v>
      </c>
      <c r="AV18" s="48">
        <f t="shared" si="83"/>
        <v>0</v>
      </c>
      <c r="AX18" s="48">
        <f t="shared" si="83"/>
        <v>0</v>
      </c>
    </row>
    <row r="19" spans="1:50">
      <c r="A19" s="14" t="str">
        <f>results!A19</f>
        <v>4-tert-Butylpyridine</v>
      </c>
      <c r="B19" s="14">
        <f>results!B19</f>
        <v>1.9758472460220324E-3</v>
      </c>
      <c r="C19" s="48">
        <f t="shared" si="82"/>
        <v>1.9758472460220324E-3</v>
      </c>
      <c r="D19" s="48"/>
      <c r="E19" s="48">
        <f t="shared" si="82"/>
        <v>1.9758472460220324E-3</v>
      </c>
      <c r="F19" s="48"/>
      <c r="G19" s="48">
        <f t="shared" si="82"/>
        <v>1.9758472460220324E-3</v>
      </c>
      <c r="H19" s="48"/>
      <c r="I19" s="48">
        <f t="shared" si="82"/>
        <v>1.9758472460220324E-3</v>
      </c>
      <c r="J19" s="48"/>
      <c r="K19" s="48">
        <f t="shared" si="82"/>
        <v>1.9758472460220324E-3</v>
      </c>
      <c r="L19" s="48"/>
      <c r="M19" s="48">
        <f t="shared" si="82"/>
        <v>1.9758472460220324E-3</v>
      </c>
      <c r="N19" s="48"/>
      <c r="O19" s="48">
        <f t="shared" si="82"/>
        <v>1.9758472460220324E-3</v>
      </c>
      <c r="P19" s="48"/>
      <c r="Q19" s="48">
        <f t="shared" si="82"/>
        <v>1.9758472460220324E-3</v>
      </c>
      <c r="R19" s="48"/>
      <c r="S19" s="48">
        <f t="shared" si="82"/>
        <v>1.9758472460220324E-3</v>
      </c>
      <c r="T19" s="48"/>
      <c r="U19" s="48">
        <f t="shared" si="82"/>
        <v>1.9758472460220324E-3</v>
      </c>
      <c r="V19" s="48"/>
      <c r="W19" s="48">
        <f t="shared" si="82"/>
        <v>1.9758472460220324E-3</v>
      </c>
      <c r="X19" s="48"/>
      <c r="Y19" s="48">
        <f t="shared" si="82"/>
        <v>1.9758472460220324E-3</v>
      </c>
      <c r="AA19" s="17">
        <f>results!C19</f>
        <v>3.2400038484210532E-2</v>
      </c>
      <c r="AB19" s="48">
        <f t="shared" si="83"/>
        <v>3.2400038484210532E-2</v>
      </c>
      <c r="AD19" s="48">
        <f t="shared" si="83"/>
        <v>3.2400038484210532E-2</v>
      </c>
      <c r="AF19" s="48">
        <f t="shared" si="83"/>
        <v>3.2400038484210532E-2</v>
      </c>
      <c r="AH19" s="48">
        <f t="shared" si="83"/>
        <v>3.2400038484210532E-2</v>
      </c>
      <c r="AJ19" s="48">
        <f t="shared" si="83"/>
        <v>3.2400038484210532E-2</v>
      </c>
      <c r="AL19" s="48">
        <f t="shared" si="83"/>
        <v>3.2400038484210532E-2</v>
      </c>
      <c r="AN19" s="48">
        <f t="shared" si="83"/>
        <v>3.2400038484210532E-2</v>
      </c>
      <c r="AP19" s="48">
        <f t="shared" si="83"/>
        <v>3.2400038484210532E-2</v>
      </c>
      <c r="AR19" s="48">
        <f t="shared" si="83"/>
        <v>3.2400038484210532E-2</v>
      </c>
      <c r="AT19" s="48">
        <f t="shared" si="83"/>
        <v>3.2400038484210532E-2</v>
      </c>
      <c r="AV19" s="48">
        <f t="shared" si="83"/>
        <v>3.2400038484210532E-2</v>
      </c>
      <c r="AX19" s="48">
        <f t="shared" si="83"/>
        <v>3.2400038484210532E-2</v>
      </c>
    </row>
    <row r="20" spans="1:50" s="47" customFormat="1">
      <c r="A20" s="32" t="str">
        <f>results!A20</f>
        <v>Cu</v>
      </c>
      <c r="B20" s="32">
        <f>results!B20</f>
        <v>5.7836011520000005E-3</v>
      </c>
      <c r="C20" s="47">
        <f>$B20*(1-0.82*C$2)</f>
        <v>1.0410482073600004E-3</v>
      </c>
      <c r="E20" s="47">
        <f>$B20*(1-0.82*E$2)</f>
        <v>1.0410482073600004E-3</v>
      </c>
      <c r="G20" s="47">
        <f>$B20*(1-0.82*G$2)</f>
        <v>1.0410482073600004E-3</v>
      </c>
      <c r="I20" s="47">
        <f>$B20*(1-0.82*I$2)</f>
        <v>1.0410482073600004E-3</v>
      </c>
      <c r="K20" s="47">
        <f>$B20*(1-0.82*K$2)</f>
        <v>1.2781758545920006E-3</v>
      </c>
      <c r="M20" s="47">
        <f>$B20*(1-0.82*M$2)</f>
        <v>1.2781758545920006E-3</v>
      </c>
      <c r="O20" s="47">
        <f>$B20*(1-0.82*O$2)</f>
        <v>1.2781758545920006E-3</v>
      </c>
      <c r="Q20" s="47">
        <f>$B20*(1-0.82*Q$2)</f>
        <v>1.2781758545920006E-3</v>
      </c>
      <c r="S20" s="47">
        <f>$B20*(1-0.82*S$2)</f>
        <v>1.5153035018240003E-3</v>
      </c>
      <c r="U20" s="47">
        <f>$B20*(1-0.82*U$2)</f>
        <v>1.5153035018240003E-3</v>
      </c>
      <c r="W20" s="47">
        <f>$B20*(1-0.82*W$2)</f>
        <v>1.5153035018240003E-3</v>
      </c>
      <c r="Y20" s="47">
        <f>$B20*(1-0.82*Y$2)</f>
        <v>1.5153035018240003E-3</v>
      </c>
      <c r="AA20" s="12">
        <f>results!C20</f>
        <v>8.3168110626406416E-2</v>
      </c>
      <c r="AB20" s="47">
        <f>$AA$20*(1-AB2*0.82)</f>
        <v>1.4970259912753159E-2</v>
      </c>
      <c r="AD20" s="47">
        <f>$AA$20*(1-AD2*0.82)</f>
        <v>1.4970259912753159E-2</v>
      </c>
      <c r="AF20" s="47">
        <f>$AA$20*(1-AF2*0.82)</f>
        <v>1.4970259912753159E-2</v>
      </c>
      <c r="AH20" s="47">
        <f>$AA$20*(1-AH2*0.82)</f>
        <v>1.4970259912753159E-2</v>
      </c>
      <c r="AJ20" s="47">
        <f>$AA$20*(1-AJ2*0.82)</f>
        <v>1.8380152448435823E-2</v>
      </c>
      <c r="AL20" s="47">
        <f>$AA$20*(1-AL2*0.82)</f>
        <v>1.8380152448435823E-2</v>
      </c>
      <c r="AN20" s="47">
        <f>$AA$20*(1-AN2*0.82)</f>
        <v>1.8380152448435823E-2</v>
      </c>
      <c r="AP20" s="47">
        <f>$AA$20*(1-AP2*0.82)</f>
        <v>1.8380152448435823E-2</v>
      </c>
      <c r="AR20" s="47">
        <f>$AA$20*(1-AR2*0.82)</f>
        <v>2.1790044984118483E-2</v>
      </c>
      <c r="AT20" s="47">
        <f>$AA$20*(1-AT2*0.82)</f>
        <v>2.1790044984118483E-2</v>
      </c>
      <c r="AV20" s="47">
        <f>$AA$20*(1-AV2*0.82)</f>
        <v>2.1790044984118483E-2</v>
      </c>
      <c r="AX20" s="47">
        <f>$AA$20*(1-AX2*0.82)</f>
        <v>2.1790044984118483E-2</v>
      </c>
    </row>
    <row r="21" spans="1:50">
      <c r="A21" s="22" t="str">
        <f>results!A23</f>
        <v>Sonication</v>
      </c>
      <c r="B21" s="22">
        <f>results!B23</f>
        <v>2.8396800022717437</v>
      </c>
      <c r="C21" s="48">
        <f t="shared" si="82"/>
        <v>2.8396800022717437</v>
      </c>
      <c r="D21" s="48"/>
      <c r="E21" s="48">
        <f t="shared" si="82"/>
        <v>2.8396800022717437</v>
      </c>
      <c r="G21" s="48">
        <f t="shared" si="82"/>
        <v>2.8396800022717437</v>
      </c>
      <c r="I21" s="48">
        <f t="shared" si="82"/>
        <v>2.8396800022717437</v>
      </c>
      <c r="K21" s="48">
        <f t="shared" si="82"/>
        <v>2.8396800022717437</v>
      </c>
      <c r="M21" s="48">
        <f t="shared" si="82"/>
        <v>2.8396800022717437</v>
      </c>
      <c r="O21" s="48">
        <f t="shared" si="82"/>
        <v>2.8396800022717437</v>
      </c>
      <c r="Q21" s="48">
        <f t="shared" si="82"/>
        <v>2.8396800022717437</v>
      </c>
      <c r="S21" s="48">
        <f t="shared" si="82"/>
        <v>2.8396800022717437</v>
      </c>
      <c r="U21" s="48">
        <f t="shared" si="82"/>
        <v>2.8396800022717437</v>
      </c>
      <c r="W21" s="48">
        <f t="shared" si="82"/>
        <v>2.8396800022717437</v>
      </c>
      <c r="Y21" s="48">
        <f t="shared" si="82"/>
        <v>2.8396800022717437</v>
      </c>
      <c r="AA21" s="17">
        <f>results!C23</f>
        <v>49.96641093677313</v>
      </c>
      <c r="AB21" s="48">
        <f t="shared" si="83"/>
        <v>49.96641093677313</v>
      </c>
      <c r="AD21" s="48">
        <f t="shared" si="83"/>
        <v>49.96641093677313</v>
      </c>
      <c r="AF21" s="48">
        <f t="shared" si="83"/>
        <v>49.96641093677313</v>
      </c>
      <c r="AH21" s="48">
        <f t="shared" si="83"/>
        <v>49.96641093677313</v>
      </c>
      <c r="AJ21" s="48">
        <f t="shared" si="83"/>
        <v>49.96641093677313</v>
      </c>
      <c r="AL21" s="48">
        <f t="shared" si="83"/>
        <v>49.96641093677313</v>
      </c>
      <c r="AN21" s="48">
        <f t="shared" si="83"/>
        <v>49.96641093677313</v>
      </c>
      <c r="AP21" s="48">
        <f t="shared" si="83"/>
        <v>49.96641093677313</v>
      </c>
      <c r="AR21" s="48">
        <f t="shared" si="83"/>
        <v>49.96641093677313</v>
      </c>
      <c r="AT21" s="48">
        <f t="shared" si="83"/>
        <v>49.96641093677313</v>
      </c>
      <c r="AV21" s="48">
        <f t="shared" si="83"/>
        <v>49.96641093677313</v>
      </c>
      <c r="AX21" s="48">
        <f t="shared" si="83"/>
        <v>49.96641093677313</v>
      </c>
    </row>
    <row r="22" spans="1:50" s="46" customFormat="1">
      <c r="A22" s="33" t="str">
        <f>results!A24</f>
        <v>Spray pyrolysis</v>
      </c>
      <c r="B22" s="33">
        <f>results!B24</f>
        <v>2.0358858304232825E-4</v>
      </c>
      <c r="C22" s="47">
        <f>$B22*(1-D$2)</f>
        <v>0</v>
      </c>
      <c r="E22" s="47">
        <f>$B22*(1-F$2)</f>
        <v>2.0358858304232819E-5</v>
      </c>
      <c r="G22" s="47">
        <f>$B22*(1-H$2)</f>
        <v>4.0717716608465638E-5</v>
      </c>
      <c r="I22" s="47">
        <f>$B22*(1-J$2)</f>
        <v>6.1076574912698485E-5</v>
      </c>
      <c r="K22" s="47">
        <f>$B22*(1-L$2)</f>
        <v>0</v>
      </c>
      <c r="M22" s="47">
        <f>$B22*(1-N$2)</f>
        <v>2.0358858304232819E-5</v>
      </c>
      <c r="O22" s="47">
        <f>$B22*(1-P$2)</f>
        <v>4.0717716608465638E-5</v>
      </c>
      <c r="Q22" s="47">
        <f>$B22*(1-R$2)</f>
        <v>6.1076574912698485E-5</v>
      </c>
      <c r="S22" s="47">
        <f>$B22*(1-T$2)</f>
        <v>0</v>
      </c>
      <c r="U22" s="47">
        <f>$B22*(1-V$2)</f>
        <v>2.0358858304232819E-5</v>
      </c>
      <c r="W22" s="47">
        <f>$B22*(1-X$2)</f>
        <v>4.0717716608465638E-5</v>
      </c>
      <c r="Y22" s="47">
        <f>$B22*(1-Z$2)</f>
        <v>6.1076574912698485E-5</v>
      </c>
      <c r="AA22" s="12">
        <f>results!C24</f>
        <v>3.5823018066085837E-3</v>
      </c>
      <c r="AB22" s="46">
        <f>$AA22*(1-AC$2)</f>
        <v>0</v>
      </c>
      <c r="AD22" s="46">
        <f>$AA22*(1-AE$2)</f>
        <v>3.5823018066085831E-4</v>
      </c>
      <c r="AF22" s="46">
        <f>$AA22*(1-AG$2)</f>
        <v>7.1646036132171661E-4</v>
      </c>
      <c r="AH22" s="46">
        <f>$AA22*(1-AI$2)</f>
        <v>1.0746905419825752E-3</v>
      </c>
      <c r="AJ22" s="46">
        <f>$AA22*(1-AK$2)</f>
        <v>0</v>
      </c>
      <c r="AL22" s="46">
        <f>$AA22*(1-AM$2)</f>
        <v>3.5823018066085831E-4</v>
      </c>
      <c r="AN22" s="46">
        <f>$AA22*(1-AO$2)</f>
        <v>7.1646036132171661E-4</v>
      </c>
      <c r="AP22" s="46">
        <f>$AA22*(1-AQ$2)</f>
        <v>1.0746905419825752E-3</v>
      </c>
      <c r="AR22" s="46">
        <f>$AA22*(1-AS$2)</f>
        <v>0</v>
      </c>
      <c r="AT22" s="46">
        <f>$AA22*(1-AU$2)</f>
        <v>3.5823018066085831E-4</v>
      </c>
      <c r="AV22" s="46">
        <f>$AA22*(1-AW$2)</f>
        <v>7.1646036132171661E-4</v>
      </c>
      <c r="AX22" s="46">
        <f>$AA22*(1-AY$2)</f>
        <v>1.0746905419825752E-3</v>
      </c>
    </row>
    <row r="23" spans="1:50" s="47" customFormat="1">
      <c r="A23" s="33" t="str">
        <f>results!A25</f>
        <v>ETL spin coating</v>
      </c>
      <c r="B23" s="33">
        <f>results!B25</f>
        <v>2.1954647633780482</v>
      </c>
      <c r="C23" s="47">
        <f t="shared" ref="C23:E24" si="84">$B23*(1-D$2)</f>
        <v>0</v>
      </c>
      <c r="E23" s="47">
        <f t="shared" si="84"/>
        <v>0.21954647633780477</v>
      </c>
      <c r="G23" s="47">
        <f t="shared" ref="G23" si="85">$B23*(1-H$2)</f>
        <v>0.43909295267560955</v>
      </c>
      <c r="I23" s="47">
        <f t="shared" ref="I23" si="86">$B23*(1-J$2)</f>
        <v>0.65863942901341455</v>
      </c>
      <c r="K23" s="47">
        <f t="shared" ref="K23" si="87">$B23*(1-L$2)</f>
        <v>0</v>
      </c>
      <c r="M23" s="47">
        <f t="shared" ref="M23" si="88">$B23*(1-N$2)</f>
        <v>0.21954647633780477</v>
      </c>
      <c r="O23" s="47">
        <f t="shared" ref="O23" si="89">$B23*(1-P$2)</f>
        <v>0.43909295267560955</v>
      </c>
      <c r="Q23" s="47">
        <f t="shared" ref="Q23" si="90">$B23*(1-R$2)</f>
        <v>0.65863942901341455</v>
      </c>
      <c r="S23" s="47">
        <f t="shared" ref="S23" si="91">$B23*(1-T$2)</f>
        <v>0</v>
      </c>
      <c r="U23" s="47">
        <f t="shared" ref="U23" si="92">$B23*(1-V$2)</f>
        <v>0.21954647633780477</v>
      </c>
      <c r="W23" s="47">
        <f t="shared" ref="W23" si="93">$B23*(1-X$2)</f>
        <v>0.43909295267560955</v>
      </c>
      <c r="Y23" s="47">
        <f t="shared" ref="Y23" si="94">$B23*(1-Z$2)</f>
        <v>0.65863942901341455</v>
      </c>
      <c r="AA23" s="12">
        <f>results!C25</f>
        <v>38.630935343557496</v>
      </c>
      <c r="AB23" s="46">
        <f t="shared" ref="AB23:AD24" si="95">$AA23*(1-AC$2)</f>
        <v>0</v>
      </c>
      <c r="AC23" s="46"/>
      <c r="AD23" s="46">
        <f t="shared" si="95"/>
        <v>3.8630935343557486</v>
      </c>
      <c r="AE23" s="46"/>
      <c r="AF23" s="46">
        <f t="shared" ref="AF23" si="96">$AA23*(1-AG$2)</f>
        <v>7.7261870687114973</v>
      </c>
      <c r="AG23" s="46"/>
      <c r="AH23" s="46">
        <f t="shared" ref="AH23" si="97">$AA23*(1-AI$2)</f>
        <v>11.58928060306725</v>
      </c>
      <c r="AI23" s="46"/>
      <c r="AJ23" s="46">
        <f t="shared" ref="AJ23" si="98">$AA23*(1-AK$2)</f>
        <v>0</v>
      </c>
      <c r="AK23" s="46"/>
      <c r="AL23" s="46">
        <f t="shared" ref="AL23" si="99">$AA23*(1-AM$2)</f>
        <v>3.8630935343557486</v>
      </c>
      <c r="AM23" s="46"/>
      <c r="AN23" s="46">
        <f t="shared" ref="AN23" si="100">$AA23*(1-AO$2)</f>
        <v>7.7261870687114973</v>
      </c>
      <c r="AO23" s="46"/>
      <c r="AP23" s="46">
        <f t="shared" ref="AP23" si="101">$AA23*(1-AQ$2)</f>
        <v>11.58928060306725</v>
      </c>
      <c r="AQ23" s="46"/>
      <c r="AR23" s="46">
        <f t="shared" ref="AR23" si="102">$AA23*(1-AS$2)</f>
        <v>0</v>
      </c>
      <c r="AS23" s="46"/>
      <c r="AT23" s="46">
        <f t="shared" ref="AT23" si="103">$AA23*(1-AU$2)</f>
        <v>3.8630935343557486</v>
      </c>
      <c r="AU23" s="46"/>
      <c r="AV23" s="46">
        <f t="shared" ref="AV23" si="104">$AA23*(1-AW$2)</f>
        <v>7.7261870687114973</v>
      </c>
      <c r="AW23" s="46"/>
      <c r="AX23" s="46">
        <f t="shared" ref="AX23" si="105">$AA23*(1-AY$2)</f>
        <v>11.58928060306725</v>
      </c>
    </row>
    <row r="24" spans="1:50" s="47" customFormat="1">
      <c r="A24" s="33" t="str">
        <f>results!A26</f>
        <v>ETL calcining</v>
      </c>
      <c r="B24" s="33">
        <f>results!B26</f>
        <v>17.038080013630463</v>
      </c>
      <c r="C24" s="47">
        <f t="shared" si="84"/>
        <v>0</v>
      </c>
      <c r="E24" s="47">
        <f t="shared" si="84"/>
        <v>1.7038080013630459</v>
      </c>
      <c r="G24" s="47">
        <f t="shared" ref="G24" si="106">$B24*(1-H$2)</f>
        <v>3.4076160027260918</v>
      </c>
      <c r="I24" s="47">
        <f t="shared" ref="I24" si="107">$B24*(1-J$2)</f>
        <v>5.1114240040891392</v>
      </c>
      <c r="K24" s="47">
        <f t="shared" ref="K24" si="108">$B24*(1-L$2)</f>
        <v>0</v>
      </c>
      <c r="M24" s="47">
        <f t="shared" ref="M24" si="109">$B24*(1-N$2)</f>
        <v>1.7038080013630459</v>
      </c>
      <c r="O24" s="47">
        <f t="shared" ref="O24" si="110">$B24*(1-P$2)</f>
        <v>3.4076160027260918</v>
      </c>
      <c r="Q24" s="47">
        <f t="shared" ref="Q24" si="111">$B24*(1-R$2)</f>
        <v>5.1114240040891392</v>
      </c>
      <c r="S24" s="47">
        <f t="shared" ref="S24" si="112">$B24*(1-T$2)</f>
        <v>0</v>
      </c>
      <c r="U24" s="47">
        <f t="shared" ref="U24" si="113">$B24*(1-V$2)</f>
        <v>1.7038080013630459</v>
      </c>
      <c r="W24" s="47">
        <f t="shared" ref="W24" si="114">$B24*(1-X$2)</f>
        <v>3.4076160027260918</v>
      </c>
      <c r="Y24" s="47">
        <f t="shared" ref="Y24" si="115">$B24*(1-Z$2)</f>
        <v>5.1114240040891392</v>
      </c>
      <c r="AA24" s="12">
        <f>results!C26</f>
        <v>299.79846562063881</v>
      </c>
      <c r="AB24" s="46">
        <f t="shared" si="95"/>
        <v>0</v>
      </c>
      <c r="AC24" s="46"/>
      <c r="AD24" s="46">
        <f t="shared" si="95"/>
        <v>29.979846562063873</v>
      </c>
      <c r="AE24" s="46"/>
      <c r="AF24" s="46">
        <f t="shared" ref="AF24" si="116">$AA24*(1-AG$2)</f>
        <v>59.959693124127746</v>
      </c>
      <c r="AG24" s="46"/>
      <c r="AH24" s="46">
        <f t="shared" ref="AH24" si="117">$AA24*(1-AI$2)</f>
        <v>89.939539686191651</v>
      </c>
      <c r="AI24" s="46"/>
      <c r="AJ24" s="46">
        <f t="shared" ref="AJ24" si="118">$AA24*(1-AK$2)</f>
        <v>0</v>
      </c>
      <c r="AK24" s="46"/>
      <c r="AL24" s="46">
        <f t="shared" ref="AL24" si="119">$AA24*(1-AM$2)</f>
        <v>29.979846562063873</v>
      </c>
      <c r="AM24" s="46"/>
      <c r="AN24" s="46">
        <f t="shared" ref="AN24" si="120">$AA24*(1-AO$2)</f>
        <v>59.959693124127746</v>
      </c>
      <c r="AO24" s="46"/>
      <c r="AP24" s="46">
        <f t="shared" ref="AP24" si="121">$AA24*(1-AQ$2)</f>
        <v>89.939539686191651</v>
      </c>
      <c r="AQ24" s="46"/>
      <c r="AR24" s="46">
        <f t="shared" ref="AR24" si="122">$AA24*(1-AS$2)</f>
        <v>0</v>
      </c>
      <c r="AS24" s="46"/>
      <c r="AT24" s="46">
        <f t="shared" ref="AT24" si="123">$AA24*(1-AU$2)</f>
        <v>29.979846562063873</v>
      </c>
      <c r="AU24" s="46"/>
      <c r="AV24" s="46">
        <f t="shared" ref="AV24" si="124">$AA24*(1-AW$2)</f>
        <v>59.959693124127746</v>
      </c>
      <c r="AW24" s="46"/>
      <c r="AX24" s="46">
        <f t="shared" ref="AX24" si="125">$AA24*(1-AY$2)</f>
        <v>89.939539686191651</v>
      </c>
    </row>
    <row r="25" spans="1:50">
      <c r="A25" s="22" t="str">
        <f>results!A27</f>
        <v>PL 1st-step spin coating</v>
      </c>
      <c r="B25" s="22">
        <f>results!B27</f>
        <v>8.4576274476780081E-2</v>
      </c>
      <c r="C25" s="48">
        <f t="shared" ref="C25:Y29" si="126">$B25</f>
        <v>8.4576274476780081E-2</v>
      </c>
      <c r="E25" s="48">
        <f t="shared" si="126"/>
        <v>8.4576274476780081E-2</v>
      </c>
      <c r="G25" s="48">
        <f t="shared" si="126"/>
        <v>8.4576274476780081E-2</v>
      </c>
      <c r="I25" s="48">
        <f t="shared" si="126"/>
        <v>8.4576274476780081E-2</v>
      </c>
      <c r="K25" s="48">
        <f t="shared" si="126"/>
        <v>8.4576274476780081E-2</v>
      </c>
      <c r="M25" s="48">
        <f t="shared" si="126"/>
        <v>8.4576274476780081E-2</v>
      </c>
      <c r="O25" s="48">
        <f t="shared" si="126"/>
        <v>8.4576274476780081E-2</v>
      </c>
      <c r="Q25" s="48">
        <f t="shared" si="126"/>
        <v>8.4576274476780081E-2</v>
      </c>
      <c r="S25" s="48">
        <f t="shared" si="126"/>
        <v>8.4576274476780081E-2</v>
      </c>
      <c r="U25" s="48">
        <f t="shared" si="126"/>
        <v>8.4576274476780081E-2</v>
      </c>
      <c r="W25" s="48">
        <f t="shared" si="126"/>
        <v>8.4576274476780081E-2</v>
      </c>
      <c r="Y25" s="48">
        <f t="shared" si="126"/>
        <v>8.4576274476780081E-2</v>
      </c>
      <c r="AA25" s="17">
        <f>results!C27</f>
        <v>1.4881863036072136</v>
      </c>
      <c r="AB25">
        <f>$AA25</f>
        <v>1.4881863036072136</v>
      </c>
      <c r="AD25">
        <f>$AA25</f>
        <v>1.4881863036072136</v>
      </c>
      <c r="AF25">
        <f>$AA25</f>
        <v>1.4881863036072136</v>
      </c>
      <c r="AH25">
        <f>$AA25</f>
        <v>1.4881863036072136</v>
      </c>
      <c r="AJ25">
        <f>$AA25</f>
        <v>1.4881863036072136</v>
      </c>
      <c r="AL25">
        <f>$AA25</f>
        <v>1.4881863036072136</v>
      </c>
      <c r="AN25">
        <f>$AA25</f>
        <v>1.4881863036072136</v>
      </c>
      <c r="AP25">
        <f>$AA25</f>
        <v>1.4881863036072136</v>
      </c>
      <c r="AR25">
        <f>$AA25</f>
        <v>1.4881863036072136</v>
      </c>
      <c r="AT25">
        <f>$AA25</f>
        <v>1.4881863036072136</v>
      </c>
      <c r="AV25">
        <f>$AA25</f>
        <v>1.4881863036072136</v>
      </c>
      <c r="AX25">
        <f>$AA25</f>
        <v>1.4881863036072136</v>
      </c>
    </row>
    <row r="26" spans="1:50">
      <c r="A26" s="22" t="str">
        <f>results!A28</f>
        <v>PL 2nd-step spin coating</v>
      </c>
      <c r="B26" s="22">
        <f>results!B28</f>
        <v>8.2436494732517538</v>
      </c>
      <c r="C26" s="48">
        <f t="shared" si="126"/>
        <v>8.2436494732517538</v>
      </c>
      <c r="E26" s="48">
        <f t="shared" si="126"/>
        <v>8.2436494732517538</v>
      </c>
      <c r="G26" s="48">
        <f t="shared" si="126"/>
        <v>8.2436494732517538</v>
      </c>
      <c r="I26" s="48">
        <f t="shared" si="126"/>
        <v>8.2436494732517538</v>
      </c>
      <c r="K26" s="48">
        <f t="shared" si="126"/>
        <v>8.2436494732517538</v>
      </c>
      <c r="M26" s="48">
        <f t="shared" si="126"/>
        <v>8.2436494732517538</v>
      </c>
      <c r="O26" s="48">
        <f t="shared" si="126"/>
        <v>8.2436494732517538</v>
      </c>
      <c r="Q26" s="48">
        <f t="shared" si="126"/>
        <v>8.2436494732517538</v>
      </c>
      <c r="S26" s="48">
        <f t="shared" si="126"/>
        <v>8.2436494732517538</v>
      </c>
      <c r="U26" s="48">
        <f t="shared" si="126"/>
        <v>8.2436494732517538</v>
      </c>
      <c r="W26" s="48">
        <f t="shared" si="126"/>
        <v>8.2436494732517538</v>
      </c>
      <c r="Y26" s="48">
        <f t="shared" si="126"/>
        <v>8.2436494732517538</v>
      </c>
      <c r="AA26" s="17">
        <f>results!C28</f>
        <v>145.05351901259513</v>
      </c>
      <c r="AB26">
        <f t="shared" ref="AB26:AX29" si="127">$AA26</f>
        <v>145.05351901259513</v>
      </c>
      <c r="AD26">
        <f t="shared" si="127"/>
        <v>145.05351901259513</v>
      </c>
      <c r="AF26">
        <f t="shared" si="127"/>
        <v>145.05351901259513</v>
      </c>
      <c r="AH26">
        <f t="shared" si="127"/>
        <v>145.05351901259513</v>
      </c>
      <c r="AJ26">
        <f t="shared" si="127"/>
        <v>145.05351901259513</v>
      </c>
      <c r="AL26">
        <f t="shared" si="127"/>
        <v>145.05351901259513</v>
      </c>
      <c r="AN26">
        <f t="shared" si="127"/>
        <v>145.05351901259513</v>
      </c>
      <c r="AP26">
        <f t="shared" si="127"/>
        <v>145.05351901259513</v>
      </c>
      <c r="AR26">
        <f t="shared" si="127"/>
        <v>145.05351901259513</v>
      </c>
      <c r="AT26">
        <f t="shared" si="127"/>
        <v>145.05351901259513</v>
      </c>
      <c r="AV26">
        <f t="shared" si="127"/>
        <v>145.05351901259513</v>
      </c>
      <c r="AX26">
        <f t="shared" si="127"/>
        <v>145.05351901259513</v>
      </c>
    </row>
    <row r="27" spans="1:50">
      <c r="A27" s="22" t="str">
        <f>results!A29</f>
        <v>PL drying</v>
      </c>
      <c r="B27" s="22">
        <f>results!B29</f>
        <v>15.334272012267418</v>
      </c>
      <c r="C27" s="48">
        <f t="shared" si="126"/>
        <v>15.334272012267418</v>
      </c>
      <c r="E27" s="48">
        <f t="shared" si="126"/>
        <v>15.334272012267418</v>
      </c>
      <c r="G27" s="48">
        <f t="shared" si="126"/>
        <v>15.334272012267418</v>
      </c>
      <c r="I27" s="48">
        <f t="shared" si="126"/>
        <v>15.334272012267418</v>
      </c>
      <c r="K27" s="48">
        <f t="shared" si="126"/>
        <v>15.334272012267418</v>
      </c>
      <c r="M27" s="48">
        <f t="shared" si="126"/>
        <v>15.334272012267418</v>
      </c>
      <c r="O27" s="48">
        <f t="shared" si="126"/>
        <v>15.334272012267418</v>
      </c>
      <c r="Q27" s="48">
        <f t="shared" si="126"/>
        <v>15.334272012267418</v>
      </c>
      <c r="S27" s="48">
        <f t="shared" si="126"/>
        <v>15.334272012267418</v>
      </c>
      <c r="U27" s="48">
        <f t="shared" si="126"/>
        <v>15.334272012267418</v>
      </c>
      <c r="W27" s="48">
        <f t="shared" si="126"/>
        <v>15.334272012267418</v>
      </c>
      <c r="Y27" s="48">
        <f t="shared" si="126"/>
        <v>15.334272012267418</v>
      </c>
      <c r="AA27" s="17">
        <f>results!C29</f>
        <v>269.81861905857494</v>
      </c>
      <c r="AB27">
        <f t="shared" si="127"/>
        <v>269.81861905857494</v>
      </c>
      <c r="AD27">
        <f t="shared" si="127"/>
        <v>269.81861905857494</v>
      </c>
      <c r="AF27">
        <f t="shared" si="127"/>
        <v>269.81861905857494</v>
      </c>
      <c r="AH27">
        <f t="shared" si="127"/>
        <v>269.81861905857494</v>
      </c>
      <c r="AJ27">
        <f t="shared" si="127"/>
        <v>269.81861905857494</v>
      </c>
      <c r="AL27">
        <f t="shared" si="127"/>
        <v>269.81861905857494</v>
      </c>
      <c r="AN27">
        <f t="shared" si="127"/>
        <v>269.81861905857494</v>
      </c>
      <c r="AP27">
        <f t="shared" si="127"/>
        <v>269.81861905857494</v>
      </c>
      <c r="AR27">
        <f t="shared" si="127"/>
        <v>269.81861905857494</v>
      </c>
      <c r="AT27">
        <f t="shared" si="127"/>
        <v>269.81861905857494</v>
      </c>
      <c r="AV27">
        <f t="shared" si="127"/>
        <v>269.81861905857494</v>
      </c>
      <c r="AX27">
        <f t="shared" si="127"/>
        <v>269.81861905857494</v>
      </c>
    </row>
    <row r="28" spans="1:50">
      <c r="A28" s="22" t="str">
        <f>results!A30</f>
        <v>HTL spin coating</v>
      </c>
      <c r="B28" s="22">
        <f>results!B30</f>
        <v>1.5223729405820419</v>
      </c>
      <c r="C28" s="48">
        <f t="shared" si="126"/>
        <v>1.5223729405820419</v>
      </c>
      <c r="E28" s="48">
        <f t="shared" si="126"/>
        <v>1.5223729405820419</v>
      </c>
      <c r="G28" s="48">
        <f t="shared" si="126"/>
        <v>1.5223729405820419</v>
      </c>
      <c r="I28" s="48">
        <f t="shared" si="126"/>
        <v>1.5223729405820419</v>
      </c>
      <c r="K28" s="48">
        <f t="shared" si="126"/>
        <v>1.5223729405820419</v>
      </c>
      <c r="M28" s="48">
        <f t="shared" si="126"/>
        <v>1.5223729405820419</v>
      </c>
      <c r="O28" s="48">
        <f t="shared" si="126"/>
        <v>1.5223729405820419</v>
      </c>
      <c r="Q28" s="48">
        <f t="shared" si="126"/>
        <v>1.5223729405820419</v>
      </c>
      <c r="S28" s="48">
        <f t="shared" si="126"/>
        <v>1.5223729405820419</v>
      </c>
      <c r="U28" s="48">
        <f t="shared" si="126"/>
        <v>1.5223729405820419</v>
      </c>
      <c r="W28" s="48">
        <f t="shared" si="126"/>
        <v>1.5223729405820419</v>
      </c>
      <c r="Y28" s="48">
        <f t="shared" si="126"/>
        <v>1.5223729405820419</v>
      </c>
      <c r="AA28" s="17">
        <f>results!C30</f>
        <v>26.787353464929854</v>
      </c>
      <c r="AB28">
        <f t="shared" si="127"/>
        <v>26.787353464929854</v>
      </c>
      <c r="AD28">
        <f t="shared" si="127"/>
        <v>26.787353464929854</v>
      </c>
      <c r="AF28">
        <f t="shared" si="127"/>
        <v>26.787353464929854</v>
      </c>
      <c r="AH28">
        <f t="shared" si="127"/>
        <v>26.787353464929854</v>
      </c>
      <c r="AJ28">
        <f t="shared" si="127"/>
        <v>26.787353464929854</v>
      </c>
      <c r="AL28">
        <f t="shared" si="127"/>
        <v>26.787353464929854</v>
      </c>
      <c r="AN28">
        <f t="shared" si="127"/>
        <v>26.787353464929854</v>
      </c>
      <c r="AP28">
        <f t="shared" si="127"/>
        <v>26.787353464929854</v>
      </c>
      <c r="AR28">
        <f t="shared" si="127"/>
        <v>26.787353464929854</v>
      </c>
      <c r="AT28">
        <f t="shared" si="127"/>
        <v>26.787353464929854</v>
      </c>
      <c r="AV28">
        <f t="shared" si="127"/>
        <v>26.787353464929854</v>
      </c>
      <c r="AX28">
        <f t="shared" si="127"/>
        <v>26.787353464929854</v>
      </c>
    </row>
    <row r="29" spans="1:50">
      <c r="A29" s="22" t="str">
        <f>results!A31</f>
        <v>Electrode sputtering</v>
      </c>
      <c r="B29" s="22">
        <f>results!B31</f>
        <v>5.0088800040071035</v>
      </c>
      <c r="C29" s="48">
        <f t="shared" si="126"/>
        <v>5.0088800040071035</v>
      </c>
      <c r="E29" s="48">
        <f t="shared" si="126"/>
        <v>5.0088800040071035</v>
      </c>
      <c r="G29" s="48">
        <f t="shared" si="126"/>
        <v>5.0088800040071035</v>
      </c>
      <c r="I29" s="48">
        <f t="shared" si="126"/>
        <v>5.0088800040071035</v>
      </c>
      <c r="K29" s="48">
        <f t="shared" si="126"/>
        <v>5.0088800040071035</v>
      </c>
      <c r="M29" s="48">
        <f t="shared" si="126"/>
        <v>5.0088800040071035</v>
      </c>
      <c r="O29" s="48">
        <f t="shared" si="126"/>
        <v>5.0088800040071035</v>
      </c>
      <c r="Q29" s="48">
        <f t="shared" si="126"/>
        <v>5.0088800040071035</v>
      </c>
      <c r="S29" s="48">
        <f t="shared" si="126"/>
        <v>5.0088800040071035</v>
      </c>
      <c r="U29" s="48">
        <f t="shared" si="126"/>
        <v>5.0088800040071035</v>
      </c>
      <c r="W29" s="48">
        <f t="shared" si="126"/>
        <v>5.0088800040071035</v>
      </c>
      <c r="Y29" s="48">
        <f t="shared" si="126"/>
        <v>5.0088800040071035</v>
      </c>
      <c r="AA29" s="17">
        <f>results!C31</f>
        <v>88.135197069030383</v>
      </c>
      <c r="AB29">
        <f t="shared" si="127"/>
        <v>88.135197069030383</v>
      </c>
      <c r="AD29">
        <f t="shared" si="127"/>
        <v>88.135197069030383</v>
      </c>
      <c r="AF29">
        <f t="shared" si="127"/>
        <v>88.135197069030383</v>
      </c>
      <c r="AH29">
        <f t="shared" si="127"/>
        <v>88.135197069030383</v>
      </c>
      <c r="AJ29">
        <f t="shared" si="127"/>
        <v>88.135197069030383</v>
      </c>
      <c r="AL29">
        <f t="shared" si="127"/>
        <v>88.135197069030383</v>
      </c>
      <c r="AN29">
        <f t="shared" si="127"/>
        <v>88.135197069030383</v>
      </c>
      <c r="AP29">
        <f t="shared" si="127"/>
        <v>88.135197069030383</v>
      </c>
      <c r="AR29">
        <f t="shared" si="127"/>
        <v>88.135197069030383</v>
      </c>
      <c r="AT29">
        <f t="shared" si="127"/>
        <v>88.135197069030383</v>
      </c>
      <c r="AV29">
        <f t="shared" si="127"/>
        <v>88.135197069030383</v>
      </c>
      <c r="AX29">
        <f t="shared" si="127"/>
        <v>88.135197069030383</v>
      </c>
    </row>
    <row r="30" spans="1:50" s="47" customFormat="1">
      <c r="A30" s="12" t="s">
        <v>82</v>
      </c>
      <c r="B30" s="12">
        <v>0</v>
      </c>
      <c r="C30" s="47">
        <f>recycling!$B$52*D2</f>
        <v>1.6328160013062525E-2</v>
      </c>
      <c r="E30" s="47">
        <f>recycling!$B$52*F2</f>
        <v>1.4695344011756272E-2</v>
      </c>
      <c r="G30" s="47">
        <f>recycling!$B$52*H2</f>
        <v>1.306252801045002E-2</v>
      </c>
      <c r="I30" s="47">
        <f>recycling!$B$52*J2</f>
        <v>1.1429712009143767E-2</v>
      </c>
      <c r="K30" s="47">
        <f>recycling!$B$52*L2</f>
        <v>1.6328160013062525E-2</v>
      </c>
      <c r="M30" s="47">
        <f>recycling!$B$52*N2</f>
        <v>1.4695344011756272E-2</v>
      </c>
      <c r="O30" s="47">
        <f>recycling!$B$52*P2</f>
        <v>1.306252801045002E-2</v>
      </c>
      <c r="Q30" s="47">
        <f>recycling!$B$52*R2</f>
        <v>1.1429712009143767E-2</v>
      </c>
      <c r="S30" s="47">
        <f>recycling!$B$52*T2</f>
        <v>1.6328160013062525E-2</v>
      </c>
      <c r="U30" s="47">
        <f>recycling!$B$52*V2</f>
        <v>1.4695344011756272E-2</v>
      </c>
      <c r="W30" s="47">
        <f>recycling!$B$52*X2</f>
        <v>1.306252801045002E-2</v>
      </c>
      <c r="Y30" s="47">
        <f>recycling!$B$52*Z2</f>
        <v>1.1429712009143767E-2</v>
      </c>
      <c r="AA30" s="12">
        <v>0</v>
      </c>
      <c r="AB30" s="47">
        <f>recycling!$C$52*'recycling level'!AC2</f>
        <v>0.28730686288644547</v>
      </c>
      <c r="AD30" s="47">
        <f>recycling!$C$52*'recycling level'!AE2</f>
        <v>0.25857617659780091</v>
      </c>
      <c r="AF30" s="47">
        <f>recycling!$C$52*'recycling level'!AG2</f>
        <v>0.22984549030915638</v>
      </c>
      <c r="AH30" s="47">
        <f>recycling!$C$52*'recycling level'!AI2</f>
        <v>0.20111480402051182</v>
      </c>
      <c r="AJ30" s="47">
        <f>recycling!$C$52*'recycling level'!AK2</f>
        <v>0.28730686288644547</v>
      </c>
      <c r="AL30" s="47">
        <f>recycling!$C$52*'recycling level'!AM2</f>
        <v>0.25857617659780091</v>
      </c>
      <c r="AN30" s="47">
        <f>recycling!$C$52*'recycling level'!AO2</f>
        <v>0.22984549030915638</v>
      </c>
      <c r="AP30" s="47">
        <f>recycling!$C$52*'recycling level'!AQ2</f>
        <v>0.20111480402051182</v>
      </c>
      <c r="AR30" s="47">
        <f>recycling!$C$52*'recycling level'!AS2</f>
        <v>0.28730686288644547</v>
      </c>
      <c r="AT30" s="47">
        <f>recycling!$C$52*'recycling level'!AU2</f>
        <v>0.25857617659780091</v>
      </c>
      <c r="AV30" s="47">
        <f>recycling!$C$52*'recycling level'!AW2</f>
        <v>0.22984549030915638</v>
      </c>
      <c r="AX30" s="47">
        <f>recycling!$C$52*'recycling level'!AY2</f>
        <v>0.20111480402051182</v>
      </c>
    </row>
    <row r="31" spans="1:50" s="47" customFormat="1">
      <c r="A31" s="12" t="s">
        <v>132</v>
      </c>
      <c r="B31" s="12">
        <v>0</v>
      </c>
      <c r="C31" s="47">
        <f>'[8]FTO with TiO2'!$U$33</f>
        <v>6.0357972033270002</v>
      </c>
      <c r="E31" s="47">
        <f>'[8]FTO with TiO2'!$U$33</f>
        <v>6.0357972033270002</v>
      </c>
      <c r="G31" s="47">
        <f>'[8]FTO with TiO2'!$U$33</f>
        <v>6.0357972033270002</v>
      </c>
      <c r="I31" s="47">
        <f>'[8]FTO with TiO2'!$U$33</f>
        <v>6.0357972033270002</v>
      </c>
      <c r="K31" s="47">
        <f>'[8]FTO with TiO2'!$U$33</f>
        <v>6.0357972033270002</v>
      </c>
      <c r="M31" s="47">
        <f>'[8]FTO with TiO2'!$U$33</f>
        <v>6.0357972033270002</v>
      </c>
      <c r="O31" s="47">
        <f>'[8]FTO with TiO2'!$U$33</f>
        <v>6.0357972033270002</v>
      </c>
      <c r="Q31" s="47">
        <f>'[8]FTO with TiO2'!$U$33</f>
        <v>6.0357972033270002</v>
      </c>
      <c r="S31" s="47">
        <f>'[8]FTO with TiO2'!$U$33</f>
        <v>6.0357972033270002</v>
      </c>
      <c r="U31" s="47">
        <f>'[8]FTO with TiO2'!$U$33</f>
        <v>6.0357972033270002</v>
      </c>
      <c r="W31" s="47">
        <f>'[8]FTO with TiO2'!$U$33</f>
        <v>6.0357972033270002</v>
      </c>
      <c r="Y31" s="47">
        <f>'[8]FTO with TiO2'!$U$33</f>
        <v>6.0357972033270002</v>
      </c>
      <c r="AA31" s="12">
        <v>0</v>
      </c>
      <c r="AB31" s="47">
        <f>'[8]FTO with TiO2'!$V$33</f>
        <v>140.95794733817957</v>
      </c>
      <c r="AD31" s="47">
        <f>'[8]FTO with TiO2'!$V$33</f>
        <v>140.95794733817957</v>
      </c>
      <c r="AF31" s="47">
        <f>'[8]FTO with TiO2'!$V$33</f>
        <v>140.95794733817957</v>
      </c>
      <c r="AH31" s="47">
        <f>'[8]FTO with TiO2'!$V$33</f>
        <v>140.95794733817957</v>
      </c>
      <c r="AJ31" s="47">
        <f>'[8]FTO with TiO2'!$V$33</f>
        <v>140.95794733817957</v>
      </c>
      <c r="AL31" s="47">
        <f>'[8]FTO with TiO2'!$V$33</f>
        <v>140.95794733817957</v>
      </c>
      <c r="AN31" s="47">
        <f>'[8]FTO with TiO2'!$V$33</f>
        <v>140.95794733817957</v>
      </c>
      <c r="AP31" s="47">
        <f>'[8]FTO with TiO2'!$V$33</f>
        <v>140.95794733817957</v>
      </c>
      <c r="AR31" s="47">
        <f>'[8]FTO with TiO2'!$V$33</f>
        <v>140.95794733817957</v>
      </c>
      <c r="AT31" s="47">
        <f>'[8]FTO with TiO2'!$V$33</f>
        <v>140.95794733817957</v>
      </c>
      <c r="AV31" s="47">
        <f>'[8]FTO with TiO2'!$V$33</f>
        <v>140.95794733817957</v>
      </c>
      <c r="AX31" s="47">
        <f>'[8]FTO with TiO2'!$V$33</f>
        <v>140.95794733817957</v>
      </c>
    </row>
    <row r="32" spans="1:50" s="47" customFormat="1">
      <c r="A32" s="12" t="str">
        <f>results!A33</f>
        <v>Treatment</v>
      </c>
      <c r="B32" s="12">
        <f>results!B33</f>
        <v>5.7228935999999989E-4</v>
      </c>
      <c r="C32" s="47">
        <f>$B$32+'[8]FTO with TiO2'!$U$25</f>
        <v>2.6830484976319671</v>
      </c>
      <c r="E32" s="47">
        <f>$B$32+'[8]FTO with TiO2'!$U$25</f>
        <v>2.6830484976319671</v>
      </c>
      <c r="G32" s="47">
        <f>$B$32+'[8]FTO with TiO2'!$U$25</f>
        <v>2.6830484976319671</v>
      </c>
      <c r="I32" s="47">
        <f>$B$32+'[8]FTO with TiO2'!$U$25</f>
        <v>2.6830484976319671</v>
      </c>
      <c r="K32" s="47">
        <f>$B$32+'[8]FTO with TiO2'!$U$25</f>
        <v>2.6830484976319671</v>
      </c>
      <c r="M32" s="47">
        <f>$B$32+'[8]FTO with TiO2'!$U$25</f>
        <v>2.6830484976319671</v>
      </c>
      <c r="O32" s="47">
        <f>$B$32+'[8]FTO with TiO2'!$U$25</f>
        <v>2.6830484976319671</v>
      </c>
      <c r="Q32" s="47">
        <f>$B$32+'[8]FTO with TiO2'!$U$25</f>
        <v>2.6830484976319671</v>
      </c>
      <c r="S32" s="47">
        <f>$B$32+'[8]FTO with TiO2'!$U$25</f>
        <v>2.6830484976319671</v>
      </c>
      <c r="U32" s="47">
        <f>$B$32+'[8]FTO with TiO2'!$U$25</f>
        <v>2.6830484976319671</v>
      </c>
      <c r="W32" s="47">
        <f>$B$32+'[8]FTO with TiO2'!$U$25</f>
        <v>2.6830484976319671</v>
      </c>
      <c r="Y32" s="47">
        <f>$B$32+'[8]FTO with TiO2'!$U$25</f>
        <v>2.6830484976319671</v>
      </c>
      <c r="AA32" s="12">
        <f>results!C33</f>
        <v>4.7824445274400008E-3</v>
      </c>
      <c r="AB32" s="47">
        <f>$AA$32+'[8]FTO with TiO2'!$V$25</f>
        <v>3.9911822215416271</v>
      </c>
      <c r="AD32" s="47">
        <f>$AA$32+'[8]FTO with TiO2'!$V$25</f>
        <v>3.9911822215416271</v>
      </c>
      <c r="AF32" s="47">
        <f>$AA$32+'[8]FTO with TiO2'!$V$25</f>
        <v>3.9911822215416271</v>
      </c>
      <c r="AH32" s="47">
        <f>$AA$32+'[8]FTO with TiO2'!$V$25</f>
        <v>3.9911822215416271</v>
      </c>
      <c r="AJ32" s="47">
        <f>$AA$32+'[8]FTO with TiO2'!$V$25</f>
        <v>3.9911822215416271</v>
      </c>
      <c r="AL32" s="47">
        <f>$AA$32+'[8]FTO with TiO2'!$V$25</f>
        <v>3.9911822215416271</v>
      </c>
      <c r="AN32" s="47">
        <f>$AA$32+'[8]FTO with TiO2'!$V$25</f>
        <v>3.9911822215416271</v>
      </c>
      <c r="AP32" s="47">
        <f>$AA$32+'[8]FTO with TiO2'!$V$25</f>
        <v>3.9911822215416271</v>
      </c>
      <c r="AR32" s="47">
        <f>$AA$32+'[8]FTO with TiO2'!$V$25</f>
        <v>3.9911822215416271</v>
      </c>
      <c r="AT32" s="47">
        <f>$AA$32+'[8]FTO with TiO2'!$V$25</f>
        <v>3.9911822215416271</v>
      </c>
      <c r="AV32" s="47">
        <f>$AA$32+'[8]FTO with TiO2'!$V$25</f>
        <v>3.9911822215416271</v>
      </c>
      <c r="AX32" s="47">
        <f>$AA$32+'[8]FTO with TiO2'!$V$25</f>
        <v>3.9911822215416271</v>
      </c>
    </row>
    <row r="34" spans="2:50">
      <c r="C34">
        <f>SUM(C3:C33)</f>
        <v>42.083066660839997</v>
      </c>
      <c r="E34">
        <f>SUM(E3:E33)</f>
        <v>44.361971440481739</v>
      </c>
      <c r="G34">
        <f>SUM(G3:G33)</f>
        <v>46.640876220123495</v>
      </c>
      <c r="I34">
        <f>SUM(I3:I33)</f>
        <v>48.919780999765244</v>
      </c>
      <c r="K34">
        <f>SUM(K3:K33)</f>
        <v>42.083303788487228</v>
      </c>
      <c r="M34">
        <f>SUM(M3:M33)</f>
        <v>44.362208568128978</v>
      </c>
      <c r="O34">
        <f>SUM(O3:O33)</f>
        <v>46.641113347770727</v>
      </c>
      <c r="Q34">
        <f>SUM(Q3:Q33)</f>
        <v>48.920018127412476</v>
      </c>
      <c r="S34">
        <f>SUM(S3:S33)</f>
        <v>42.08354091613446</v>
      </c>
      <c r="U34">
        <f>SUM(U3:U33)</f>
        <v>44.362445695776202</v>
      </c>
      <c r="W34">
        <f>SUM(W3:W33)</f>
        <v>46.641350475417958</v>
      </c>
      <c r="Y34">
        <f>SUM(Y3:Y33)</f>
        <v>48.920255255059708</v>
      </c>
      <c r="AB34">
        <f>SUM(AB3:AB33)</f>
        <v>732.12773105441329</v>
      </c>
      <c r="AD34">
        <f>SUM(AD3:AD33)</f>
        <v>774.70170221709293</v>
      </c>
      <c r="AF34">
        <f>SUM(AF3:AF33)</f>
        <v>817.27567337977268</v>
      </c>
      <c r="AH34">
        <f>SUM(AH3:AH33)</f>
        <v>859.84964454245244</v>
      </c>
      <c r="AJ34">
        <f>SUM(AJ3:AJ33)</f>
        <v>732.1311409469489</v>
      </c>
      <c r="AL34">
        <f>SUM(AL3:AL33)</f>
        <v>774.70511210962854</v>
      </c>
      <c r="AN34">
        <f>SUM(AN3:AN33)</f>
        <v>817.2790832723083</v>
      </c>
      <c r="AP34">
        <f>SUM(AP3:AP33)</f>
        <v>859.85305443498817</v>
      </c>
      <c r="AR34">
        <f>SUM(AR3:AR33)</f>
        <v>732.13455083948463</v>
      </c>
      <c r="AT34">
        <f>SUM(AT3:AT33)</f>
        <v>774.70852200216427</v>
      </c>
      <c r="AV34">
        <f>SUM(AV3:AV33)</f>
        <v>817.28249316484391</v>
      </c>
      <c r="AX34">
        <f>SUM(AX3:AX33)</f>
        <v>859.8564643275239</v>
      </c>
    </row>
    <row r="37" spans="2:50">
      <c r="E37" t="s">
        <v>134</v>
      </c>
    </row>
    <row r="38" spans="2:50">
      <c r="C38" s="38">
        <f t="shared" ref="C38" si="128">C34</f>
        <v>42.083066660839997</v>
      </c>
      <c r="D38" s="38">
        <f>E34</f>
        <v>44.361971440481739</v>
      </c>
      <c r="E38" s="38">
        <f>G34</f>
        <v>46.640876220123495</v>
      </c>
      <c r="F38" s="38">
        <f>I34</f>
        <v>48.919780999765244</v>
      </c>
    </row>
    <row r="39" spans="2:50">
      <c r="B39" s="1" t="s">
        <v>133</v>
      </c>
      <c r="C39" s="38">
        <f t="shared" ref="C39" si="129">K34</f>
        <v>42.083303788487228</v>
      </c>
      <c r="D39" s="38">
        <f>M34</f>
        <v>44.362208568128978</v>
      </c>
      <c r="E39" s="38">
        <f>O34</f>
        <v>46.641113347770727</v>
      </c>
      <c r="F39" s="38">
        <f>Q34</f>
        <v>48.920018127412476</v>
      </c>
    </row>
    <row r="40" spans="2:50">
      <c r="C40" s="38">
        <f t="shared" ref="C40" si="130">S34</f>
        <v>42.08354091613446</v>
      </c>
      <c r="D40" s="38">
        <f>U34</f>
        <v>44.362445695776202</v>
      </c>
      <c r="E40" s="38">
        <f>W34</f>
        <v>46.641350475417958</v>
      </c>
      <c r="F40" s="38">
        <f>Y34</f>
        <v>48.920255255059708</v>
      </c>
    </row>
    <row r="42" spans="2:50">
      <c r="E42" t="s">
        <v>134</v>
      </c>
    </row>
    <row r="43" spans="2:50">
      <c r="C43" s="53">
        <f>AB34</f>
        <v>732.12773105441329</v>
      </c>
      <c r="D43" s="53">
        <f>AD34</f>
        <v>774.70170221709293</v>
      </c>
      <c r="E43" s="53">
        <f>AF34</f>
        <v>817.27567337977268</v>
      </c>
      <c r="F43" s="53">
        <f>AH34</f>
        <v>859.84964454245244</v>
      </c>
    </row>
    <row r="44" spans="2:50">
      <c r="B44" s="1" t="s">
        <v>133</v>
      </c>
      <c r="C44" s="53">
        <f>AJ34</f>
        <v>732.1311409469489</v>
      </c>
      <c r="D44" s="53">
        <f>AL34</f>
        <v>774.70511210962854</v>
      </c>
      <c r="E44" s="53">
        <f>AN34</f>
        <v>817.2790832723083</v>
      </c>
      <c r="F44" s="53">
        <f>AP34</f>
        <v>859.85305443498817</v>
      </c>
    </row>
    <row r="45" spans="2:50">
      <c r="C45" s="53">
        <f>AR34</f>
        <v>732.13455083948463</v>
      </c>
      <c r="D45" s="53">
        <f>AT34</f>
        <v>774.70852200216427</v>
      </c>
      <c r="E45" s="53">
        <f>AV34</f>
        <v>817.28249316484391</v>
      </c>
      <c r="F45" s="53">
        <f>AX34</f>
        <v>859.8564643275239</v>
      </c>
    </row>
  </sheetData>
  <conditionalFormatting sqref="C38:F40">
    <cfRule type="colorScale" priority="2">
      <colorScale>
        <cfvo type="min"/>
        <cfvo type="max"/>
        <color rgb="FFFCFCFF"/>
        <color rgb="FF63BE7B"/>
      </colorScale>
    </cfRule>
  </conditionalFormatting>
  <conditionalFormatting sqref="C43:F45">
    <cfRule type="colorScale" priority="1">
      <colorScale>
        <cfvo type="min"/>
        <cfvo type="max"/>
        <color rgb="FFFCFCFF"/>
        <color rgb="FFF8696B"/>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450AD-F8E9-4F39-BB99-1484679EE06F}">
  <dimension ref="A1:Q36"/>
  <sheetViews>
    <sheetView workbookViewId="0">
      <pane xSplit="1" topLeftCell="B1" activePane="topRight" state="frozen"/>
      <selection pane="topRight" activeCell="O20" sqref="O20"/>
    </sheetView>
  </sheetViews>
  <sheetFormatPr defaultRowHeight="15"/>
  <cols>
    <col min="1" max="3" width="25.85546875" customWidth="1"/>
    <col min="8" max="8" width="12" bestFit="1" customWidth="1"/>
    <col min="9" max="9" width="9.28515625" bestFit="1" customWidth="1"/>
    <col min="11" max="11" width="59" customWidth="1"/>
  </cols>
  <sheetData>
    <row r="1" spans="1:17">
      <c r="E1" t="s">
        <v>133</v>
      </c>
      <c r="F1" t="s">
        <v>134</v>
      </c>
      <c r="H1" t="s">
        <v>133</v>
      </c>
      <c r="I1" t="s">
        <v>134</v>
      </c>
    </row>
    <row r="2" spans="1:17">
      <c r="A2">
        <f>results!A1</f>
        <v>0</v>
      </c>
      <c r="B2" t="str">
        <f>results!B1</f>
        <v>Carbon footprint</v>
      </c>
      <c r="C2" t="str">
        <f>results!C1</f>
        <v>Primary energy consumption</v>
      </c>
      <c r="E2" s="24">
        <v>1</v>
      </c>
      <c r="F2" s="24">
        <v>1</v>
      </c>
      <c r="H2" s="45">
        <f>N17</f>
        <v>1</v>
      </c>
      <c r="I2" s="45">
        <f>N15</f>
        <v>1</v>
      </c>
    </row>
    <row r="3" spans="1:17">
      <c r="A3" s="23" t="str">
        <f>'recycling level'!A3</f>
        <v>FTO glass</v>
      </c>
      <c r="B3">
        <f>'recycling level'!B3</f>
        <v>3.4780676817599994</v>
      </c>
      <c r="C3">
        <f>'recycling level'!AA3</f>
        <v>85.029036949120112</v>
      </c>
      <c r="E3">
        <f>'recycling level'!C3</f>
        <v>0</v>
      </c>
      <c r="F3">
        <f>'recycling level'!AB3</f>
        <v>0</v>
      </c>
      <c r="H3" s="34">
        <f>B3*(1-$I$2)</f>
        <v>0</v>
      </c>
      <c r="I3" s="34">
        <f>C3*(1-$I$2)</f>
        <v>0</v>
      </c>
    </row>
    <row r="4" spans="1:17">
      <c r="A4" s="23" t="str">
        <f>'recycling level'!A4</f>
        <v>Ethanol</v>
      </c>
      <c r="B4">
        <f>'recycling level'!B4</f>
        <v>7.2422429236363647E-2</v>
      </c>
      <c r="C4">
        <f>'recycling level'!AA4</f>
        <v>2.1516887421196365</v>
      </c>
      <c r="E4">
        <f>'recycling level'!C4</f>
        <v>0</v>
      </c>
      <c r="F4">
        <f>'recycling level'!AB4</f>
        <v>0</v>
      </c>
      <c r="H4" s="34">
        <f t="shared" ref="H4:I7" si="0">B4*(1-$I$2)</f>
        <v>0</v>
      </c>
      <c r="I4" s="34">
        <f t="shared" si="0"/>
        <v>0</v>
      </c>
    </row>
    <row r="5" spans="1:17">
      <c r="A5" s="23" t="str">
        <f>'recycling level'!A5</f>
        <v>Deionized water</v>
      </c>
      <c r="B5">
        <f>'recycling level'!B5</f>
        <v>5.6916582000000001E-5</v>
      </c>
      <c r="C5">
        <f>'recycling level'!AA5</f>
        <v>7.8310930304560005E-4</v>
      </c>
      <c r="E5">
        <f>'recycling level'!C5</f>
        <v>0</v>
      </c>
      <c r="F5">
        <f>'recycling level'!AB5</f>
        <v>0</v>
      </c>
      <c r="H5" s="34">
        <f t="shared" si="0"/>
        <v>0</v>
      </c>
      <c r="I5" s="34">
        <f t="shared" si="0"/>
        <v>0</v>
      </c>
    </row>
    <row r="6" spans="1:17">
      <c r="A6" s="23" t="str">
        <f>'recycling level'!A6</f>
        <v>BL-TiO₂ ink</v>
      </c>
      <c r="B6">
        <f>'recycling level'!B6</f>
        <v>1.1382696060619051E-2</v>
      </c>
      <c r="C6">
        <f>'recycling level'!AA6</f>
        <v>0.3085047812739285</v>
      </c>
      <c r="E6">
        <f>'recycling level'!C6</f>
        <v>0</v>
      </c>
      <c r="F6">
        <f>'recycling level'!AB6</f>
        <v>0</v>
      </c>
      <c r="H6" s="34">
        <f t="shared" si="0"/>
        <v>0</v>
      </c>
      <c r="I6" s="34">
        <f t="shared" si="0"/>
        <v>0</v>
      </c>
    </row>
    <row r="7" spans="1:17">
      <c r="A7" s="23" t="str">
        <f>'recycling level'!A7</f>
        <v>TiO₂</v>
      </c>
      <c r="B7">
        <f>'recycling level'!B7</f>
        <v>9.6978672000000016E-3</v>
      </c>
      <c r="C7">
        <f>'recycling level'!AA7</f>
        <v>0.10402164186408001</v>
      </c>
      <c r="E7">
        <f>'recycling level'!C7</f>
        <v>0</v>
      </c>
      <c r="F7">
        <f>'recycling level'!AB7</f>
        <v>0</v>
      </c>
      <c r="H7" s="34">
        <f t="shared" si="0"/>
        <v>0</v>
      </c>
      <c r="I7" s="34">
        <f t="shared" si="0"/>
        <v>0</v>
      </c>
    </row>
    <row r="8" spans="1:17" ht="15.75" thickBot="1">
      <c r="A8" t="str">
        <f>'recycling level'!A8</f>
        <v>FAI</v>
      </c>
      <c r="B8">
        <f>'recycling level'!B8</f>
        <v>3.3631633504582502E-2</v>
      </c>
      <c r="C8">
        <f>'recycling level'!AA8</f>
        <v>0.59575957692753112</v>
      </c>
      <c r="E8">
        <f>'recycling level'!C8</f>
        <v>3.3631633504582502E-2</v>
      </c>
      <c r="F8">
        <f>'recycling level'!AB8</f>
        <v>0.59575957692753112</v>
      </c>
      <c r="H8">
        <f>E8</f>
        <v>3.3631633504582502E-2</v>
      </c>
      <c r="I8">
        <f>F8</f>
        <v>0.59575957692753112</v>
      </c>
    </row>
    <row r="9" spans="1:17" ht="16.5" thickTop="1" thickBot="1">
      <c r="A9" t="str">
        <f>'recycling level'!A9</f>
        <v>PbI₂</v>
      </c>
      <c r="B9">
        <f>'recycling level'!B9</f>
        <v>5.2897034213452822E-3</v>
      </c>
      <c r="C9">
        <f>'recycling level'!AA9</f>
        <v>6.2900780904729572E-2</v>
      </c>
      <c r="E9">
        <f>'recycling level'!C9</f>
        <v>5.2897034213452822E-3</v>
      </c>
      <c r="F9">
        <f>'recycling level'!AB9</f>
        <v>6.2900780904729572E-2</v>
      </c>
      <c r="H9">
        <f t="shared" ref="H9:H19" si="1">E9</f>
        <v>5.2897034213452822E-3</v>
      </c>
      <c r="I9">
        <f t="shared" ref="I9:I19" si="2">F9</f>
        <v>6.2900780904729572E-2</v>
      </c>
      <c r="K9" s="40" t="s">
        <v>137</v>
      </c>
    </row>
    <row r="10" spans="1:17" ht="15.75" thickTop="1">
      <c r="A10" t="str">
        <f>'recycling level'!A10</f>
        <v>MABr</v>
      </c>
      <c r="B10">
        <f>'recycling level'!B10</f>
        <v>0.17984551647235406</v>
      </c>
      <c r="C10">
        <f>'recycling level'!AA10</f>
        <v>3.1681347872173444</v>
      </c>
      <c r="E10">
        <f>'recycling level'!C10</f>
        <v>0.17984551647235406</v>
      </c>
      <c r="F10">
        <f>'recycling level'!AB10</f>
        <v>3.1681347872173444</v>
      </c>
      <c r="H10">
        <f t="shared" si="1"/>
        <v>0.17984551647235406</v>
      </c>
      <c r="I10">
        <f t="shared" si="2"/>
        <v>3.1681347872173444</v>
      </c>
      <c r="K10" t="s">
        <v>142</v>
      </c>
      <c r="L10" s="36">
        <f>0.8*N10</f>
        <v>8.9600000000000013E-2</v>
      </c>
      <c r="M10">
        <v>16.316153181434323</v>
      </c>
      <c r="N10" s="42">
        <v>0.112</v>
      </c>
      <c r="O10">
        <v>16.33208694144707</v>
      </c>
      <c r="P10" s="57">
        <f>1.2*N10</f>
        <v>0.13439999999999999</v>
      </c>
      <c r="Q10">
        <v>16.348020701459816</v>
      </c>
    </row>
    <row r="11" spans="1:17">
      <c r="A11" t="str">
        <f>'recycling level'!A11</f>
        <v>PbBr₂</v>
      </c>
      <c r="B11">
        <f>'recycling level'!B11</f>
        <v>6.2686334877505199E-4</v>
      </c>
      <c r="C11">
        <f>'recycling level'!AA11</f>
        <v>8.2194376428353123E-3</v>
      </c>
      <c r="E11">
        <f>'recycling level'!C11</f>
        <v>6.2686334877505199E-4</v>
      </c>
      <c r="F11">
        <f>'recycling level'!AB11</f>
        <v>8.2194376428353123E-3</v>
      </c>
      <c r="H11">
        <f t="shared" si="1"/>
        <v>6.2686334877505199E-4</v>
      </c>
      <c r="I11">
        <f t="shared" si="2"/>
        <v>8.2194376428353123E-3</v>
      </c>
      <c r="K11" t="s">
        <v>151</v>
      </c>
      <c r="L11" s="56">
        <f t="shared" ref="L11:L14" si="3">0.8*N11</f>
        <v>9.3849737973050882</v>
      </c>
      <c r="M11">
        <v>16.284020098741951</v>
      </c>
      <c r="N11" s="49">
        <f>'energy consumption'!$G$15</f>
        <v>11.73121724663136</v>
      </c>
      <c r="O11">
        <v>16.33208694144707</v>
      </c>
      <c r="P11" s="57">
        <f t="shared" ref="P11:P14" si="4">1.2*N11</f>
        <v>14.077460695957631</v>
      </c>
      <c r="Q11">
        <v>16.380153784152192</v>
      </c>
    </row>
    <row r="12" spans="1:17">
      <c r="A12" t="str">
        <f>'recycling level'!A12</f>
        <v>DMF</v>
      </c>
      <c r="B12">
        <f>'recycling level'!B12</f>
        <v>4.7032591399933429E-3</v>
      </c>
      <c r="C12">
        <f>'recycling level'!AA12</f>
        <v>0.12792526254726047</v>
      </c>
      <c r="E12">
        <f>'recycling level'!C12</f>
        <v>4.7032591399933429E-3</v>
      </c>
      <c r="F12">
        <f>'recycling level'!AB12</f>
        <v>0.12792526254726047</v>
      </c>
      <c r="H12">
        <f t="shared" si="1"/>
        <v>4.7032591399933429E-3</v>
      </c>
      <c r="I12">
        <f t="shared" si="2"/>
        <v>0.12792526254726047</v>
      </c>
      <c r="K12" t="s">
        <v>138</v>
      </c>
      <c r="L12" s="56">
        <f t="shared" si="3"/>
        <v>0.38640000000000002</v>
      </c>
      <c r="M12">
        <v>16.263495637044372</v>
      </c>
      <c r="N12" s="42">
        <v>0.48299999999999998</v>
      </c>
      <c r="O12">
        <v>16.33208694144707</v>
      </c>
      <c r="P12" s="57">
        <f t="shared" si="4"/>
        <v>0.5796</v>
      </c>
      <c r="Q12">
        <v>16.400678245849768</v>
      </c>
    </row>
    <row r="13" spans="1:17">
      <c r="A13" t="str">
        <f>'recycling level'!A13</f>
        <v>DMSO</v>
      </c>
      <c r="B13">
        <f>'recycling level'!B13</f>
        <v>6.0796461783594257E-4</v>
      </c>
      <c r="C13">
        <f>'recycling level'!AA13</f>
        <v>2.8054715315643849E-2</v>
      </c>
      <c r="E13">
        <f>'recycling level'!C13</f>
        <v>6.0796461783594257E-4</v>
      </c>
      <c r="F13">
        <f>'recycling level'!AB13</f>
        <v>2.8054715315643849E-2</v>
      </c>
      <c r="H13">
        <f t="shared" si="1"/>
        <v>6.0796461783594257E-4</v>
      </c>
      <c r="I13">
        <f t="shared" si="2"/>
        <v>2.8054715315643849E-2</v>
      </c>
      <c r="K13" t="s">
        <v>143</v>
      </c>
      <c r="L13" s="56">
        <f t="shared" si="3"/>
        <v>0.68159999999999998</v>
      </c>
      <c r="M13">
        <v>16.211065571487239</v>
      </c>
      <c r="N13" s="42">
        <v>0.85199999999999998</v>
      </c>
      <c r="O13">
        <v>16.33208694144707</v>
      </c>
      <c r="P13" s="55">
        <f t="shared" si="4"/>
        <v>1.0224</v>
      </c>
      <c r="Q13">
        <v>16.453108311406901</v>
      </c>
    </row>
    <row r="14" spans="1:17">
      <c r="A14" t="str">
        <f>'recycling level'!A14</f>
        <v>Chlorobenzene</v>
      </c>
      <c r="B14">
        <f>'recycling level'!B14</f>
        <v>2.4153683486401473E-2</v>
      </c>
      <c r="C14">
        <f>'recycling level'!AA14</f>
        <v>0.58474354758357783</v>
      </c>
      <c r="E14">
        <f>'recycling level'!C14</f>
        <v>2.4153683486401473E-2</v>
      </c>
      <c r="F14">
        <f>'recycling level'!AB14</f>
        <v>0.58474354758357783</v>
      </c>
      <c r="H14">
        <f t="shared" si="1"/>
        <v>2.4153683486401473E-2</v>
      </c>
      <c r="I14">
        <f t="shared" si="2"/>
        <v>0.58474354758357783</v>
      </c>
      <c r="K14" t="s">
        <v>145</v>
      </c>
      <c r="L14" s="54">
        <f t="shared" si="3"/>
        <v>2.1175999999999999</v>
      </c>
      <c r="M14">
        <v>15.956277611874203</v>
      </c>
      <c r="N14" s="42">
        <v>2.6469999999999998</v>
      </c>
      <c r="O14">
        <v>16.33208694144707</v>
      </c>
      <c r="P14" s="55">
        <f t="shared" si="4"/>
        <v>3.1763999999999997</v>
      </c>
      <c r="Q14">
        <v>16.707896271019941</v>
      </c>
    </row>
    <row r="15" spans="1:17">
      <c r="A15" t="str">
        <f>'recycling level'!A15</f>
        <v>spiro-OMeTAD</v>
      </c>
      <c r="B15">
        <f>'recycling level'!B15</f>
        <v>5.8990736460538019E-2</v>
      </c>
      <c r="C15">
        <f>'recycling level'!AA15</f>
        <v>0.95029313625411649</v>
      </c>
      <c r="E15">
        <f>'recycling level'!C15</f>
        <v>5.8990736460538019E-2</v>
      </c>
      <c r="F15">
        <f>'recycling level'!AB15</f>
        <v>0.95029313625411649</v>
      </c>
      <c r="H15">
        <f t="shared" si="1"/>
        <v>5.8990736460538019E-2</v>
      </c>
      <c r="I15">
        <f t="shared" si="2"/>
        <v>0.95029313625411649</v>
      </c>
      <c r="K15" t="s">
        <v>139</v>
      </c>
      <c r="L15" s="37">
        <v>0.7</v>
      </c>
      <c r="M15">
        <v>17.668649801514814</v>
      </c>
      <c r="N15" s="43">
        <v>1</v>
      </c>
      <c r="O15">
        <v>16.33208694144707</v>
      </c>
      <c r="P15" s="34" t="s">
        <v>8</v>
      </c>
      <c r="Q15">
        <f>O15</f>
        <v>16.33208694144707</v>
      </c>
    </row>
    <row r="16" spans="1:17">
      <c r="A16" t="str">
        <f>'recycling level'!A16</f>
        <v>HTFSI</v>
      </c>
      <c r="B16">
        <f>'recycling level'!B16</f>
        <v>2.5239247726899154E-3</v>
      </c>
      <c r="C16">
        <f>'recycling level'!AA16</f>
        <v>3.9592547662353358E-2</v>
      </c>
      <c r="E16">
        <f>'recycling level'!C16</f>
        <v>2.5239247726899154E-3</v>
      </c>
      <c r="F16">
        <f>'recycling level'!AB16</f>
        <v>3.9592547662353358E-2</v>
      </c>
      <c r="H16">
        <f t="shared" si="1"/>
        <v>2.5239247726899154E-3</v>
      </c>
      <c r="I16">
        <f t="shared" si="2"/>
        <v>3.9592547662353358E-2</v>
      </c>
      <c r="K16" t="s">
        <v>144</v>
      </c>
      <c r="L16" s="41">
        <f>N16*0.9</f>
        <v>0.73799999999999999</v>
      </c>
      <c r="M16">
        <v>18.073965981447071</v>
      </c>
      <c r="N16" s="43">
        <v>0.82</v>
      </c>
      <c r="O16">
        <v>16.33208694144707</v>
      </c>
      <c r="P16" s="44">
        <f>N16*1.1</f>
        <v>0.90200000000000002</v>
      </c>
      <c r="Q16">
        <v>14.590207901447069</v>
      </c>
    </row>
    <row r="17" spans="1:17">
      <c r="A17" t="str">
        <f>'recycling level'!A17</f>
        <v>Acetonitrile</v>
      </c>
      <c r="B17">
        <f>'recycling level'!B17</f>
        <v>1.0719123332325344E-3</v>
      </c>
      <c r="C17">
        <f>'recycling level'!AA17</f>
        <v>2.9014695842552819E-2</v>
      </c>
      <c r="E17">
        <f>'recycling level'!C17</f>
        <v>1.0719123332325344E-3</v>
      </c>
      <c r="F17">
        <f>'recycling level'!AB17</f>
        <v>2.9014695842552819E-2</v>
      </c>
      <c r="H17">
        <f t="shared" si="1"/>
        <v>1.0719123332325344E-3</v>
      </c>
      <c r="I17">
        <f t="shared" si="2"/>
        <v>2.9014695842552819E-2</v>
      </c>
      <c r="K17" t="s">
        <v>140</v>
      </c>
      <c r="L17" s="37">
        <v>0.8</v>
      </c>
      <c r="M17">
        <v>19.815845021447071</v>
      </c>
      <c r="N17" s="43">
        <v>1</v>
      </c>
      <c r="O17">
        <v>16.33208694144707</v>
      </c>
      <c r="P17" s="34" t="s">
        <v>8</v>
      </c>
      <c r="Q17">
        <f>O17</f>
        <v>16.33208694144707</v>
      </c>
    </row>
    <row r="18" spans="1:17" ht="15.75" thickBot="1">
      <c r="A18" t="str">
        <f>'recycling level'!A18</f>
        <v>FK209</v>
      </c>
      <c r="B18">
        <f>'recycling level'!B18</f>
        <v>0</v>
      </c>
      <c r="C18">
        <f>'recycling level'!AA18</f>
        <v>0</v>
      </c>
      <c r="E18">
        <f>'recycling level'!C18</f>
        <v>0</v>
      </c>
      <c r="F18">
        <f>'recycling level'!AB18</f>
        <v>0</v>
      </c>
      <c r="H18">
        <f t="shared" si="1"/>
        <v>0</v>
      </c>
      <c r="I18">
        <f t="shared" si="2"/>
        <v>0</v>
      </c>
    </row>
    <row r="19" spans="1:17" ht="16.5" thickTop="1" thickBot="1">
      <c r="A19" t="str">
        <f>'recycling level'!A19</f>
        <v>4-tert-Butylpyridine</v>
      </c>
      <c r="B19">
        <f>'recycling level'!B19</f>
        <v>1.9758472460220324E-3</v>
      </c>
      <c r="C19">
        <f>'recycling level'!AA19</f>
        <v>3.2400038484210532E-2</v>
      </c>
      <c r="E19">
        <f>'recycling level'!C19</f>
        <v>1.9758472460220324E-3</v>
      </c>
      <c r="F19">
        <f>'recycling level'!AB19</f>
        <v>3.2400038484210532E-2</v>
      </c>
      <c r="H19">
        <f t="shared" si="1"/>
        <v>1.9758472460220324E-3</v>
      </c>
      <c r="I19">
        <f t="shared" si="2"/>
        <v>3.2400038484210532E-2</v>
      </c>
      <c r="K19" s="40" t="s">
        <v>141</v>
      </c>
    </row>
    <row r="20" spans="1:17" ht="15.75" thickTop="1">
      <c r="A20" s="23" t="str">
        <f>'recycling level'!A20</f>
        <v>Cu</v>
      </c>
      <c r="B20">
        <f>'recycling level'!B20</f>
        <v>5.7836011520000005E-3</v>
      </c>
      <c r="C20">
        <f>'recycling level'!AA20</f>
        <v>8.3168110626406416E-2</v>
      </c>
      <c r="E20">
        <f>'recycling level'!C20</f>
        <v>1.0410482073600004E-3</v>
      </c>
      <c r="F20">
        <f>'recycling level'!AB20</f>
        <v>1.4970259912753159E-2</v>
      </c>
      <c r="H20" s="34">
        <f>B20*(1-$H$2*$N$16)</f>
        <v>1.0410482073600004E-3</v>
      </c>
      <c r="I20" s="34">
        <f>C20*(1-$H$2*$N$16)</f>
        <v>1.4970259912753159E-2</v>
      </c>
      <c r="K20" t="s">
        <v>142</v>
      </c>
      <c r="L20" s="36">
        <f t="shared" ref="L20:L27" si="5">L10</f>
        <v>8.9600000000000013E-2</v>
      </c>
      <c r="M20">
        <v>268.50786950571626</v>
      </c>
      <c r="N20" s="42">
        <v>0.112</v>
      </c>
      <c r="O20">
        <v>268.78823658930594</v>
      </c>
      <c r="P20" s="34">
        <f t="shared" ref="P20:P27" si="6">P10</f>
        <v>0.13439999999999999</v>
      </c>
      <c r="Q20">
        <v>269.06860367289556</v>
      </c>
    </row>
    <row r="21" spans="1:17">
      <c r="A21" t="str">
        <f>'recycling level'!A21</f>
        <v>Sonication</v>
      </c>
      <c r="B21">
        <f>'recycling level'!B21</f>
        <v>2.8396800022717437</v>
      </c>
      <c r="C21">
        <f>'recycling level'!AA21</f>
        <v>49.96641093677313</v>
      </c>
      <c r="E21">
        <f>'recycling level'!C21</f>
        <v>2.8396800022717437</v>
      </c>
      <c r="F21">
        <f>'recycling level'!AB21</f>
        <v>49.96641093677313</v>
      </c>
      <c r="H21">
        <f>E21/$N$12*$N$12</f>
        <v>2.8396800022717437</v>
      </c>
      <c r="I21">
        <f>F21/$N$12*$N$12</f>
        <v>49.96641093677313</v>
      </c>
      <c r="K21" t="s">
        <v>151</v>
      </c>
      <c r="L21" s="50">
        <f t="shared" si="5"/>
        <v>9.3849737973050882</v>
      </c>
      <c r="M21">
        <v>267.9424625538104</v>
      </c>
      <c r="N21" s="49">
        <f>'energy consumption'!$G$15</f>
        <v>11.73121724663136</v>
      </c>
      <c r="O21">
        <v>268.78823658930594</v>
      </c>
      <c r="P21" s="51">
        <f t="shared" si="6"/>
        <v>14.077460695957631</v>
      </c>
      <c r="Q21">
        <v>269.63401062480142</v>
      </c>
    </row>
    <row r="22" spans="1:17">
      <c r="A22" s="23" t="str">
        <f>'recycling level'!A22</f>
        <v>Spray pyrolysis</v>
      </c>
      <c r="B22">
        <f>'recycling level'!B22</f>
        <v>2.0358858304232825E-4</v>
      </c>
      <c r="C22">
        <f>'recycling level'!AA22</f>
        <v>3.5823018066085837E-3</v>
      </c>
      <c r="E22">
        <f>'recycling level'!C22</f>
        <v>0</v>
      </c>
      <c r="F22">
        <f>'recycling level'!AB22</f>
        <v>0</v>
      </c>
      <c r="H22" s="34">
        <f>B22*(1-$I$2)</f>
        <v>0</v>
      </c>
      <c r="I22" s="34">
        <f>C22*(1-$I$2)</f>
        <v>0</v>
      </c>
      <c r="K22" t="s">
        <v>138</v>
      </c>
      <c r="L22" s="36">
        <f t="shared" si="5"/>
        <v>0.38640000000000002</v>
      </c>
      <c r="M22">
        <v>267.58131845073649</v>
      </c>
      <c r="N22" s="42">
        <v>0.48299999999999998</v>
      </c>
      <c r="O22">
        <v>268.78823658930594</v>
      </c>
      <c r="P22" s="34">
        <f t="shared" si="6"/>
        <v>0.5796</v>
      </c>
      <c r="Q22">
        <v>269.99515472787533</v>
      </c>
    </row>
    <row r="23" spans="1:17">
      <c r="A23" s="23" t="str">
        <f>'recycling level'!A23</f>
        <v>ETL spin coating</v>
      </c>
      <c r="B23">
        <f>'recycling level'!B23</f>
        <v>2.1954647633780482</v>
      </c>
      <c r="C23">
        <f>'recycling level'!AA23</f>
        <v>38.630935343557496</v>
      </c>
      <c r="E23">
        <f>'recycling level'!C23</f>
        <v>0</v>
      </c>
      <c r="F23">
        <f>'recycling level'!AB23</f>
        <v>0</v>
      </c>
      <c r="H23" s="34">
        <f t="shared" ref="H23:H24" si="7">B23*(1-$I$2)</f>
        <v>0</v>
      </c>
      <c r="I23" s="34">
        <f t="shared" ref="I23:I24" si="8">C23*(1-$I$2)</f>
        <v>0</v>
      </c>
      <c r="K23" t="s">
        <v>143</v>
      </c>
      <c r="L23" s="36">
        <f t="shared" si="5"/>
        <v>0.68159999999999998</v>
      </c>
      <c r="M23">
        <v>266.65877006536431</v>
      </c>
      <c r="N23" s="42">
        <v>0.85199999999999998</v>
      </c>
      <c r="O23">
        <v>268.78823658930594</v>
      </c>
      <c r="P23" s="34">
        <f t="shared" si="6"/>
        <v>1.0224</v>
      </c>
      <c r="Q23">
        <v>270.91770311324757</v>
      </c>
    </row>
    <row r="24" spans="1:17">
      <c r="A24" s="23" t="str">
        <f>'recycling level'!A24</f>
        <v>ETL calcining</v>
      </c>
      <c r="B24">
        <f>'recycling level'!B24</f>
        <v>17.038080013630463</v>
      </c>
      <c r="C24">
        <f>'recycling level'!AA24</f>
        <v>299.79846562063881</v>
      </c>
      <c r="E24">
        <f>'recycling level'!C24</f>
        <v>0</v>
      </c>
      <c r="F24">
        <f>'recycling level'!AB24</f>
        <v>0</v>
      </c>
      <c r="H24" s="34">
        <f t="shared" si="7"/>
        <v>0</v>
      </c>
      <c r="I24" s="34">
        <f t="shared" si="8"/>
        <v>0</v>
      </c>
      <c r="K24" t="s">
        <v>145</v>
      </c>
      <c r="L24" s="36">
        <f t="shared" si="5"/>
        <v>2.1175999999999999</v>
      </c>
      <c r="M24">
        <v>262.17557481745524</v>
      </c>
      <c r="N24" s="42">
        <v>2.6469999999999998</v>
      </c>
      <c r="O24">
        <v>268.78823658930594</v>
      </c>
      <c r="P24" s="34">
        <f t="shared" si="6"/>
        <v>3.1763999999999997</v>
      </c>
      <c r="Q24">
        <v>275.40089836115658</v>
      </c>
    </row>
    <row r="25" spans="1:17">
      <c r="A25" t="str">
        <f>'recycling level'!A25</f>
        <v>PL 1st-step spin coating</v>
      </c>
      <c r="B25">
        <f>'recycling level'!B25</f>
        <v>8.4576274476780081E-2</v>
      </c>
      <c r="C25">
        <f>'recycling level'!AA25</f>
        <v>1.4881863036072136</v>
      </c>
      <c r="E25">
        <f>'recycling level'!C25</f>
        <v>8.4576274476780081E-2</v>
      </c>
      <c r="F25">
        <f>'recycling level'!AB25</f>
        <v>1.4881863036072136</v>
      </c>
      <c r="H25">
        <f>(E25+E26)/$N$11*$N$11</f>
        <v>8.3282257477285331</v>
      </c>
      <c r="I25">
        <f>(F25+F26)/$N$11*$N$11</f>
        <v>146.54170531620235</v>
      </c>
      <c r="K25" t="s">
        <v>139</v>
      </c>
      <c r="L25" s="37">
        <f t="shared" si="5"/>
        <v>0.7</v>
      </c>
      <c r="M25">
        <v>299.71163536775333</v>
      </c>
      <c r="N25" s="43">
        <v>1</v>
      </c>
      <c r="O25">
        <v>268.78823658930594</v>
      </c>
      <c r="P25" s="34" t="str">
        <f t="shared" si="6"/>
        <v>-</v>
      </c>
      <c r="Q25">
        <f>O25</f>
        <v>268.78823658930594</v>
      </c>
    </row>
    <row r="26" spans="1:17">
      <c r="A26" t="str">
        <f>'recycling level'!A26</f>
        <v>PL 2nd-step spin coating</v>
      </c>
      <c r="B26">
        <f>'recycling level'!B26</f>
        <v>8.2436494732517538</v>
      </c>
      <c r="C26">
        <f>'recycling level'!AA26</f>
        <v>145.05351901259513</v>
      </c>
      <c r="E26">
        <f>'recycling level'!C26</f>
        <v>8.2436494732517538</v>
      </c>
      <c r="F26">
        <f>'recycling level'!AB26</f>
        <v>145.05351901259513</v>
      </c>
      <c r="K26" t="s">
        <v>144</v>
      </c>
      <c r="L26" s="41">
        <f t="shared" si="5"/>
        <v>0.73799999999999999</v>
      </c>
      <c r="M26">
        <v>294.72471622188192</v>
      </c>
      <c r="N26" s="43">
        <v>0.82</v>
      </c>
      <c r="O26">
        <v>268.78823658930594</v>
      </c>
      <c r="P26" s="44">
        <f t="shared" si="6"/>
        <v>0.90200000000000002</v>
      </c>
      <c r="Q26">
        <v>242.85175695672987</v>
      </c>
    </row>
    <row r="27" spans="1:17">
      <c r="A27" t="str">
        <f>'recycling level'!A27</f>
        <v>PL drying</v>
      </c>
      <c r="B27">
        <f>'recycling level'!B27</f>
        <v>15.334272012267418</v>
      </c>
      <c r="C27">
        <f>'recycling level'!AA27</f>
        <v>269.81861905857494</v>
      </c>
      <c r="E27">
        <f>'recycling level'!C27</f>
        <v>15.334272012267418</v>
      </c>
      <c r="F27">
        <f>'recycling level'!AB27</f>
        <v>269.81861905857494</v>
      </c>
      <c r="H27">
        <f>E27/$N$13*$N$13</f>
        <v>15.334272012267416</v>
      </c>
      <c r="I27">
        <f>F27/$N$13*$N$13</f>
        <v>269.81861905857494</v>
      </c>
      <c r="K27" t="s">
        <v>140</v>
      </c>
      <c r="L27" s="37">
        <f t="shared" si="5"/>
        <v>0.8</v>
      </c>
      <c r="M27">
        <v>320.66119585445784</v>
      </c>
      <c r="N27" s="43">
        <v>1</v>
      </c>
      <c r="O27">
        <v>268.78823658930594</v>
      </c>
      <c r="P27" s="34" t="str">
        <f t="shared" si="6"/>
        <v>-</v>
      </c>
      <c r="Q27">
        <f>O27</f>
        <v>268.78823658930594</v>
      </c>
    </row>
    <row r="28" spans="1:17">
      <c r="A28" t="str">
        <f>'recycling level'!A28</f>
        <v>HTL spin coating</v>
      </c>
      <c r="B28">
        <f>'recycling level'!B28</f>
        <v>1.5223729405820419</v>
      </c>
      <c r="C28">
        <f>'recycling level'!AA28</f>
        <v>26.787353464929854</v>
      </c>
      <c r="E28">
        <f>'recycling level'!C28</f>
        <v>1.5223729405820419</v>
      </c>
      <c r="F28">
        <f>'recycling level'!AB28</f>
        <v>26.787353464929854</v>
      </c>
      <c r="H28">
        <f>E28/$N$10*$N$10</f>
        <v>1.5223729405820419</v>
      </c>
      <c r="I28">
        <f>F28/$N$10*$N$10</f>
        <v>26.787353464929854</v>
      </c>
    </row>
    <row r="29" spans="1:17">
      <c r="A29" t="str">
        <f>'recycling level'!A29</f>
        <v>Electrode sputtering</v>
      </c>
      <c r="B29">
        <f>'recycling level'!B29</f>
        <v>5.0088800040071035</v>
      </c>
      <c r="C29">
        <f>'recycling level'!AA29</f>
        <v>88.135197069030383</v>
      </c>
      <c r="E29">
        <f>'recycling level'!C29</f>
        <v>5.0088800040071035</v>
      </c>
      <c r="F29">
        <f>'recycling level'!AB29</f>
        <v>88.135197069030383</v>
      </c>
      <c r="H29">
        <f>E29/$N$14*$N$14</f>
        <v>5.0088800040071035</v>
      </c>
      <c r="I29">
        <f>F29/$N$14*$N$14</f>
        <v>88.135197069030383</v>
      </c>
    </row>
    <row r="30" spans="1:17">
      <c r="A30" s="23" t="str">
        <f>'recycling level'!A30</f>
        <v>UV/O3 cleaning</v>
      </c>
      <c r="B30">
        <f>'recycling level'!B30</f>
        <v>0</v>
      </c>
      <c r="C30">
        <f>'recycling level'!AA30</f>
        <v>0</v>
      </c>
      <c r="E30">
        <f>'recycling level'!C30</f>
        <v>1.6328160013062525E-2</v>
      </c>
      <c r="F30">
        <f>'recycling level'!AB30</f>
        <v>0.28730686288644547</v>
      </c>
      <c r="H30" s="34">
        <f>E30*$I$2</f>
        <v>1.6328160013062525E-2</v>
      </c>
      <c r="I30" s="34">
        <f>F30*$I$2</f>
        <v>0.28730686288644547</v>
      </c>
    </row>
    <row r="31" spans="1:17">
      <c r="A31" t="str">
        <f>'recycling level'!A31</f>
        <v>Recycling</v>
      </c>
      <c r="B31">
        <f>'recycling level'!B31</f>
        <v>0</v>
      </c>
      <c r="C31">
        <f>'recycling level'!AA31</f>
        <v>0</v>
      </c>
      <c r="E31">
        <f>'recycling level'!C31</f>
        <v>6.0357972033270002</v>
      </c>
      <c r="F31">
        <f>'recycling level'!AB31</f>
        <v>140.95794733817957</v>
      </c>
      <c r="H31">
        <f>E31</f>
        <v>6.0357972033270002</v>
      </c>
      <c r="I31">
        <f>F31</f>
        <v>140.95794733817957</v>
      </c>
    </row>
    <row r="32" spans="1:17">
      <c r="A32" t="str">
        <f>'recycling level'!A32</f>
        <v>Treatment</v>
      </c>
      <c r="B32">
        <f>'recycling level'!B32</f>
        <v>5.7228935999999989E-4</v>
      </c>
      <c r="C32">
        <f>'recycling level'!AA32</f>
        <v>4.7824445274400008E-3</v>
      </c>
      <c r="E32">
        <f>'recycling level'!C32</f>
        <v>2.6830484976319671</v>
      </c>
      <c r="F32">
        <f>'recycling level'!AB32</f>
        <v>3.9911822215416271</v>
      </c>
      <c r="H32">
        <f>E32</f>
        <v>2.6830484976319671</v>
      </c>
      <c r="I32">
        <f>F32</f>
        <v>3.9911822215416271</v>
      </c>
    </row>
    <row r="34" spans="5:9">
      <c r="E34">
        <f>SUM(E3:E33)</f>
        <v>42.083066660839997</v>
      </c>
      <c r="F34">
        <f>SUM(F3:F33)</f>
        <v>732.12773105441329</v>
      </c>
      <c r="H34">
        <f>SUM(H3:H33)</f>
        <v>42.083066660839989</v>
      </c>
      <c r="I34">
        <f>SUM(I3:I33)</f>
        <v>732.12773105441329</v>
      </c>
    </row>
    <row r="36" spans="5:9">
      <c r="H36">
        <f>E34-H34</f>
        <v>0</v>
      </c>
      <c r="I36">
        <f>F34-I34</f>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C462B-B278-462E-AB9A-6BB09DB1D08F}">
  <sheetPr codeName="Sheet3"/>
  <dimension ref="A1:H37"/>
  <sheetViews>
    <sheetView zoomScaleNormal="100" workbookViewId="0">
      <pane ySplit="1" topLeftCell="A2" activePane="bottomLeft" state="frozen"/>
      <selection pane="bottomLeft" activeCell="H23" sqref="H23:H32"/>
    </sheetView>
  </sheetViews>
  <sheetFormatPr defaultRowHeight="15"/>
  <cols>
    <col min="1" max="1" width="29.7109375" customWidth="1"/>
    <col min="2" max="3" width="9.42578125" bestFit="1" customWidth="1"/>
    <col min="4" max="4" width="12" bestFit="1" customWidth="1"/>
    <col min="5" max="5" width="9.42578125" bestFit="1" customWidth="1"/>
    <col min="6" max="8" width="12" bestFit="1" customWidth="1"/>
    <col min="9" max="9" width="9.42578125" bestFit="1" customWidth="1"/>
    <col min="10" max="10" width="12" bestFit="1" customWidth="1"/>
    <col min="11" max="11" width="9.42578125" bestFit="1" customWidth="1"/>
    <col min="12" max="14" width="12" bestFit="1" customWidth="1"/>
    <col min="15" max="15" width="12.140625" bestFit="1" customWidth="1"/>
    <col min="16" max="17" width="12" bestFit="1" customWidth="1"/>
    <col min="18" max="18" width="15.5703125" customWidth="1"/>
    <col min="19" max="24" width="12" bestFit="1" customWidth="1"/>
  </cols>
  <sheetData>
    <row r="1" spans="1:8">
      <c r="A1" s="100"/>
      <c r="B1" s="100" t="str">
        <f>'[9]material inventory'!U13</f>
        <v>Carbon footprint</v>
      </c>
      <c r="C1" s="100" t="str">
        <f>'[9]material inventory'!V13</f>
        <v>Primary energy consumption</v>
      </c>
      <c r="D1" s="100"/>
      <c r="E1" s="100"/>
      <c r="F1" s="100"/>
      <c r="G1" s="100" t="s">
        <v>42</v>
      </c>
      <c r="H1" s="100" t="s">
        <v>43</v>
      </c>
    </row>
    <row r="2" spans="1:8">
      <c r="A2" s="76" t="str">
        <f>'[9]material inventory'!S14</f>
        <v>FTO glass</v>
      </c>
      <c r="B2">
        <f>'[9]material inventory'!U14</f>
        <v>0.34780676817599987</v>
      </c>
      <c r="C2">
        <f>'[9]material inventory'!V14</f>
        <v>8.5029036949120105</v>
      </c>
      <c r="G2">
        <f t="shared" ref="G2:H5" si="0">B2</f>
        <v>0.34780676817599987</v>
      </c>
      <c r="H2">
        <f t="shared" si="0"/>
        <v>8.5029036949120105</v>
      </c>
    </row>
    <row r="3" spans="1:8">
      <c r="A3" s="76" t="str">
        <f>'[9]material inventory'!S15</f>
        <v>Ethanol</v>
      </c>
      <c r="B3">
        <f>'[9]material inventory'!U15</f>
        <v>7.2156912392727255E-3</v>
      </c>
      <c r="C3">
        <f>'[9]material inventory'!V15</f>
        <v>0.21438001693484721</v>
      </c>
      <c r="G3">
        <f t="shared" si="0"/>
        <v>7.2156912392727255E-3</v>
      </c>
      <c r="H3">
        <f t="shared" si="0"/>
        <v>0.21438001693484721</v>
      </c>
    </row>
    <row r="4" spans="1:8">
      <c r="A4" s="76" t="str">
        <f>'[9]material inventory'!S16</f>
        <v>Acetone</v>
      </c>
      <c r="B4">
        <f>'[9]material inventory'!U16</f>
        <v>3.4079009999999986E-2</v>
      </c>
      <c r="C4">
        <f>'[9]material inventory'!V16</f>
        <v>0.99018946488503967</v>
      </c>
      <c r="G4">
        <f t="shared" si="0"/>
        <v>3.4079009999999986E-2</v>
      </c>
      <c r="H4">
        <f t="shared" si="0"/>
        <v>0.99018946488503967</v>
      </c>
    </row>
    <row r="5" spans="1:8">
      <c r="A5" s="76" t="str">
        <f>'[9]material inventory'!S17</f>
        <v>Deionized water</v>
      </c>
      <c r="B5">
        <f>'[9]material inventory'!U17</f>
        <v>5.6916581999999992E-6</v>
      </c>
      <c r="C5">
        <f>'[9]material inventory'!V17</f>
        <v>7.8310930304559991E-5</v>
      </c>
      <c r="G5">
        <f t="shared" si="0"/>
        <v>5.6916581999999992E-6</v>
      </c>
      <c r="H5">
        <f t="shared" si="0"/>
        <v>7.8310930304559991E-5</v>
      </c>
    </row>
    <row r="6" spans="1:8">
      <c r="A6" s="76" t="s">
        <v>170</v>
      </c>
      <c r="B6">
        <f>'[9]material inventory'!U18</f>
        <v>1.1382696060619048E-3</v>
      </c>
      <c r="C6">
        <f>'[9]material inventory'!V18</f>
        <v>3.0850478127392843E-2</v>
      </c>
      <c r="G6">
        <f>B6</f>
        <v>1.1382696060619048E-3</v>
      </c>
      <c r="H6">
        <f>C6</f>
        <v>3.0850478127392843E-2</v>
      </c>
    </row>
    <row r="7" spans="1:8">
      <c r="A7" s="76" t="s">
        <v>171</v>
      </c>
      <c r="B7">
        <f>'[9]material inventory'!U19</f>
        <v>7.2734003999999988E-4</v>
      </c>
      <c r="C7">
        <f>'[9]material inventory'!V19</f>
        <v>7.801623139805999E-3</v>
      </c>
      <c r="G7">
        <f t="shared" ref="G7:H22" si="1">B7</f>
        <v>7.2734003999999988E-4</v>
      </c>
      <c r="H7">
        <f t="shared" si="1"/>
        <v>7.801623139805999E-3</v>
      </c>
    </row>
    <row r="8" spans="1:8">
      <c r="A8" s="76" t="s">
        <v>33</v>
      </c>
      <c r="B8">
        <f>'[9]material inventory'!U20</f>
        <v>2.5223725128436875E-2</v>
      </c>
      <c r="C8">
        <f>'[9]material inventory'!V20</f>
        <v>0.44681968269564831</v>
      </c>
      <c r="G8">
        <f t="shared" si="1"/>
        <v>2.5223725128436875E-2</v>
      </c>
      <c r="H8">
        <f t="shared" si="1"/>
        <v>0.44681968269564831</v>
      </c>
    </row>
    <row r="9" spans="1:8">
      <c r="A9" s="76" t="s">
        <v>172</v>
      </c>
      <c r="B9">
        <f>'[9]material inventory'!U21</f>
        <v>3.967277566008961E-3</v>
      </c>
      <c r="C9">
        <f>'[9]material inventory'!V21</f>
        <v>4.7175585678547176E-2</v>
      </c>
      <c r="G9">
        <f t="shared" si="1"/>
        <v>3.967277566008961E-3</v>
      </c>
      <c r="H9">
        <f t="shared" si="1"/>
        <v>4.7175585678547176E-2</v>
      </c>
    </row>
    <row r="10" spans="1:8">
      <c r="A10" s="76" t="s">
        <v>34</v>
      </c>
      <c r="B10">
        <f>'[9]material inventory'!U22</f>
        <v>0.13488413735426555</v>
      </c>
      <c r="C10">
        <f>'[9]material inventory'!V22</f>
        <v>2.376101090413008</v>
      </c>
      <c r="G10">
        <f t="shared" si="1"/>
        <v>0.13488413735426555</v>
      </c>
      <c r="H10">
        <f t="shared" si="1"/>
        <v>2.376101090413008</v>
      </c>
    </row>
    <row r="11" spans="1:8">
      <c r="A11" s="76" t="s">
        <v>173</v>
      </c>
      <c r="B11">
        <f>'[9]material inventory'!U23</f>
        <v>4.7014751158128897E-4</v>
      </c>
      <c r="C11">
        <f>'[9]material inventory'!V23</f>
        <v>6.1645782321264834E-3</v>
      </c>
      <c r="G11">
        <f t="shared" si="1"/>
        <v>4.7014751158128897E-4</v>
      </c>
      <c r="H11">
        <f t="shared" si="1"/>
        <v>6.1645782321264834E-3</v>
      </c>
    </row>
    <row r="12" spans="1:8">
      <c r="A12" s="76" t="s">
        <v>36</v>
      </c>
      <c r="B12">
        <f>'[9]material inventory'!U24</f>
        <v>3.5274443549950076E-3</v>
      </c>
      <c r="C12">
        <f>'[9]material inventory'!V24</f>
        <v>9.594394691044536E-2</v>
      </c>
      <c r="G12">
        <f t="shared" si="1"/>
        <v>3.5274443549950076E-3</v>
      </c>
      <c r="H12">
        <f t="shared" si="1"/>
        <v>9.594394691044536E-2</v>
      </c>
    </row>
    <row r="13" spans="1:8">
      <c r="A13" s="76" t="s">
        <v>37</v>
      </c>
      <c r="B13">
        <f>'[9]material inventory'!U25</f>
        <v>4.5597346337695696E-4</v>
      </c>
      <c r="C13">
        <f>'[9]material inventory'!V25</f>
        <v>2.1041036486732889E-2</v>
      </c>
      <c r="G13">
        <f t="shared" si="1"/>
        <v>4.5597346337695696E-4</v>
      </c>
      <c r="H13">
        <f t="shared" si="1"/>
        <v>2.1041036486732889E-2</v>
      </c>
    </row>
    <row r="14" spans="1:8">
      <c r="A14" s="76" t="s">
        <v>32</v>
      </c>
      <c r="B14">
        <f>'[9]material inventory'!U26</f>
        <v>1.8214246032301103E-2</v>
      </c>
      <c r="C14">
        <f>'[9]material inventory'!V26</f>
        <v>0.44095397902701583</v>
      </c>
      <c r="G14">
        <f t="shared" si="1"/>
        <v>1.8214246032301103E-2</v>
      </c>
      <c r="H14">
        <f t="shared" si="1"/>
        <v>0.44095397902701583</v>
      </c>
    </row>
    <row r="15" spans="1:8">
      <c r="A15" s="76" t="s">
        <v>31</v>
      </c>
      <c r="B15">
        <f>'[9]material inventory'!U27</f>
        <v>4.4243052345403516E-2</v>
      </c>
      <c r="C15">
        <f>'[9]material inventory'!V27</f>
        <v>0.71271985219058731</v>
      </c>
      <c r="G15">
        <f t="shared" si="1"/>
        <v>4.4243052345403516E-2</v>
      </c>
      <c r="H15">
        <f t="shared" si="1"/>
        <v>0.71271985219058731</v>
      </c>
    </row>
    <row r="16" spans="1:8">
      <c r="A16" s="76" t="s">
        <v>152</v>
      </c>
      <c r="B16">
        <f>'[9]material inventory'!U28</f>
        <v>1.8929435795174367E-3</v>
      </c>
      <c r="C16">
        <f>'[9]material inventory'!V28</f>
        <v>2.9694410746765015E-2</v>
      </c>
      <c r="G16">
        <f t="shared" si="1"/>
        <v>1.8929435795174367E-3</v>
      </c>
      <c r="H16">
        <f t="shared" si="1"/>
        <v>2.9694410746765015E-2</v>
      </c>
    </row>
    <row r="17" spans="1:8">
      <c r="A17" s="76" t="s">
        <v>25</v>
      </c>
      <c r="B17">
        <f>'[9]material inventory'!U29</f>
        <v>8.0393424992440069E-4</v>
      </c>
      <c r="C17">
        <f>'[9]material inventory'!V29</f>
        <v>2.1761021881914613E-2</v>
      </c>
      <c r="G17">
        <f t="shared" si="1"/>
        <v>8.0393424992440069E-4</v>
      </c>
      <c r="H17">
        <f t="shared" si="1"/>
        <v>2.1761021881914613E-2</v>
      </c>
    </row>
    <row r="18" spans="1:8">
      <c r="A18" s="76" t="s">
        <v>40</v>
      </c>
      <c r="B18">
        <f>'[9]material inventory'!U30</f>
        <v>0</v>
      </c>
      <c r="C18">
        <f>'[9]material inventory'!V30</f>
        <v>0</v>
      </c>
      <c r="G18">
        <f t="shared" si="1"/>
        <v>0</v>
      </c>
      <c r="H18">
        <f t="shared" si="1"/>
        <v>0</v>
      </c>
    </row>
    <row r="19" spans="1:8">
      <c r="A19" s="76" t="s">
        <v>38</v>
      </c>
      <c r="B19">
        <f>'[9]material inventory'!U31</f>
        <v>1.4818854345165239E-3</v>
      </c>
      <c r="C19">
        <f>'[9]material inventory'!V31</f>
        <v>2.4300028863157897E-2</v>
      </c>
      <c r="G19">
        <f t="shared" si="1"/>
        <v>1.4818854345165239E-3</v>
      </c>
      <c r="H19">
        <f t="shared" si="1"/>
        <v>2.4300028863157897E-2</v>
      </c>
    </row>
    <row r="20" spans="1:8">
      <c r="A20" s="76" t="s">
        <v>165</v>
      </c>
      <c r="B20">
        <f>'[9]material inventory'!U32</f>
        <v>3.0363906048000004E-3</v>
      </c>
      <c r="C20">
        <f>'[9]material inventory'!V32</f>
        <v>4.3663258078863364E-2</v>
      </c>
      <c r="G20">
        <f t="shared" si="1"/>
        <v>3.0363906048000004E-3</v>
      </c>
      <c r="H20">
        <f t="shared" si="1"/>
        <v>4.3663258078863364E-2</v>
      </c>
    </row>
    <row r="21" spans="1:8">
      <c r="A21" s="76" t="s">
        <v>166</v>
      </c>
      <c r="B21">
        <f>'[9]material inventory'!U33</f>
        <v>0.23246925575757577</v>
      </c>
      <c r="C21">
        <f>'[9]material inventory'!V33</f>
        <v>3.4927646546424245</v>
      </c>
      <c r="G21">
        <f t="shared" si="1"/>
        <v>0.23246925575757577</v>
      </c>
      <c r="H21">
        <f t="shared" si="1"/>
        <v>3.4927646546424245</v>
      </c>
    </row>
    <row r="22" spans="1:8">
      <c r="A22" s="76" t="s">
        <v>167</v>
      </c>
      <c r="B22">
        <f>'[9]material inventory'!U34</f>
        <v>1.0245566060606062E-4</v>
      </c>
      <c r="C22">
        <f>'[9]material inventory'!V34</f>
        <v>1.3958710916654544E-3</v>
      </c>
      <c r="G22">
        <f t="shared" si="1"/>
        <v>1.0245566060606062E-4</v>
      </c>
      <c r="H22">
        <f t="shared" si="1"/>
        <v>1.3958710916654544E-3</v>
      </c>
    </row>
    <row r="23" spans="1:8">
      <c r="A23" s="101" t="str">
        <f>'[9]energy consumption'!N3</f>
        <v>Sonication</v>
      </c>
      <c r="B23" s="101">
        <f>'[9]energy consumption'!P3</f>
        <v>0.28396800022717433</v>
      </c>
      <c r="C23" s="101">
        <f>'[9]energy consumption'!Q3</f>
        <v>4.9966410936773125</v>
      </c>
      <c r="D23" s="101"/>
      <c r="E23" s="101"/>
      <c r="F23" s="101"/>
      <c r="G23" s="101">
        <f t="shared" ref="G23:H34" si="2">B23</f>
        <v>0.28396800022717433</v>
      </c>
      <c r="H23" s="101">
        <f t="shared" si="2"/>
        <v>4.9966410936773125</v>
      </c>
    </row>
    <row r="24" spans="1:8">
      <c r="A24" s="101" t="str">
        <f>'[9]energy consumption'!N4</f>
        <v>Spray pyrolysis</v>
      </c>
      <c r="B24" s="101">
        <f>'[9]energy consumption'!P4</f>
        <v>2.0358858304232818E-6</v>
      </c>
      <c r="C24" s="101">
        <f>'[9]energy consumption'!Q4</f>
        <v>3.5823018066085824E-5</v>
      </c>
      <c r="D24" s="101"/>
      <c r="E24" s="101"/>
      <c r="F24" s="101"/>
      <c r="G24" s="101">
        <f t="shared" si="2"/>
        <v>2.0358858304232818E-6</v>
      </c>
      <c r="H24" s="101">
        <f t="shared" si="2"/>
        <v>3.5823018066085824E-5</v>
      </c>
    </row>
    <row r="25" spans="1:8">
      <c r="A25" s="101" t="str">
        <f>'[9]energy consumption'!N5</f>
        <v>ETL spin coating</v>
      </c>
      <c r="B25" s="101">
        <f>'[9]energy consumption'!P5</f>
        <v>0.21954647633780475</v>
      </c>
      <c r="C25" s="101">
        <f>'[9]energy consumption'!Q5</f>
        <v>3.8630935343557486</v>
      </c>
      <c r="D25" s="101"/>
      <c r="E25" s="101"/>
      <c r="F25" s="101"/>
      <c r="G25" s="101">
        <f t="shared" si="2"/>
        <v>0.21954647633780475</v>
      </c>
      <c r="H25" s="101">
        <f t="shared" si="2"/>
        <v>3.8630935343557486</v>
      </c>
    </row>
    <row r="26" spans="1:8">
      <c r="A26" s="101" t="str">
        <f>'[9]energy consumption'!N6</f>
        <v>ETL calcining</v>
      </c>
      <c r="B26" s="101">
        <f>'[9]energy consumption'!P6</f>
        <v>1.7038080013630461</v>
      </c>
      <c r="C26" s="101">
        <f>'[9]energy consumption'!Q6</f>
        <v>29.979846562063877</v>
      </c>
      <c r="D26" s="101"/>
      <c r="E26" s="101"/>
      <c r="F26" s="101"/>
      <c r="G26" s="101">
        <f t="shared" si="2"/>
        <v>1.7038080013630461</v>
      </c>
      <c r="H26" s="101">
        <f t="shared" si="2"/>
        <v>29.979846562063877</v>
      </c>
    </row>
    <row r="27" spans="1:8">
      <c r="A27" s="101" t="str">
        <f>'[9]energy consumption'!N7</f>
        <v>PL 1st-step spin coating</v>
      </c>
      <c r="B27" s="101">
        <f>'[9]energy consumption'!P7</f>
        <v>8.4576274476780081E-2</v>
      </c>
      <c r="C27" s="101">
        <f>'[9]energy consumption'!Q7</f>
        <v>1.4881863036072136</v>
      </c>
      <c r="D27" s="101"/>
      <c r="E27" s="101"/>
      <c r="F27" s="101"/>
      <c r="G27" s="101">
        <f t="shared" si="2"/>
        <v>8.4576274476780081E-2</v>
      </c>
      <c r="H27" s="101">
        <f t="shared" si="2"/>
        <v>1.4881863036072136</v>
      </c>
    </row>
    <row r="28" spans="1:8">
      <c r="A28" s="101" t="str">
        <f>'[9]energy consumption'!N8</f>
        <v>PL 2nd-step spin coating</v>
      </c>
      <c r="B28" s="101">
        <f>'[9]energy consumption'!P8</f>
        <v>8.2436494732517538</v>
      </c>
      <c r="C28" s="101">
        <f>'[9]energy consumption'!Q8</f>
        <v>145.05351901259513</v>
      </c>
      <c r="D28" s="101"/>
      <c r="E28" s="101"/>
      <c r="F28" s="101"/>
      <c r="G28" s="101">
        <f t="shared" si="2"/>
        <v>8.2436494732517538</v>
      </c>
      <c r="H28" s="101">
        <f t="shared" si="2"/>
        <v>145.05351901259513</v>
      </c>
    </row>
    <row r="29" spans="1:8">
      <c r="A29" s="101" t="str">
        <f>'[9]energy consumption'!N9</f>
        <v>PL drying</v>
      </c>
      <c r="B29" s="101">
        <f>'[9]energy consumption'!P9</f>
        <v>15.334272012267418</v>
      </c>
      <c r="C29" s="101">
        <f>'[9]energy consumption'!Q9</f>
        <v>269.81861905857494</v>
      </c>
      <c r="D29" s="101"/>
      <c r="E29" s="101"/>
      <c r="F29" s="101"/>
      <c r="G29" s="101">
        <f t="shared" si="2"/>
        <v>15.334272012267418</v>
      </c>
      <c r="H29" s="101">
        <f t="shared" si="2"/>
        <v>269.81861905857494</v>
      </c>
    </row>
    <row r="30" spans="1:8">
      <c r="A30" s="101" t="str">
        <f>'[9]energy consumption'!N10</f>
        <v>HTL spin coating</v>
      </c>
      <c r="B30" s="101">
        <f>'[9]energy consumption'!P10</f>
        <v>1.5223729405820419</v>
      </c>
      <c r="C30" s="101">
        <f>'[9]energy consumption'!Q10</f>
        <v>26.787353464929854</v>
      </c>
      <c r="D30" s="101"/>
      <c r="E30" s="101"/>
      <c r="F30" s="101"/>
      <c r="G30" s="101">
        <f t="shared" si="2"/>
        <v>1.5223729405820419</v>
      </c>
      <c r="H30" s="101">
        <f t="shared" si="2"/>
        <v>26.787353464929854</v>
      </c>
    </row>
    <row r="31" spans="1:8">
      <c r="A31" s="101" t="str">
        <f>'[9]energy consumption'!N11</f>
        <v>Electrode sputtering</v>
      </c>
      <c r="B31" s="101">
        <f>'[9]energy consumption'!P11</f>
        <v>5.0088800040071035</v>
      </c>
      <c r="C31" s="101">
        <f>'[9]energy consumption'!Q11</f>
        <v>88.135197069030383</v>
      </c>
      <c r="D31" s="101"/>
      <c r="E31" s="101"/>
      <c r="F31" s="101"/>
      <c r="G31" s="101">
        <f t="shared" si="2"/>
        <v>5.0088800040071035</v>
      </c>
      <c r="H31" s="101">
        <f t="shared" si="2"/>
        <v>88.135197069030383</v>
      </c>
    </row>
    <row r="32" spans="1:8">
      <c r="A32" s="101" t="s">
        <v>178</v>
      </c>
      <c r="B32" s="101">
        <f>'[9]energy consumption'!P13*'[9]material inventory'!$B$2</f>
        <v>1.4695344011756272E-2</v>
      </c>
      <c r="C32" s="101">
        <f>'[9]energy consumption'!Q13*'[9]material inventory'!$B$2</f>
        <v>0.25857617659780091</v>
      </c>
      <c r="D32" s="101"/>
      <c r="E32" s="101"/>
      <c r="F32" s="101"/>
      <c r="G32" s="101">
        <f>B32</f>
        <v>1.4695344011756272E-2</v>
      </c>
      <c r="H32" s="101">
        <f>C32</f>
        <v>0.25857617659780091</v>
      </c>
    </row>
    <row r="33" spans="1:8">
      <c r="A33" s="102" t="s">
        <v>21</v>
      </c>
      <c r="B33">
        <f>'[9]material inventory'!U35</f>
        <v>0</v>
      </c>
      <c r="C33">
        <f>'[9]material inventory'!V35</f>
        <v>0</v>
      </c>
      <c r="G33">
        <f t="shared" si="2"/>
        <v>0</v>
      </c>
      <c r="H33">
        <f t="shared" si="2"/>
        <v>0</v>
      </c>
    </row>
    <row r="34" spans="1:8">
      <c r="A34" s="102" t="s">
        <v>93</v>
      </c>
      <c r="B34">
        <f>'[9]material inventory'!U58</f>
        <v>5.7228935999999982E-5</v>
      </c>
      <c r="C34">
        <f>'[9]material inventory'!V58</f>
        <v>4.7824445274400002E-4</v>
      </c>
      <c r="G34">
        <f t="shared" si="2"/>
        <v>5.7228935999999982E-5</v>
      </c>
      <c r="H34">
        <f t="shared" si="2"/>
        <v>4.7824445274400002E-4</v>
      </c>
    </row>
    <row r="35" spans="1:8">
      <c r="A35" s="102" t="s">
        <v>135</v>
      </c>
      <c r="B35">
        <f>'[9]material inventory'!$F$65*[10]production!$D$103</f>
        <v>2.7378225430555302E-3</v>
      </c>
      <c r="C35">
        <f>'[9]material inventory'!$F$65*[10]production!M103</f>
        <v>8.7624081031341047E-2</v>
      </c>
      <c r="G35">
        <v>6.2954281683199991</v>
      </c>
      <c r="H35">
        <v>102.32319889165566</v>
      </c>
    </row>
    <row r="36" spans="1:8">
      <c r="A36" s="82"/>
      <c r="B36" s="82">
        <f>SUM(B2:B34)</f>
        <v>33.277573431109559</v>
      </c>
      <c r="C36" s="82">
        <f>SUM(C2:C34)</f>
        <v>587.88824892877142</v>
      </c>
      <c r="D36" s="82"/>
      <c r="E36" s="82"/>
      <c r="F36" s="82"/>
      <c r="G36" s="82">
        <f>SUM(G2:G34)</f>
        <v>33.277573431109559</v>
      </c>
      <c r="H36" s="82">
        <f>SUM(H2:H34)</f>
        <v>587.88824892877142</v>
      </c>
    </row>
    <row r="37" spans="1:8">
      <c r="A37" s="76" t="s">
        <v>136</v>
      </c>
      <c r="B37" s="76">
        <f>SUM(B35:B36)</f>
        <v>33.280311253652613</v>
      </c>
      <c r="C37" s="76">
        <f t="shared" ref="C37:H37" si="3">SUM(C35:C36)</f>
        <v>587.97587300980274</v>
      </c>
      <c r="D37" s="76"/>
      <c r="E37" s="76"/>
      <c r="F37" s="76"/>
      <c r="G37" s="76">
        <f>SUM(G35:G36)</f>
        <v>39.57300159942956</v>
      </c>
      <c r="H37" s="76">
        <f t="shared" si="3"/>
        <v>690.21144782042711</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66B3A-E6B7-4426-A5BE-64F875CCD3A2}">
  <dimension ref="A1:P31"/>
  <sheetViews>
    <sheetView workbookViewId="0"/>
  </sheetViews>
  <sheetFormatPr defaultRowHeight="15"/>
  <cols>
    <col min="1" max="2" width="36.7109375" customWidth="1"/>
  </cols>
  <sheetData>
    <row r="1" spans="1:16">
      <c r="A1" s="11" t="s">
        <v>110</v>
      </c>
    </row>
    <row r="2" spans="1:16">
      <c r="P2">
        <f ca="1">_xll.CB.RecalcCounterFN()</f>
        <v>0</v>
      </c>
    </row>
    <row r="3" spans="1:16">
      <c r="A3" t="s">
        <v>111</v>
      </c>
      <c r="B3" t="s">
        <v>112</v>
      </c>
      <c r="C3">
        <v>0</v>
      </c>
    </row>
    <row r="4" spans="1:16">
      <c r="A4" t="s">
        <v>113</v>
      </c>
    </row>
    <row r="5" spans="1:16">
      <c r="A5" t="s">
        <v>114</v>
      </c>
    </row>
    <row r="7" spans="1:16">
      <c r="A7" s="11" t="s">
        <v>115</v>
      </c>
      <c r="B7" t="s">
        <v>116</v>
      </c>
    </row>
    <row r="8" spans="1:16">
      <c r="B8">
        <v>2</v>
      </c>
    </row>
    <row r="10" spans="1:16">
      <c r="A10" t="s">
        <v>117</v>
      </c>
    </row>
    <row r="11" spans="1:16">
      <c r="A11" t="e">
        <f>CB_DATA_!#REF!</f>
        <v>#REF!</v>
      </c>
      <c r="B11" t="e">
        <f>Uncertainty!#REF!</f>
        <v>#REF!</v>
      </c>
    </row>
    <row r="13" spans="1:16">
      <c r="A13" t="s">
        <v>118</v>
      </c>
    </row>
    <row r="14" spans="1:16">
      <c r="A14" t="s">
        <v>126</v>
      </c>
      <c r="B14" s="30" t="s">
        <v>122</v>
      </c>
    </row>
    <row r="16" spans="1:16">
      <c r="A16" t="s">
        <v>119</v>
      </c>
    </row>
    <row r="19" spans="1:2">
      <c r="A19" t="s">
        <v>120</v>
      </c>
    </row>
    <row r="20" spans="1:2">
      <c r="A20">
        <v>31</v>
      </c>
      <c r="B20">
        <v>31</v>
      </c>
    </row>
    <row r="25" spans="1:2">
      <c r="A25" s="11" t="s">
        <v>121</v>
      </c>
    </row>
    <row r="26" spans="1:2">
      <c r="A26" s="30" t="s">
        <v>125</v>
      </c>
      <c r="B26" s="30" t="s">
        <v>123</v>
      </c>
    </row>
    <row r="27" spans="1:2">
      <c r="A27" t="s">
        <v>127</v>
      </c>
      <c r="B27" t="s">
        <v>177</v>
      </c>
    </row>
    <row r="28" spans="1:2">
      <c r="A28" s="30" t="s">
        <v>124</v>
      </c>
      <c r="B28" s="30" t="s">
        <v>124</v>
      </c>
    </row>
    <row r="29" spans="1:2">
      <c r="A29" s="30" t="s">
        <v>123</v>
      </c>
      <c r="B29" s="30" t="s">
        <v>125</v>
      </c>
    </row>
    <row r="30" spans="1:2">
      <c r="A30" t="s">
        <v>176</v>
      </c>
      <c r="B30" t="s">
        <v>131</v>
      </c>
    </row>
    <row r="31" spans="1:2">
      <c r="A31" s="30" t="s">
        <v>124</v>
      </c>
      <c r="B31" s="30" t="s">
        <v>124</v>
      </c>
    </row>
  </sheetData>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material inventory</vt:lpstr>
      <vt:lpstr>energy consumption</vt:lpstr>
      <vt:lpstr>results</vt:lpstr>
      <vt:lpstr>Uncertainty</vt:lpstr>
      <vt:lpstr>recycling</vt:lpstr>
      <vt:lpstr>recycling level</vt:lpstr>
      <vt:lpstr>SA</vt:lpstr>
      <vt:lpstr>results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2020-01-05T02:25:20Z</dcterms:modified>
</cp:coreProperties>
</file>