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xr:revisionPtr revIDLastSave="0" documentId="13_ncr:1_{9BEF6CFA-1BEA-427A-9F54-EFE73B02729F}" xr6:coauthVersionLast="45" xr6:coauthVersionMax="45" xr10:uidLastSave="{00000000-0000-0000-0000-000000000000}"/>
  <bookViews>
    <workbookView xWindow="-28920" yWindow="-120" windowWidth="29040" windowHeight="15840" activeTab="2" xr2:uid="{00000000-000D-0000-FFFF-FFFF00000000}"/>
  </bookViews>
  <sheets>
    <sheet name="material inventory" sheetId="1" r:id="rId1"/>
    <sheet name="energy consumption" sheetId="2" r:id="rId2"/>
    <sheet name="results" sheetId="5" r:id="rId3"/>
    <sheet name="uncertainty" sheetId="6" r:id="rId4"/>
    <sheet name="recycling level-cf" sheetId="7" r:id="rId5"/>
    <sheet name="recycling level-pec" sheetId="8" r:id="rId6"/>
    <sheet name="sensitivity" sheetId="9" r:id="rId7"/>
    <sheet name="results (2)" sheetId="10" r:id="rId8"/>
    <sheet name="CB_DATA_" sheetId="4" state="very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B_1c552a0764d543c5bbf3926395c7f317" localSheetId="3" hidden="1">uncertainty!$C$7</definedName>
    <definedName name="CB_29a66ae046f040f29ac5464671b7f4d7" localSheetId="3" hidden="1">uncertainty!$C$10</definedName>
    <definedName name="CB_2c9c74978bef41a29dd780eabf4ddd20" localSheetId="3" hidden="1">uncertainty!$C$6</definedName>
    <definedName name="CB_a6dfdd498a8c40f3a97299b5be30db65" localSheetId="8" hidden="1">#N/A</definedName>
    <definedName name="CB_b4ced0260afb4d5ba1bdf15f4e67b979" localSheetId="3" hidden="1">uncertainty!$C$8</definedName>
    <definedName name="CB_b6034ffdc36248d4b608e37ea72e6750" localSheetId="3" hidden="1">uncertainty!$C$9</definedName>
    <definedName name="CB_b9d09b191fad4321bbd58a9b896c3a5e" localSheetId="8" hidden="1">#N/A</definedName>
    <definedName name="CB_Block_00000000000000000000000000000000" localSheetId="8" hidden="1">"'7.0.0.0"</definedName>
    <definedName name="CB_Block_00000000000000000000000000000000" localSheetId="3" hidden="1">"'7.0.0.0"</definedName>
    <definedName name="CB_Block_00000000000000000000000000000001" localSheetId="8" hidden="1">"'637136660739562746"</definedName>
    <definedName name="CB_Block_00000000000000000000000000000001" localSheetId="3" hidden="1">"'637136660739632819"</definedName>
    <definedName name="CB_Block_00000000000000000000000000000003" localSheetId="8" hidden="1">"'11.1.4716.0"</definedName>
    <definedName name="CB_Block_00000000000000000000000000000003" localSheetId="3" hidden="1">"'11.1.4716.0"</definedName>
    <definedName name="CB_BlockExt_00000000000000000000000000000003" localSheetId="8" hidden="1">"'11.1.2.4.850"</definedName>
    <definedName name="CB_BlockExt_00000000000000000000000000000003" localSheetId="3" hidden="1">"'11.1.2.4.850"</definedName>
    <definedName name="CB_e3691231f849436dbc1ec9fd0c9362b5" localSheetId="3" hidden="1">uncertainty!$C$2</definedName>
    <definedName name="CB_f16a36ffcc644edaa47805181fb53b53" localSheetId="3" hidden="1">uncertainty!$C$3</definedName>
    <definedName name="CB_f499226ce08d4509b9b043083dd43aef" localSheetId="3" hidden="1">uncertainty!$C$4</definedName>
    <definedName name="CBCR_12ff9c8325844dfc933e735a5c010c61" localSheetId="3" hidden="1">uncertainty!$E$7</definedName>
    <definedName name="CBCR_146476bf6a814accb854669b62de5dd6" localSheetId="3" hidden="1">uncertainty!$C$8</definedName>
    <definedName name="CBCR_1c9168ee1e8f41a9add4251a6e58f697" localSheetId="3" hidden="1">uncertainty!$E$2</definedName>
    <definedName name="CBCR_231ab382c6274181998df9c4f8b048c6" localSheetId="3" hidden="1">uncertainty!$E$3</definedName>
    <definedName name="CBCR_489e32eeebce45c5b6d15949432fffd1" localSheetId="3" hidden="1">uncertainty!$C$7</definedName>
    <definedName name="CBCR_7545999ce53542f2ae437fea85bc5271" localSheetId="3" hidden="1">uncertainty!$E$4</definedName>
    <definedName name="CBCR_b49d42f4307d43528420201b3ec3e4f6" localSheetId="3" hidden="1">uncertainty!$C$6</definedName>
    <definedName name="CBCR_b8e9a93882bf44028dafa1c11ccab969" localSheetId="3" hidden="1">uncertainty!$C$3</definedName>
    <definedName name="CBCR_bf7a8f1040aa4c56b1b8bbd155bd11eb" localSheetId="3" hidden="1">uncertainty!$E$8</definedName>
    <definedName name="CBCR_c6938672ea264f69a00d82a44079a73a" localSheetId="3" hidden="1">uncertainty!$C$2</definedName>
    <definedName name="CBCR_cc2f49e12f2846c19f44f07b834bd10d" localSheetId="3" hidden="1">uncertainty!$C$4</definedName>
    <definedName name="CBCR_e60be1587a75439790ea56e9c6efe891" localSheetId="3" hidden="1">uncertainty!$E$6</definedName>
    <definedName name="CBWorkbookPriority" localSheetId="8" hidden="1">-1361577931032380</definedName>
    <definedName name="CBx_0a4cc0542da3409ebbac35982ef185f7" localSheetId="8" hidden="1">"'Uncertainty'!$A$1"</definedName>
    <definedName name="CBx_19e15c5a500e4855bf103a8e995feb53" localSheetId="8" hidden="1">"'uncertainty'!$A$1"</definedName>
    <definedName name="CBx_9cc7db5fa39f4ef59a1e1d6dd4332f97" localSheetId="8" hidden="1">"'Sheet1'!$A$1"</definedName>
    <definedName name="CBx_da2faeed94704e3bb2dd889b0059c929" localSheetId="8" hidden="1">"'CB_DATA_'!$A$1"</definedName>
    <definedName name="CBx_Sheet_Guid" localSheetId="8" hidden="1">"'da2faeed-9470-4e3b-b2dd-889b0059c929"</definedName>
    <definedName name="CBx_Sheet_Guid" localSheetId="3" hidden="1">"'19e15c5a-500e-4855-bf10-3a8e995feb53"</definedName>
    <definedName name="CBx_SheetRef" localSheetId="8" hidden="1">CB_DATA_!$A$14</definedName>
    <definedName name="CBx_SheetRef" localSheetId="3" hidden="1">CB_DATA_!$B$14</definedName>
    <definedName name="CBx_StorageType" localSheetId="8" hidden="1">2</definedName>
    <definedName name="CBx_StorageType" localSheetId="3"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4" i="10" l="1"/>
  <c r="G34" i="10"/>
  <c r="B34" i="10"/>
  <c r="C33" i="10" l="1"/>
  <c r="B33" i="10"/>
  <c r="C32" i="10"/>
  <c r="H32" i="10" s="1"/>
  <c r="B32" i="10"/>
  <c r="G32" i="10" s="1"/>
  <c r="C31" i="10"/>
  <c r="H31" i="10" s="1"/>
  <c r="B31" i="10"/>
  <c r="G31" i="10" s="1"/>
  <c r="G29" i="10"/>
  <c r="C29" i="10"/>
  <c r="H29" i="10" s="1"/>
  <c r="B29" i="10"/>
  <c r="A29" i="10"/>
  <c r="C28" i="10"/>
  <c r="H28" i="10" s="1"/>
  <c r="B28" i="10"/>
  <c r="G28" i="10" s="1"/>
  <c r="A28" i="10"/>
  <c r="H27" i="10"/>
  <c r="C27" i="10"/>
  <c r="B27" i="10"/>
  <c r="G27" i="10" s="1"/>
  <c r="A27" i="10"/>
  <c r="C26" i="10"/>
  <c r="H26" i="10" s="1"/>
  <c r="B26" i="10"/>
  <c r="G26" i="10" s="1"/>
  <c r="A26" i="10"/>
  <c r="C25" i="10"/>
  <c r="H25" i="10" s="1"/>
  <c r="B25" i="10"/>
  <c r="G25" i="10" s="1"/>
  <c r="A25" i="10"/>
  <c r="C24" i="10"/>
  <c r="H24" i="10" s="1"/>
  <c r="B24" i="10"/>
  <c r="G24" i="10" s="1"/>
  <c r="A24" i="10"/>
  <c r="H23" i="10"/>
  <c r="C23" i="10"/>
  <c r="B23" i="10"/>
  <c r="G23" i="10" s="1"/>
  <c r="A23" i="10"/>
  <c r="C22" i="10"/>
  <c r="H22" i="10" s="1"/>
  <c r="B22" i="10"/>
  <c r="G22" i="10" s="1"/>
  <c r="A22" i="10"/>
  <c r="G21" i="10"/>
  <c r="C21" i="10"/>
  <c r="H21" i="10" s="1"/>
  <c r="B21" i="10"/>
  <c r="A21" i="10"/>
  <c r="C20" i="10"/>
  <c r="H20" i="10" s="1"/>
  <c r="B20" i="10"/>
  <c r="G20" i="10" s="1"/>
  <c r="A20" i="10"/>
  <c r="H19" i="10"/>
  <c r="C19" i="10"/>
  <c r="B19" i="10"/>
  <c r="G19" i="10" s="1"/>
  <c r="A19" i="10"/>
  <c r="C30" i="10"/>
  <c r="H30" i="10" s="1"/>
  <c r="B30" i="10"/>
  <c r="G30" i="10" s="1"/>
  <c r="C18" i="10"/>
  <c r="H18" i="10" s="1"/>
  <c r="B18" i="10"/>
  <c r="G18" i="10" s="1"/>
  <c r="A18" i="10"/>
  <c r="C17" i="10"/>
  <c r="H17" i="10" s="1"/>
  <c r="B17" i="10"/>
  <c r="G17" i="10" s="1"/>
  <c r="A17" i="10"/>
  <c r="C16" i="10"/>
  <c r="H16" i="10" s="1"/>
  <c r="B16" i="10"/>
  <c r="G16" i="10" s="1"/>
  <c r="A16" i="10"/>
  <c r="H15" i="10"/>
  <c r="C15" i="10"/>
  <c r="B15" i="10"/>
  <c r="G15" i="10" s="1"/>
  <c r="A15" i="10"/>
  <c r="C14" i="10"/>
  <c r="H14" i="10" s="1"/>
  <c r="B14" i="10"/>
  <c r="G14" i="10" s="1"/>
  <c r="A14" i="10"/>
  <c r="C13" i="10"/>
  <c r="H13" i="10" s="1"/>
  <c r="B13" i="10"/>
  <c r="G13" i="10" s="1"/>
  <c r="A13" i="10"/>
  <c r="H12" i="10"/>
  <c r="C12" i="10"/>
  <c r="B12" i="10"/>
  <c r="G12" i="10" s="1"/>
  <c r="A12" i="10"/>
  <c r="H11" i="10"/>
  <c r="C11" i="10"/>
  <c r="B11" i="10"/>
  <c r="G11" i="10" s="1"/>
  <c r="A11" i="10"/>
  <c r="C10" i="10"/>
  <c r="H10" i="10" s="1"/>
  <c r="B10" i="10"/>
  <c r="G10" i="10" s="1"/>
  <c r="A10" i="10"/>
  <c r="G9" i="10"/>
  <c r="C9" i="10"/>
  <c r="H9" i="10" s="1"/>
  <c r="B9" i="10"/>
  <c r="A9" i="10"/>
  <c r="G8" i="10"/>
  <c r="C8" i="10"/>
  <c r="H8" i="10" s="1"/>
  <c r="B8" i="10"/>
  <c r="A8" i="10"/>
  <c r="H7" i="10"/>
  <c r="C7" i="10"/>
  <c r="B7" i="10"/>
  <c r="G7" i="10" s="1"/>
  <c r="A7" i="10"/>
  <c r="C6" i="10"/>
  <c r="H6" i="10" s="1"/>
  <c r="B6" i="10"/>
  <c r="G6" i="10" s="1"/>
  <c r="A6" i="10"/>
  <c r="C5" i="10"/>
  <c r="H5" i="10" s="1"/>
  <c r="B5" i="10"/>
  <c r="G5" i="10" s="1"/>
  <c r="A5" i="10"/>
  <c r="C4" i="10"/>
  <c r="H4" i="10" s="1"/>
  <c r="B4" i="10"/>
  <c r="G4" i="10" s="1"/>
  <c r="A4" i="10"/>
  <c r="C3" i="10"/>
  <c r="H3" i="10" s="1"/>
  <c r="B3" i="10"/>
  <c r="G3" i="10" s="1"/>
  <c r="A3" i="10"/>
  <c r="C2" i="10"/>
  <c r="H2" i="10" s="1"/>
  <c r="B2" i="10"/>
  <c r="G2" i="10" s="1"/>
  <c r="A2" i="10"/>
  <c r="H1" i="10"/>
  <c r="G1" i="10"/>
  <c r="C34" i="10" l="1"/>
  <c r="N30" i="1" l="1"/>
  <c r="O30" i="1"/>
  <c r="P30" i="1"/>
  <c r="Q30" i="1"/>
  <c r="R30" i="1"/>
  <c r="S30" i="1"/>
  <c r="T30" i="1"/>
  <c r="U30" i="1"/>
  <c r="V30" i="1"/>
  <c r="W30" i="1"/>
  <c r="X30" i="1"/>
  <c r="Y30" i="1"/>
  <c r="Z30" i="1"/>
  <c r="AA30" i="1"/>
  <c r="AB30" i="1"/>
  <c r="AC30" i="1"/>
  <c r="AD30" i="1"/>
  <c r="AE30" i="1"/>
  <c r="AF30" i="1"/>
  <c r="AG30" i="1"/>
  <c r="AH30" i="1"/>
  <c r="M30" i="1"/>
  <c r="L30" i="1"/>
  <c r="P2" i="4"/>
  <c r="F39" i="1" l="1"/>
  <c r="A39" i="1"/>
  <c r="C17" i="2" l="1"/>
  <c r="A23" i="5" l="1"/>
  <c r="A14" i="5"/>
  <c r="A15" i="5"/>
  <c r="A16" i="5"/>
  <c r="H13" i="2"/>
  <c r="A29" i="5" s="1"/>
  <c r="A28" i="5"/>
  <c r="H11" i="2"/>
  <c r="A27" i="5" s="1"/>
  <c r="H10" i="2"/>
  <c r="A26" i="5" s="1"/>
  <c r="H9" i="2"/>
  <c r="A25" i="5" s="1"/>
  <c r="H8" i="2"/>
  <c r="A24" i="5" s="1"/>
  <c r="H7" i="2"/>
  <c r="H6" i="2"/>
  <c r="A22" i="5" s="1"/>
  <c r="H5" i="2"/>
  <c r="A21" i="5" s="1"/>
  <c r="H4" i="2"/>
  <c r="A20" i="5" s="1"/>
  <c r="H3" i="2"/>
  <c r="A19" i="5" s="1"/>
  <c r="A41" i="1"/>
  <c r="A40" i="1"/>
  <c r="C13" i="2"/>
  <c r="C12" i="2"/>
  <c r="C11" i="2"/>
  <c r="C7" i="2"/>
  <c r="D17" i="2"/>
  <c r="F24" i="1" s="1"/>
  <c r="S16" i="1" s="1"/>
  <c r="I15" i="5" s="1"/>
  <c r="D15" i="2"/>
  <c r="D10" i="2"/>
  <c r="D24" i="2"/>
  <c r="E24" i="2" s="1"/>
  <c r="F24" i="2" s="1"/>
  <c r="D9" i="2"/>
  <c r="D6" i="2"/>
  <c r="K22" i="1"/>
  <c r="K23" i="1"/>
  <c r="K24" i="1"/>
  <c r="K25" i="1"/>
  <c r="K26" i="1"/>
  <c r="K27" i="1"/>
  <c r="K28" i="1"/>
  <c r="K29" i="1"/>
  <c r="K21" i="1"/>
  <c r="K19" i="1"/>
  <c r="A18" i="5" s="1"/>
  <c r="K18" i="1"/>
  <c r="A17" i="5" s="1"/>
  <c r="K14" i="1"/>
  <c r="A13" i="5" s="1"/>
  <c r="K8" i="1"/>
  <c r="A7" i="5" s="1"/>
  <c r="K9" i="1"/>
  <c r="A8" i="5" s="1"/>
  <c r="K10" i="1"/>
  <c r="A9" i="5" s="1"/>
  <c r="K11" i="1"/>
  <c r="A10" i="5" s="1"/>
  <c r="K12" i="1"/>
  <c r="A11" i="5" s="1"/>
  <c r="K13" i="1"/>
  <c r="A12" i="5" s="1"/>
  <c r="K7" i="1"/>
  <c r="A6" i="5" s="1"/>
  <c r="K6" i="1"/>
  <c r="A5" i="5" s="1"/>
  <c r="K5" i="1"/>
  <c r="A4" i="5" s="1"/>
  <c r="K4" i="1"/>
  <c r="A3" i="5" s="1"/>
  <c r="K3" i="1"/>
  <c r="A2" i="5" s="1"/>
  <c r="F21" i="1"/>
  <c r="F10" i="1"/>
  <c r="F44" i="1" s="1"/>
  <c r="Y16" i="1" l="1"/>
  <c r="O15" i="5" s="1"/>
  <c r="AF16" i="1"/>
  <c r="V15" i="5" s="1"/>
  <c r="X16" i="1"/>
  <c r="N15" i="5" s="1"/>
  <c r="P16" i="1"/>
  <c r="F15" i="5" s="1"/>
  <c r="AH16" i="1"/>
  <c r="X15" i="5" s="1"/>
  <c r="M16" i="1"/>
  <c r="C15" i="5" s="1"/>
  <c r="Q16" i="1"/>
  <c r="G15" i="5" s="1"/>
  <c r="AE16" i="1"/>
  <c r="U15" i="5" s="1"/>
  <c r="W16" i="1"/>
  <c r="M15" i="5" s="1"/>
  <c r="O16" i="1"/>
  <c r="E15" i="5" s="1"/>
  <c r="Z16" i="1"/>
  <c r="P15" i="5" s="1"/>
  <c r="AD16" i="1"/>
  <c r="T15" i="5" s="1"/>
  <c r="V16" i="1"/>
  <c r="L15" i="5" s="1"/>
  <c r="N16" i="1"/>
  <c r="D15" i="5" s="1"/>
  <c r="R16" i="1"/>
  <c r="H15" i="5" s="1"/>
  <c r="AG16" i="1"/>
  <c r="W15" i="5" s="1"/>
  <c r="AC16" i="1"/>
  <c r="S15" i="5" s="1"/>
  <c r="U16" i="1"/>
  <c r="K15" i="5" s="1"/>
  <c r="AB16" i="1"/>
  <c r="R15" i="5" s="1"/>
  <c r="L16" i="1"/>
  <c r="B15" i="5" s="1"/>
  <c r="T16" i="1"/>
  <c r="J15" i="5" s="1"/>
  <c r="AA16" i="1"/>
  <c r="Q15" i="5" s="1"/>
  <c r="F25" i="1"/>
  <c r="F40" i="1"/>
  <c r="Q37" i="1"/>
  <c r="G31" i="5" s="1"/>
  <c r="P37" i="1"/>
  <c r="F31" i="5" s="1"/>
  <c r="W37" i="1"/>
  <c r="M31" i="5" s="1"/>
  <c r="X37" i="1"/>
  <c r="N31" i="5" s="1"/>
  <c r="AE37" i="1"/>
  <c r="U31" i="5" s="1"/>
  <c r="AF37" i="1"/>
  <c r="V31" i="5" s="1"/>
  <c r="O37" i="1"/>
  <c r="E31" i="5" s="1"/>
  <c r="V37" i="1"/>
  <c r="L31" i="5" s="1"/>
  <c r="N37" i="1"/>
  <c r="D31" i="5" s="1"/>
  <c r="AC37" i="1"/>
  <c r="S31" i="5" s="1"/>
  <c r="U37" i="1"/>
  <c r="K31" i="5" s="1"/>
  <c r="L37" i="1"/>
  <c r="B31" i="5" s="1"/>
  <c r="AB37" i="1"/>
  <c r="R31" i="5" s="1"/>
  <c r="T37" i="1"/>
  <c r="J31" i="5" s="1"/>
  <c r="S37" i="1"/>
  <c r="I31" i="5" s="1"/>
  <c r="AH37" i="1"/>
  <c r="X31" i="5" s="1"/>
  <c r="Z37" i="1"/>
  <c r="P31" i="5" s="1"/>
  <c r="R37" i="1"/>
  <c r="H31" i="5" s="1"/>
  <c r="AD37" i="1"/>
  <c r="T31" i="5" s="1"/>
  <c r="M37" i="1"/>
  <c r="C31" i="5" s="1"/>
  <c r="AA37" i="1"/>
  <c r="Q31" i="5" s="1"/>
  <c r="AG37" i="1"/>
  <c r="W31" i="5" s="1"/>
  <c r="Y37" i="1"/>
  <c r="O31" i="5" s="1"/>
  <c r="E17" i="2"/>
  <c r="F41" i="1" l="1"/>
  <c r="N17" i="1"/>
  <c r="V17" i="1"/>
  <c r="L16" i="5" s="1"/>
  <c r="AD17" i="1"/>
  <c r="L17" i="1"/>
  <c r="O17" i="1"/>
  <c r="E16" i="5" s="1"/>
  <c r="W17" i="1"/>
  <c r="AE17" i="1"/>
  <c r="P17" i="1"/>
  <c r="X17" i="1"/>
  <c r="N16" i="5" s="1"/>
  <c r="AF17" i="1"/>
  <c r="V16" i="5" s="1"/>
  <c r="U17" i="1"/>
  <c r="Q17" i="1"/>
  <c r="Y17" i="1"/>
  <c r="AG17" i="1"/>
  <c r="R17" i="1"/>
  <c r="Z17" i="1"/>
  <c r="AH17" i="1"/>
  <c r="T17" i="1"/>
  <c r="S17" i="1"/>
  <c r="AA17" i="1"/>
  <c r="M17" i="1"/>
  <c r="C16" i="5" s="1"/>
  <c r="AB17" i="1"/>
  <c r="AC17" i="1"/>
  <c r="O15" i="9"/>
  <c r="P15" i="9"/>
  <c r="R15" i="9" s="1"/>
  <c r="P9" i="9"/>
  <c r="R9" i="9" s="1"/>
  <c r="M9" i="9"/>
  <c r="M15" i="9" s="1"/>
  <c r="J1" i="9"/>
  <c r="H1" i="9"/>
  <c r="O12" i="9"/>
  <c r="O13" i="9"/>
  <c r="O14" i="9"/>
  <c r="O16" i="9"/>
  <c r="O17" i="9"/>
  <c r="P12" i="9"/>
  <c r="P13" i="9"/>
  <c r="P14" i="9"/>
  <c r="P16" i="9"/>
  <c r="R16" i="9" s="1"/>
  <c r="Q16" i="9"/>
  <c r="P17" i="9"/>
  <c r="R17" i="9" s="1"/>
  <c r="Q17" i="9"/>
  <c r="M8" i="9"/>
  <c r="M16" i="9" s="1"/>
  <c r="P6" i="9"/>
  <c r="P7" i="9"/>
  <c r="P8" i="9"/>
  <c r="R8" i="9" s="1"/>
  <c r="P10" i="9"/>
  <c r="R10" i="9" s="1"/>
  <c r="P5" i="9"/>
  <c r="M10" i="9"/>
  <c r="M17" i="9" s="1"/>
  <c r="Q7" i="9"/>
  <c r="Q14" i="9" s="1"/>
  <c r="M7" i="9"/>
  <c r="M14" i="9" s="1"/>
  <c r="Q6" i="9"/>
  <c r="Q13" i="9" s="1"/>
  <c r="M6" i="9"/>
  <c r="M13" i="9" s="1"/>
  <c r="Q5" i="9"/>
  <c r="Q12" i="9" s="1"/>
  <c r="M5" i="9"/>
  <c r="M12" i="9" s="1"/>
  <c r="R16" i="5" l="1"/>
  <c r="Q16" i="5"/>
  <c r="G16" i="5"/>
  <c r="B16" i="5"/>
  <c r="I16" i="5"/>
  <c r="K16" i="5"/>
  <c r="T16" i="5"/>
  <c r="M16" i="5"/>
  <c r="J16" i="5"/>
  <c r="W16" i="5"/>
  <c r="X16" i="5"/>
  <c r="D16" i="5"/>
  <c r="P16" i="5"/>
  <c r="F16" i="5"/>
  <c r="O16" i="5"/>
  <c r="S16" i="5"/>
  <c r="H16" i="5"/>
  <c r="U16" i="5"/>
  <c r="F1" i="6"/>
  <c r="C29" i="9" l="1"/>
  <c r="C30" i="9"/>
  <c r="C31" i="9"/>
  <c r="C2" i="9"/>
  <c r="A31" i="9"/>
  <c r="B31" i="9"/>
  <c r="A29" i="9"/>
  <c r="B29" i="9"/>
  <c r="A30" i="9"/>
  <c r="B30" i="9"/>
  <c r="Y29" i="8"/>
  <c r="W29" i="8"/>
  <c r="U29" i="8"/>
  <c r="S29" i="8"/>
  <c r="Q29" i="8"/>
  <c r="O29" i="8"/>
  <c r="M29" i="8"/>
  <c r="K29" i="8"/>
  <c r="I29" i="8"/>
  <c r="G29" i="8"/>
  <c r="E29" i="8"/>
  <c r="C29" i="8"/>
  <c r="Y29" i="7"/>
  <c r="W29" i="7"/>
  <c r="U29" i="7"/>
  <c r="S29" i="7"/>
  <c r="Q29" i="7"/>
  <c r="O29" i="7"/>
  <c r="M29" i="7"/>
  <c r="K29" i="7"/>
  <c r="I29" i="7"/>
  <c r="G29" i="7"/>
  <c r="E29" i="7"/>
  <c r="C29" i="7"/>
  <c r="B2" i="7"/>
  <c r="B2" i="9" s="1"/>
  <c r="C10" i="6" l="1"/>
  <c r="C9" i="6"/>
  <c r="A4" i="7"/>
  <c r="A4" i="9" s="1"/>
  <c r="A11" i="7"/>
  <c r="A11" i="9" s="1"/>
  <c r="A12" i="7"/>
  <c r="A12" i="9" s="1"/>
  <c r="A13" i="7"/>
  <c r="A13" i="9" s="1"/>
  <c r="B11" i="4"/>
  <c r="A3" i="8"/>
  <c r="A4" i="8"/>
  <c r="A5" i="8"/>
  <c r="A6" i="8"/>
  <c r="A7" i="8"/>
  <c r="A8" i="8"/>
  <c r="A9" i="8"/>
  <c r="A10" i="8"/>
  <c r="A11" i="8"/>
  <c r="A12" i="8"/>
  <c r="A13" i="8"/>
  <c r="A14" i="8"/>
  <c r="A15" i="8"/>
  <c r="A16" i="8"/>
  <c r="A17" i="8"/>
  <c r="A3" i="7" l="1"/>
  <c r="A3" i="9" s="1"/>
  <c r="A10" i="7"/>
  <c r="A10" i="9" s="1"/>
  <c r="A27" i="7"/>
  <c r="A27" i="9" s="1"/>
  <c r="A27" i="8"/>
  <c r="A28" i="7"/>
  <c r="A28" i="9" s="1"/>
  <c r="A28" i="8"/>
  <c r="A9" i="7"/>
  <c r="A9" i="9" s="1"/>
  <c r="A15" i="7"/>
  <c r="A15" i="9" s="1"/>
  <c r="A7" i="7"/>
  <c r="A7" i="9" s="1"/>
  <c r="A17" i="7"/>
  <c r="A17" i="9" s="1"/>
  <c r="A16" i="7"/>
  <c r="A16" i="9" s="1"/>
  <c r="A8" i="7"/>
  <c r="A8" i="9" s="1"/>
  <c r="A18" i="7"/>
  <c r="A18" i="9" s="1"/>
  <c r="A18" i="8"/>
  <c r="A14" i="7"/>
  <c r="A14" i="9" s="1"/>
  <c r="A6" i="7"/>
  <c r="A6" i="9" s="1"/>
  <c r="A25" i="7"/>
  <c r="A25" i="9" s="1"/>
  <c r="A25" i="8"/>
  <c r="A20" i="7"/>
  <c r="A20" i="9" s="1"/>
  <c r="A20" i="8"/>
  <c r="A26" i="7"/>
  <c r="A26" i="9" s="1"/>
  <c r="A26" i="8"/>
  <c r="A24" i="7"/>
  <c r="A24" i="9" s="1"/>
  <c r="A24" i="8"/>
  <c r="A23" i="7"/>
  <c r="A23" i="9" s="1"/>
  <c r="A23" i="8"/>
  <c r="A22" i="7"/>
  <c r="A22" i="9" s="1"/>
  <c r="A22" i="8"/>
  <c r="A21" i="7"/>
  <c r="A21" i="9" s="1"/>
  <c r="A21" i="8"/>
  <c r="A19" i="7"/>
  <c r="A19" i="9" s="1"/>
  <c r="A19" i="8"/>
  <c r="A5" i="7"/>
  <c r="A5" i="9" s="1"/>
  <c r="F17" i="2" l="1"/>
  <c r="D19" i="2"/>
  <c r="E19" i="2" s="1"/>
  <c r="F19" i="2" s="1"/>
  <c r="F28" i="1"/>
  <c r="F27" i="1"/>
  <c r="I13" i="2" l="1"/>
  <c r="Q13" i="2"/>
  <c r="Y13" i="2"/>
  <c r="J29" i="5" s="1"/>
  <c r="AG13" i="2"/>
  <c r="R29" i="5" s="1"/>
  <c r="R13" i="2"/>
  <c r="Z13" i="2"/>
  <c r="K29" i="5" s="1"/>
  <c r="S13" i="2"/>
  <c r="D29" i="5" s="1"/>
  <c r="AI13" i="2"/>
  <c r="T29" i="5" s="1"/>
  <c r="V13" i="2"/>
  <c r="G29" i="5" s="1"/>
  <c r="W13" i="2"/>
  <c r="H29" i="5" s="1"/>
  <c r="X13" i="2"/>
  <c r="I29" i="5" s="1"/>
  <c r="J13" i="2"/>
  <c r="AH13" i="2"/>
  <c r="S29" i="5" s="1"/>
  <c r="AA13" i="2"/>
  <c r="L29" i="5" s="1"/>
  <c r="T13" i="2"/>
  <c r="E29" i="5" s="1"/>
  <c r="AB13" i="2"/>
  <c r="M29" i="5" s="1"/>
  <c r="M13" i="2"/>
  <c r="AK13" i="2"/>
  <c r="V29" i="5" s="1"/>
  <c r="AL13" i="2"/>
  <c r="W29" i="5" s="1"/>
  <c r="O13" i="2"/>
  <c r="P13" i="2"/>
  <c r="K13" i="2"/>
  <c r="L13" i="2"/>
  <c r="AJ13" i="2"/>
  <c r="U29" i="5" s="1"/>
  <c r="U13" i="2"/>
  <c r="F29" i="5" s="1"/>
  <c r="AC13" i="2"/>
  <c r="N29" i="5" s="1"/>
  <c r="N13" i="2"/>
  <c r="AD13" i="2"/>
  <c r="O29" i="5" s="1"/>
  <c r="AM13" i="2"/>
  <c r="X29" i="5" s="1"/>
  <c r="AE13" i="2"/>
  <c r="P29" i="5" s="1"/>
  <c r="AF13" i="2"/>
  <c r="Q29" i="5" s="1"/>
  <c r="W19" i="1"/>
  <c r="M18" i="5" s="1"/>
  <c r="U18" i="1"/>
  <c r="K17" i="5" s="1"/>
  <c r="AH19" i="1"/>
  <c r="X18" i="5" s="1"/>
  <c r="R19" i="1"/>
  <c r="H18" i="5" s="1"/>
  <c r="AF18" i="1"/>
  <c r="V17" i="5" s="1"/>
  <c r="P18" i="1"/>
  <c r="F17" i="5" s="1"/>
  <c r="AG19" i="1"/>
  <c r="W18" i="5" s="1"/>
  <c r="Q19" i="1"/>
  <c r="G18" i="5" s="1"/>
  <c r="AE18" i="1"/>
  <c r="U17" i="5" s="1"/>
  <c r="O18" i="1"/>
  <c r="E17" i="5" s="1"/>
  <c r="X19" i="1"/>
  <c r="N18" i="5" s="1"/>
  <c r="V18" i="1"/>
  <c r="L17" i="5" s="1"/>
  <c r="N18" i="1"/>
  <c r="D17" i="5" s="1"/>
  <c r="O19" i="1"/>
  <c r="E18" i="5" s="1"/>
  <c r="AC18" i="1"/>
  <c r="S17" i="5" s="1"/>
  <c r="M18" i="1"/>
  <c r="AF19" i="1"/>
  <c r="V18" i="5" s="1"/>
  <c r="P19" i="1"/>
  <c r="F18" i="5" s="1"/>
  <c r="AD18" i="1"/>
  <c r="T17" i="5" s="1"/>
  <c r="AE19" i="1"/>
  <c r="U18" i="5" s="1"/>
  <c r="Z19" i="1"/>
  <c r="P18" i="5" s="1"/>
  <c r="X18" i="1"/>
  <c r="N17" i="5" s="1"/>
  <c r="Y19" i="1"/>
  <c r="O18" i="5" s="1"/>
  <c r="W18" i="1"/>
  <c r="M17" i="5" s="1"/>
  <c r="N19" i="1"/>
  <c r="D18" i="5" s="1"/>
  <c r="AB18" i="1"/>
  <c r="R17" i="5" s="1"/>
  <c r="T18" i="1"/>
  <c r="J17" i="5" s="1"/>
  <c r="AD19" i="1"/>
  <c r="T18" i="5" s="1"/>
  <c r="AC19" i="1"/>
  <c r="S18" i="5" s="1"/>
  <c r="U19" i="1"/>
  <c r="K18" i="5" s="1"/>
  <c r="M19" i="1"/>
  <c r="C18" i="5" s="1"/>
  <c r="AA18" i="1"/>
  <c r="Q17" i="5" s="1"/>
  <c r="S18" i="1"/>
  <c r="I17" i="5" s="1"/>
  <c r="V19" i="1"/>
  <c r="L18" i="5" s="1"/>
  <c r="L18" i="1"/>
  <c r="B17" i="5" s="1"/>
  <c r="AB19" i="1"/>
  <c r="R18" i="5" s="1"/>
  <c r="T19" i="1"/>
  <c r="J18" i="5" s="1"/>
  <c r="AH18" i="1"/>
  <c r="X17" i="5" s="1"/>
  <c r="Z18" i="1"/>
  <c r="P17" i="5" s="1"/>
  <c r="R18" i="1"/>
  <c r="H17" i="5" s="1"/>
  <c r="L19" i="1"/>
  <c r="B18" i="5" s="1"/>
  <c r="AA19" i="1"/>
  <c r="Q18" i="5" s="1"/>
  <c r="S19" i="1"/>
  <c r="I18" i="5" s="1"/>
  <c r="AG18" i="1"/>
  <c r="W17" i="5" s="1"/>
  <c r="Y18" i="1"/>
  <c r="O17" i="5" s="1"/>
  <c r="Q18" i="1"/>
  <c r="G17" i="5" s="1"/>
  <c r="C29" i="5" l="1"/>
  <c r="B28" i="8" s="1"/>
  <c r="B16" i="8"/>
  <c r="W16" i="8" s="1"/>
  <c r="C17" i="5"/>
  <c r="B29" i="5"/>
  <c r="B28" i="7" s="1"/>
  <c r="K16" i="8"/>
  <c r="C16" i="8"/>
  <c r="E16" i="8"/>
  <c r="B17" i="8"/>
  <c r="O17" i="8" s="1"/>
  <c r="B16" i="7"/>
  <c r="E16" i="7" s="1"/>
  <c r="B17" i="7"/>
  <c r="G17" i="7" s="1"/>
  <c r="F20" i="1"/>
  <c r="C16" i="9" l="1"/>
  <c r="I16" i="9" s="1"/>
  <c r="Y16" i="8"/>
  <c r="U16" i="8"/>
  <c r="O16" i="8"/>
  <c r="C28" i="7"/>
  <c r="O28" i="7"/>
  <c r="M28" i="7"/>
  <c r="Q28" i="7"/>
  <c r="E28" i="7"/>
  <c r="S28" i="7"/>
  <c r="K28" i="7"/>
  <c r="I28" i="7"/>
  <c r="Y28" i="7"/>
  <c r="W28" i="7"/>
  <c r="G28" i="7"/>
  <c r="U28" i="7"/>
  <c r="B28" i="9"/>
  <c r="H28" i="9" s="1"/>
  <c r="W28" i="8"/>
  <c r="C28" i="8"/>
  <c r="I28" i="8"/>
  <c r="E28" i="8"/>
  <c r="M28" i="8"/>
  <c r="S28" i="8"/>
  <c r="Q28" i="8"/>
  <c r="Y28" i="8"/>
  <c r="U28" i="8"/>
  <c r="K28" i="8"/>
  <c r="C28" i="9"/>
  <c r="I28" i="9" s="1"/>
  <c r="O28" i="8"/>
  <c r="G28" i="8"/>
  <c r="I16" i="8"/>
  <c r="Q16" i="8"/>
  <c r="M16" i="8"/>
  <c r="S16" i="8"/>
  <c r="G16" i="8"/>
  <c r="S17" i="7"/>
  <c r="W17" i="7"/>
  <c r="M17" i="7"/>
  <c r="K17" i="7"/>
  <c r="U17" i="7"/>
  <c r="Y17" i="7"/>
  <c r="C16" i="7"/>
  <c r="Q16" i="7"/>
  <c r="Y16" i="7"/>
  <c r="U17" i="8"/>
  <c r="O16" i="7"/>
  <c r="C17" i="8"/>
  <c r="E17" i="8"/>
  <c r="W16" i="7"/>
  <c r="S16" i="7"/>
  <c r="Q17" i="8"/>
  <c r="M17" i="8"/>
  <c r="G17" i="8"/>
  <c r="K17" i="8"/>
  <c r="Q17" i="7"/>
  <c r="S17" i="8"/>
  <c r="M16" i="7"/>
  <c r="W17" i="8"/>
  <c r="I16" i="7"/>
  <c r="I17" i="8"/>
  <c r="K16" i="7"/>
  <c r="Y17" i="8"/>
  <c r="G16" i="7"/>
  <c r="U16" i="7"/>
  <c r="B16" i="9"/>
  <c r="H16" i="9" s="1"/>
  <c r="B17" i="9"/>
  <c r="H17" i="9" s="1"/>
  <c r="C17" i="9"/>
  <c r="I17" i="9" s="1"/>
  <c r="O17" i="7"/>
  <c r="C17" i="7"/>
  <c r="I17" i="7"/>
  <c r="E17" i="7"/>
  <c r="P14" i="1"/>
  <c r="F13" i="5" s="1"/>
  <c r="X14" i="1"/>
  <c r="N13" i="5" s="1"/>
  <c r="AF14" i="1"/>
  <c r="V13" i="5" s="1"/>
  <c r="R14" i="1"/>
  <c r="H13" i="5" s="1"/>
  <c r="Z14" i="1"/>
  <c r="P13" i="5" s="1"/>
  <c r="S14" i="1"/>
  <c r="I13" i="5" s="1"/>
  <c r="M14" i="1"/>
  <c r="T14" i="1"/>
  <c r="J13" i="5" s="1"/>
  <c r="L14" i="1"/>
  <c r="Q14" i="1"/>
  <c r="G13" i="5" s="1"/>
  <c r="Y14" i="1"/>
  <c r="O13" i="5" s="1"/>
  <c r="AG14" i="1"/>
  <c r="W13" i="5" s="1"/>
  <c r="AH14" i="1"/>
  <c r="X13" i="5" s="1"/>
  <c r="AA14" i="1"/>
  <c r="Q13" i="5" s="1"/>
  <c r="AB14" i="1"/>
  <c r="R13" i="5" s="1"/>
  <c r="U14" i="1"/>
  <c r="K13" i="5" s="1"/>
  <c r="AC14" i="1"/>
  <c r="S13" i="5" s="1"/>
  <c r="N14" i="1"/>
  <c r="D13" i="5" s="1"/>
  <c r="V14" i="1"/>
  <c r="L13" i="5" s="1"/>
  <c r="AD14" i="1"/>
  <c r="T13" i="5" s="1"/>
  <c r="O14" i="1"/>
  <c r="E13" i="5" s="1"/>
  <c r="W14" i="1"/>
  <c r="M13" i="5" s="1"/>
  <c r="AE14" i="1"/>
  <c r="U13" i="5" s="1"/>
  <c r="F38" i="1"/>
  <c r="F37" i="1"/>
  <c r="B13" i="5" l="1"/>
  <c r="B14" i="7" s="1"/>
  <c r="C13" i="5"/>
  <c r="B14" i="8" s="1"/>
  <c r="P28" i="1"/>
  <c r="X28" i="1"/>
  <c r="AF28" i="1"/>
  <c r="N28" i="1"/>
  <c r="Q28" i="1"/>
  <c r="Y28" i="1"/>
  <c r="AG28" i="1"/>
  <c r="L28" i="1"/>
  <c r="AD28" i="1"/>
  <c r="R28" i="1"/>
  <c r="Z28" i="1"/>
  <c r="AH28" i="1"/>
  <c r="V28" i="1"/>
  <c r="AE28" i="1"/>
  <c r="S28" i="1"/>
  <c r="AA28" i="1"/>
  <c r="W28" i="1"/>
  <c r="T28" i="1"/>
  <c r="AB28" i="1"/>
  <c r="M28" i="1"/>
  <c r="U28" i="1"/>
  <c r="AC28" i="1"/>
  <c r="O28" i="1"/>
  <c r="R29" i="1"/>
  <c r="Z29" i="1"/>
  <c r="AH29" i="1"/>
  <c r="AB29" i="1"/>
  <c r="AF29" i="1"/>
  <c r="Y29" i="1"/>
  <c r="S29" i="1"/>
  <c r="AA29" i="1"/>
  <c r="L29" i="1"/>
  <c r="M29" i="1"/>
  <c r="P29" i="1"/>
  <c r="T29" i="1"/>
  <c r="U29" i="1"/>
  <c r="AG29" i="1"/>
  <c r="AC29" i="1"/>
  <c r="N29" i="1"/>
  <c r="V29" i="1"/>
  <c r="AD29" i="1"/>
  <c r="O29" i="1"/>
  <c r="W29" i="1"/>
  <c r="AE29" i="1"/>
  <c r="X29" i="1"/>
  <c r="Q29" i="1"/>
  <c r="G14" i="1"/>
  <c r="H14" i="1" s="1"/>
  <c r="G13" i="1"/>
  <c r="K14" i="8" l="1"/>
  <c r="O14" i="8"/>
  <c r="I14" i="8"/>
  <c r="M14" i="8"/>
  <c r="G14" i="8"/>
  <c r="W14" i="8"/>
  <c r="E14" i="8"/>
  <c r="Q14" i="8"/>
  <c r="Y14" i="8"/>
  <c r="C14" i="8"/>
  <c r="C14" i="9"/>
  <c r="I14" i="9" s="1"/>
  <c r="S14" i="8"/>
  <c r="U14" i="8"/>
  <c r="M14" i="7"/>
  <c r="Q14" i="7"/>
  <c r="K14" i="7"/>
  <c r="O14" i="7"/>
  <c r="B14" i="9"/>
  <c r="H14" i="9" s="1"/>
  <c r="S14" i="7"/>
  <c r="G14" i="7"/>
  <c r="U14" i="7"/>
  <c r="Y14" i="7"/>
  <c r="I14" i="7"/>
  <c r="E14" i="7"/>
  <c r="W14" i="7"/>
  <c r="C14" i="7"/>
  <c r="H13" i="1"/>
  <c r="H15" i="1" s="1"/>
  <c r="H12" i="1" l="1"/>
  <c r="G12" i="1" s="1"/>
  <c r="H11" i="1"/>
  <c r="G11" i="1" s="1"/>
  <c r="A11" i="4"/>
  <c r="E15" i="2" l="1"/>
  <c r="F15" i="2" s="1"/>
  <c r="O11" i="2" s="1"/>
  <c r="E10" i="2"/>
  <c r="F10" i="2" s="1"/>
  <c r="E9" i="2"/>
  <c r="F9" i="2" s="1"/>
  <c r="E6" i="2"/>
  <c r="F6" i="2" s="1"/>
  <c r="D13" i="2"/>
  <c r="D12" i="2"/>
  <c r="D11" i="2"/>
  <c r="E7" i="2"/>
  <c r="F7" i="2" s="1"/>
  <c r="E13" i="2" l="1"/>
  <c r="F13" i="2" s="1"/>
  <c r="S10" i="2" s="1"/>
  <c r="D26" i="5" s="1"/>
  <c r="L12" i="2"/>
  <c r="I5" i="2"/>
  <c r="B21" i="5" s="1"/>
  <c r="Q5" i="2"/>
  <c r="Y5" i="2"/>
  <c r="J21" i="5" s="1"/>
  <c r="AG5" i="2"/>
  <c r="R21" i="5" s="1"/>
  <c r="J5" i="2"/>
  <c r="R5" i="2"/>
  <c r="C21" i="5" s="1"/>
  <c r="Z5" i="2"/>
  <c r="K21" i="5" s="1"/>
  <c r="AH5" i="2"/>
  <c r="S21" i="5" s="1"/>
  <c r="AM5" i="2"/>
  <c r="X21" i="5" s="1"/>
  <c r="K5" i="2"/>
  <c r="S5" i="2"/>
  <c r="D21" i="5" s="1"/>
  <c r="AA5" i="2"/>
  <c r="L21" i="5" s="1"/>
  <c r="AI5" i="2"/>
  <c r="T21" i="5" s="1"/>
  <c r="N5" i="2"/>
  <c r="W5" i="2"/>
  <c r="H21" i="5" s="1"/>
  <c r="L5" i="2"/>
  <c r="T5" i="2"/>
  <c r="E21" i="5" s="1"/>
  <c r="AB5" i="2"/>
  <c r="M21" i="5" s="1"/>
  <c r="AJ5" i="2"/>
  <c r="U21" i="5" s="1"/>
  <c r="V5" i="2"/>
  <c r="G21" i="5" s="1"/>
  <c r="AE5" i="2"/>
  <c r="P21" i="5" s="1"/>
  <c r="M5" i="2"/>
  <c r="U5" i="2"/>
  <c r="F21" i="5" s="1"/>
  <c r="AC5" i="2"/>
  <c r="N21" i="5" s="1"/>
  <c r="AK5" i="2"/>
  <c r="V21" i="5" s="1"/>
  <c r="AL5" i="2"/>
  <c r="W21" i="5" s="1"/>
  <c r="P5" i="2"/>
  <c r="X5" i="2"/>
  <c r="I21" i="5" s="1"/>
  <c r="AF5" i="2"/>
  <c r="Q21" i="5" s="1"/>
  <c r="AD5" i="2"/>
  <c r="O21" i="5" s="1"/>
  <c r="O5" i="2"/>
  <c r="T12" i="2"/>
  <c r="E28" i="5" s="1"/>
  <c r="U12" i="2"/>
  <c r="F28" i="5" s="1"/>
  <c r="V12" i="2"/>
  <c r="G28" i="5" s="1"/>
  <c r="X12" i="2"/>
  <c r="I28" i="5" s="1"/>
  <c r="Y12" i="2"/>
  <c r="J28" i="5" s="1"/>
  <c r="W12" i="2"/>
  <c r="H28" i="5" s="1"/>
  <c r="AE12" i="2"/>
  <c r="P28" i="5" s="1"/>
  <c r="P12" i="2"/>
  <c r="AF12" i="2"/>
  <c r="Q28" i="5" s="1"/>
  <c r="AI12" i="2"/>
  <c r="T28" i="5" s="1"/>
  <c r="J12" i="2"/>
  <c r="Z12" i="2"/>
  <c r="K28" i="5" s="1"/>
  <c r="E12" i="2"/>
  <c r="F12" i="2" s="1"/>
  <c r="AD11" i="2"/>
  <c r="O27" i="5" s="1"/>
  <c r="N11" i="2"/>
  <c r="AK11" i="2"/>
  <c r="V27" i="5" s="1"/>
  <c r="AC11" i="2"/>
  <c r="N27" i="5" s="1"/>
  <c r="U11" i="2"/>
  <c r="F27" i="5" s="1"/>
  <c r="M11" i="2"/>
  <c r="AJ11" i="2"/>
  <c r="U27" i="5" s="1"/>
  <c r="AB11" i="2"/>
  <c r="M27" i="5" s="1"/>
  <c r="T11" i="2"/>
  <c r="E27" i="5" s="1"/>
  <c r="L11" i="2"/>
  <c r="AH11" i="2"/>
  <c r="S27" i="5" s="1"/>
  <c r="R11" i="2"/>
  <c r="C27" i="5" s="1"/>
  <c r="J11" i="2"/>
  <c r="AL11" i="2"/>
  <c r="W27" i="5" s="1"/>
  <c r="V11" i="2"/>
  <c r="G27" i="5" s="1"/>
  <c r="AI11" i="2"/>
  <c r="T27" i="5" s="1"/>
  <c r="AA11" i="2"/>
  <c r="L27" i="5" s="1"/>
  <c r="S11" i="2"/>
  <c r="D27" i="5" s="1"/>
  <c r="K11" i="2"/>
  <c r="Z11" i="2"/>
  <c r="K27" i="5" s="1"/>
  <c r="AG11" i="2"/>
  <c r="R27" i="5" s="1"/>
  <c r="Y11" i="2"/>
  <c r="J27" i="5" s="1"/>
  <c r="Q11" i="2"/>
  <c r="I11" i="2"/>
  <c r="B27" i="5" s="1"/>
  <c r="AF11" i="2"/>
  <c r="Q27" i="5" s="1"/>
  <c r="X11" i="2"/>
  <c r="I27" i="5" s="1"/>
  <c r="P11" i="2"/>
  <c r="AM11" i="2"/>
  <c r="X27" i="5" s="1"/>
  <c r="AE11" i="2"/>
  <c r="P27" i="5" s="1"/>
  <c r="W11" i="2"/>
  <c r="H27" i="5" s="1"/>
  <c r="L7" i="2"/>
  <c r="T7" i="2"/>
  <c r="E23" i="5" s="1"/>
  <c r="AB7" i="2"/>
  <c r="M23" i="5" s="1"/>
  <c r="AJ7" i="2"/>
  <c r="U23" i="5" s="1"/>
  <c r="M7" i="2"/>
  <c r="U7" i="2"/>
  <c r="F23" i="5" s="1"/>
  <c r="AC7" i="2"/>
  <c r="N23" i="5" s="1"/>
  <c r="AK7" i="2"/>
  <c r="V23" i="5" s="1"/>
  <c r="N7" i="2"/>
  <c r="V7" i="2"/>
  <c r="G23" i="5" s="1"/>
  <c r="AD7" i="2"/>
  <c r="O23" i="5" s="1"/>
  <c r="AL7" i="2"/>
  <c r="W23" i="5" s="1"/>
  <c r="O7" i="2"/>
  <c r="W7" i="2"/>
  <c r="H23" i="5" s="1"/>
  <c r="AE7" i="2"/>
  <c r="P23" i="5" s="1"/>
  <c r="AM7" i="2"/>
  <c r="X23" i="5" s="1"/>
  <c r="P7" i="2"/>
  <c r="X7" i="2"/>
  <c r="I23" i="5" s="1"/>
  <c r="AF7" i="2"/>
  <c r="Q23" i="5" s="1"/>
  <c r="I7" i="2"/>
  <c r="B23" i="5" s="1"/>
  <c r="Q7" i="2"/>
  <c r="Y7" i="2"/>
  <c r="J23" i="5" s="1"/>
  <c r="AG7" i="2"/>
  <c r="R23" i="5" s="1"/>
  <c r="J7" i="2"/>
  <c r="R7" i="2"/>
  <c r="C23" i="5" s="1"/>
  <c r="Z7" i="2"/>
  <c r="K23" i="5" s="1"/>
  <c r="AH7" i="2"/>
  <c r="S23" i="5" s="1"/>
  <c r="K7" i="2"/>
  <c r="S7" i="2"/>
  <c r="D23" i="5" s="1"/>
  <c r="AA7" i="2"/>
  <c r="L23" i="5" s="1"/>
  <c r="AI7" i="2"/>
  <c r="T23" i="5" s="1"/>
  <c r="J6" i="2"/>
  <c r="R6" i="2"/>
  <c r="C22" i="5" s="1"/>
  <c r="Z6" i="2"/>
  <c r="K22" i="5" s="1"/>
  <c r="AH6" i="2"/>
  <c r="S22" i="5" s="1"/>
  <c r="AK6" i="2"/>
  <c r="V22" i="5" s="1"/>
  <c r="AM6" i="2"/>
  <c r="X22" i="5" s="1"/>
  <c r="K6" i="2"/>
  <c r="S6" i="2"/>
  <c r="D22" i="5" s="1"/>
  <c r="AA6" i="2"/>
  <c r="L22" i="5" s="1"/>
  <c r="AI6" i="2"/>
  <c r="T22" i="5" s="1"/>
  <c r="X6" i="2"/>
  <c r="I22" i="5" s="1"/>
  <c r="Q6" i="2"/>
  <c r="L6" i="2"/>
  <c r="T6" i="2"/>
  <c r="E22" i="5" s="1"/>
  <c r="AB6" i="2"/>
  <c r="M22" i="5" s="1"/>
  <c r="AJ6" i="2"/>
  <c r="U22" i="5" s="1"/>
  <c r="I6" i="2"/>
  <c r="B22" i="5" s="1"/>
  <c r="M6" i="2"/>
  <c r="U6" i="2"/>
  <c r="F22" i="5" s="1"/>
  <c r="AC6" i="2"/>
  <c r="N22" i="5" s="1"/>
  <c r="AE6" i="2"/>
  <c r="P22" i="5" s="1"/>
  <c r="AG6" i="2"/>
  <c r="R22" i="5" s="1"/>
  <c r="N6" i="2"/>
  <c r="V6" i="2"/>
  <c r="G22" i="5" s="1"/>
  <c r="AD6" i="2"/>
  <c r="O22" i="5" s="1"/>
  <c r="AL6" i="2"/>
  <c r="W22" i="5" s="1"/>
  <c r="W6" i="2"/>
  <c r="H22" i="5" s="1"/>
  <c r="AF6" i="2"/>
  <c r="Q22" i="5" s="1"/>
  <c r="Y6" i="2"/>
  <c r="J22" i="5" s="1"/>
  <c r="O6" i="2"/>
  <c r="P6" i="2"/>
  <c r="I4" i="2"/>
  <c r="B20" i="5" s="1"/>
  <c r="AH4" i="2"/>
  <c r="S20" i="5" s="1"/>
  <c r="K4" i="2"/>
  <c r="S4" i="2"/>
  <c r="D20" i="5" s="1"/>
  <c r="AA4" i="2"/>
  <c r="L20" i="5" s="1"/>
  <c r="AI4" i="2"/>
  <c r="T20" i="5" s="1"/>
  <c r="U4" i="2"/>
  <c r="F20" i="5" s="1"/>
  <c r="AC4" i="2"/>
  <c r="N20" i="5" s="1"/>
  <c r="AK4" i="2"/>
  <c r="V20" i="5" s="1"/>
  <c r="N4" i="2"/>
  <c r="V4" i="2"/>
  <c r="G20" i="5" s="1"/>
  <c r="AD4" i="2"/>
  <c r="O20" i="5" s="1"/>
  <c r="R4" i="2"/>
  <c r="C20" i="5" s="1"/>
  <c r="Z4" i="2"/>
  <c r="K20" i="5" s="1"/>
  <c r="L4" i="2"/>
  <c r="T4" i="2"/>
  <c r="E20" i="5" s="1"/>
  <c r="AB4" i="2"/>
  <c r="M20" i="5" s="1"/>
  <c r="AJ4" i="2"/>
  <c r="U20" i="5" s="1"/>
  <c r="AL4" i="2"/>
  <c r="W20" i="5" s="1"/>
  <c r="M4" i="2"/>
  <c r="O4" i="2"/>
  <c r="W4" i="2"/>
  <c r="H20" i="5" s="1"/>
  <c r="AE4" i="2"/>
  <c r="P20" i="5" s="1"/>
  <c r="AM4" i="2"/>
  <c r="X20" i="5" s="1"/>
  <c r="P4" i="2"/>
  <c r="X4" i="2"/>
  <c r="I20" i="5" s="1"/>
  <c r="AF4" i="2"/>
  <c r="Q20" i="5" s="1"/>
  <c r="Q4" i="2"/>
  <c r="Y4" i="2"/>
  <c r="J20" i="5" s="1"/>
  <c r="AG4" i="2"/>
  <c r="R20" i="5" s="1"/>
  <c r="J4" i="2"/>
  <c r="E11" i="2"/>
  <c r="F11" i="2" s="1"/>
  <c r="G11" i="2" l="1"/>
  <c r="P10" i="2"/>
  <c r="O10" i="2"/>
  <c r="X10" i="2"/>
  <c r="I26" i="5" s="1"/>
  <c r="AB10" i="2"/>
  <c r="M26" i="5" s="1"/>
  <c r="AH10" i="2"/>
  <c r="S26" i="5" s="1"/>
  <c r="I10" i="2"/>
  <c r="AM10" i="2"/>
  <c r="X26" i="5" s="1"/>
  <c r="T10" i="2"/>
  <c r="E26" i="5" s="1"/>
  <c r="AJ10" i="2"/>
  <c r="U26" i="5" s="1"/>
  <c r="Z10" i="2"/>
  <c r="K26" i="5" s="1"/>
  <c r="AF10" i="2"/>
  <c r="Q26" i="5" s="1"/>
  <c r="AK10" i="2"/>
  <c r="V26" i="5" s="1"/>
  <c r="L10" i="2"/>
  <c r="W10" i="2"/>
  <c r="H26" i="5" s="1"/>
  <c r="AC10" i="2"/>
  <c r="N26" i="5" s="1"/>
  <c r="J10" i="2"/>
  <c r="AD10" i="2"/>
  <c r="O26" i="5" s="1"/>
  <c r="U10" i="2"/>
  <c r="F26" i="5" s="1"/>
  <c r="AA10" i="2"/>
  <c r="L26" i="5" s="1"/>
  <c r="AG10" i="2"/>
  <c r="R26" i="5" s="1"/>
  <c r="R10" i="2"/>
  <c r="AL10" i="2"/>
  <c r="W26" i="5" s="1"/>
  <c r="AI10" i="2"/>
  <c r="T26" i="5" s="1"/>
  <c r="Q10" i="2"/>
  <c r="V10" i="2"/>
  <c r="G26" i="5" s="1"/>
  <c r="M10" i="2"/>
  <c r="K10" i="2"/>
  <c r="AE10" i="2"/>
  <c r="P26" i="5" s="1"/>
  <c r="N10" i="2"/>
  <c r="Y10" i="2"/>
  <c r="J26" i="5" s="1"/>
  <c r="B26" i="8"/>
  <c r="G26" i="8" s="1"/>
  <c r="B20" i="7"/>
  <c r="B20" i="8"/>
  <c r="S20" i="8" s="1"/>
  <c r="B19" i="7"/>
  <c r="C19" i="7" s="1"/>
  <c r="B22" i="7"/>
  <c r="B19" i="8"/>
  <c r="I19" i="8" s="1"/>
  <c r="B21" i="8"/>
  <c r="E21" i="8" s="1"/>
  <c r="B22" i="8"/>
  <c r="G22" i="8" s="1"/>
  <c r="B26" i="7"/>
  <c r="B21" i="7"/>
  <c r="AA12" i="2"/>
  <c r="L28" i="5" s="1"/>
  <c r="N12" i="2"/>
  <c r="AC12" i="2"/>
  <c r="N28" i="5" s="1"/>
  <c r="AB12" i="2"/>
  <c r="M28" i="5" s="1"/>
  <c r="K12" i="2"/>
  <c r="AH12" i="2"/>
  <c r="S28" i="5" s="1"/>
  <c r="AK12" i="2"/>
  <c r="V28" i="5" s="1"/>
  <c r="Q12" i="2"/>
  <c r="R12" i="2"/>
  <c r="C28" i="5" s="1"/>
  <c r="AL12" i="2"/>
  <c r="W28" i="5" s="1"/>
  <c r="M12" i="2"/>
  <c r="I12" i="2"/>
  <c r="B28" i="5" s="1"/>
  <c r="AM12" i="2"/>
  <c r="X28" i="5" s="1"/>
  <c r="AD12" i="2"/>
  <c r="O28" i="5" s="1"/>
  <c r="AJ12" i="2"/>
  <c r="U28" i="5" s="1"/>
  <c r="S12" i="2"/>
  <c r="D28" i="5" s="1"/>
  <c r="O12" i="2"/>
  <c r="AG12" i="2"/>
  <c r="R28" i="5" s="1"/>
  <c r="J9" i="2"/>
  <c r="R9" i="2"/>
  <c r="C25" i="5" s="1"/>
  <c r="Z9" i="2"/>
  <c r="K25" i="5" s="1"/>
  <c r="AH9" i="2"/>
  <c r="S25" i="5" s="1"/>
  <c r="K9" i="2"/>
  <c r="S9" i="2"/>
  <c r="D25" i="5" s="1"/>
  <c r="AA9" i="2"/>
  <c r="L25" i="5" s="1"/>
  <c r="AI9" i="2"/>
  <c r="T25" i="5" s="1"/>
  <c r="AE9" i="2"/>
  <c r="P25" i="5" s="1"/>
  <c r="L9" i="2"/>
  <c r="T9" i="2"/>
  <c r="E25" i="5" s="1"/>
  <c r="AB9" i="2"/>
  <c r="M25" i="5" s="1"/>
  <c r="AJ9" i="2"/>
  <c r="U25" i="5" s="1"/>
  <c r="O9" i="2"/>
  <c r="AM9" i="2"/>
  <c r="X25" i="5" s="1"/>
  <c r="X9" i="2"/>
  <c r="I25" i="5" s="1"/>
  <c r="M9" i="2"/>
  <c r="U9" i="2"/>
  <c r="F25" i="5" s="1"/>
  <c r="AC9" i="2"/>
  <c r="N25" i="5" s="1"/>
  <c r="AK9" i="2"/>
  <c r="V25" i="5" s="1"/>
  <c r="N9" i="2"/>
  <c r="V9" i="2"/>
  <c r="G25" i="5" s="1"/>
  <c r="AD9" i="2"/>
  <c r="O25" i="5" s="1"/>
  <c r="AL9" i="2"/>
  <c r="W25" i="5" s="1"/>
  <c r="P9" i="2"/>
  <c r="I9" i="2"/>
  <c r="B25" i="5" s="1"/>
  <c r="Q9" i="2"/>
  <c r="Y9" i="2"/>
  <c r="J25" i="5" s="1"/>
  <c r="AG9" i="2"/>
  <c r="R25" i="5" s="1"/>
  <c r="W9" i="2"/>
  <c r="H25" i="5" s="1"/>
  <c r="AF9" i="2"/>
  <c r="Q25" i="5" s="1"/>
  <c r="J8" i="2"/>
  <c r="R8" i="2"/>
  <c r="C24" i="5" s="1"/>
  <c r="Z8" i="2"/>
  <c r="K24" i="5" s="1"/>
  <c r="AH8" i="2"/>
  <c r="S24" i="5" s="1"/>
  <c r="AL8" i="2"/>
  <c r="W24" i="5" s="1"/>
  <c r="AF8" i="2"/>
  <c r="Q24" i="5" s="1"/>
  <c r="AG8" i="2"/>
  <c r="R24" i="5" s="1"/>
  <c r="K8" i="2"/>
  <c r="S8" i="2"/>
  <c r="D24" i="5" s="1"/>
  <c r="AA8" i="2"/>
  <c r="L24" i="5" s="1"/>
  <c r="AI8" i="2"/>
  <c r="T24" i="5" s="1"/>
  <c r="I8" i="2"/>
  <c r="B24" i="5" s="1"/>
  <c r="L8" i="2"/>
  <c r="T8" i="2"/>
  <c r="E24" i="5" s="1"/>
  <c r="AB8" i="2"/>
  <c r="M24" i="5" s="1"/>
  <c r="AJ8" i="2"/>
  <c r="U24" i="5" s="1"/>
  <c r="AD8" i="2"/>
  <c r="O24" i="5" s="1"/>
  <c r="X8" i="2"/>
  <c r="I24" i="5" s="1"/>
  <c r="Q8" i="2"/>
  <c r="M8" i="2"/>
  <c r="U8" i="2"/>
  <c r="F24" i="5" s="1"/>
  <c r="AC8" i="2"/>
  <c r="N24" i="5" s="1"/>
  <c r="AK8" i="2"/>
  <c r="V24" i="5" s="1"/>
  <c r="V8" i="2"/>
  <c r="G24" i="5" s="1"/>
  <c r="N8" i="2"/>
  <c r="O8" i="2"/>
  <c r="W8" i="2"/>
  <c r="H24" i="5" s="1"/>
  <c r="AE8" i="2"/>
  <c r="P24" i="5" s="1"/>
  <c r="AM8" i="2"/>
  <c r="X24" i="5" s="1"/>
  <c r="P8" i="2"/>
  <c r="Y8" i="2"/>
  <c r="J24" i="5" s="1"/>
  <c r="M3" i="1"/>
  <c r="N3" i="1"/>
  <c r="O3" i="1"/>
  <c r="P3" i="1"/>
  <c r="Q3" i="1"/>
  <c r="R3" i="1"/>
  <c r="S3" i="1"/>
  <c r="T3" i="1"/>
  <c r="U3" i="1"/>
  <c r="V3" i="1"/>
  <c r="W3" i="1"/>
  <c r="X3" i="1"/>
  <c r="Y3" i="1"/>
  <c r="Z3" i="1"/>
  <c r="AA3" i="1"/>
  <c r="AB3" i="1"/>
  <c r="AC3" i="1"/>
  <c r="AD3" i="1"/>
  <c r="AE3" i="1"/>
  <c r="AF3" i="1"/>
  <c r="AG3" i="1"/>
  <c r="AH3" i="1"/>
  <c r="L3" i="1"/>
  <c r="P2" i="5" l="1"/>
  <c r="W2" i="5"/>
  <c r="C26" i="5"/>
  <c r="B25" i="8" s="1"/>
  <c r="Q2" i="5"/>
  <c r="O2" i="5"/>
  <c r="F2" i="5"/>
  <c r="B2" i="5"/>
  <c r="V2" i="5"/>
  <c r="M2" i="5"/>
  <c r="E2" i="5"/>
  <c r="D2" i="5"/>
  <c r="I2" i="5"/>
  <c r="X2" i="5"/>
  <c r="B26" i="5"/>
  <c r="B25" i="7" s="1"/>
  <c r="N2" i="5"/>
  <c r="L2" i="5"/>
  <c r="C2" i="5"/>
  <c r="H2" i="5"/>
  <c r="G2" i="5"/>
  <c r="U2" i="5"/>
  <c r="T2" i="5"/>
  <c r="S2" i="5"/>
  <c r="K2" i="5"/>
  <c r="R2" i="5"/>
  <c r="J2" i="5"/>
  <c r="U20" i="8"/>
  <c r="S19" i="8"/>
  <c r="C26" i="9"/>
  <c r="I26" i="9" s="1"/>
  <c r="U26" i="8"/>
  <c r="Q20" i="8"/>
  <c r="O26" i="8"/>
  <c r="Y26" i="8"/>
  <c r="E26" i="8"/>
  <c r="M26" i="8"/>
  <c r="W20" i="8"/>
  <c r="S26" i="8"/>
  <c r="C26" i="8"/>
  <c r="K19" i="8"/>
  <c r="K26" i="8"/>
  <c r="I26" i="8"/>
  <c r="W26" i="8"/>
  <c r="Y20" i="8"/>
  <c r="Q26" i="8"/>
  <c r="C20" i="8"/>
  <c r="E19" i="8"/>
  <c r="O21" i="8"/>
  <c r="K20" i="8"/>
  <c r="C20" i="9"/>
  <c r="I20" i="9" s="1"/>
  <c r="E20" i="8"/>
  <c r="C19" i="9"/>
  <c r="I19" i="9" s="1"/>
  <c r="E22" i="8"/>
  <c r="M19" i="8"/>
  <c r="M22" i="8"/>
  <c r="G20" i="8"/>
  <c r="Q22" i="8"/>
  <c r="M20" i="8"/>
  <c r="O20" i="8"/>
  <c r="Y22" i="8"/>
  <c r="I20" i="8"/>
  <c r="M21" i="8"/>
  <c r="Y21" i="8"/>
  <c r="W21" i="8"/>
  <c r="U21" i="8"/>
  <c r="C21" i="9"/>
  <c r="K21" i="8"/>
  <c r="S21" i="8"/>
  <c r="Q21" i="8"/>
  <c r="C21" i="8"/>
  <c r="I21" i="8"/>
  <c r="B23" i="8"/>
  <c r="G23" i="8" s="1"/>
  <c r="C19" i="8"/>
  <c r="O19" i="8"/>
  <c r="K22" i="8"/>
  <c r="W22" i="8"/>
  <c r="B23" i="7"/>
  <c r="C23" i="7" s="1"/>
  <c r="B24" i="7"/>
  <c r="Q19" i="8"/>
  <c r="U22" i="8"/>
  <c r="C22" i="8"/>
  <c r="B27" i="7"/>
  <c r="C27" i="7" s="1"/>
  <c r="G19" i="8"/>
  <c r="B27" i="8"/>
  <c r="Y27" i="8" s="1"/>
  <c r="W19" i="8"/>
  <c r="O22" i="8"/>
  <c r="C22" i="9"/>
  <c r="B24" i="8"/>
  <c r="O24" i="8" s="1"/>
  <c r="Y19" i="8"/>
  <c r="S22" i="8"/>
  <c r="I22" i="8"/>
  <c r="U19" i="8"/>
  <c r="G21" i="8"/>
  <c r="G19" i="7"/>
  <c r="B19" i="9"/>
  <c r="H19" i="9" s="1"/>
  <c r="S19" i="7"/>
  <c r="Y19" i="7"/>
  <c r="O19" i="7"/>
  <c r="E19" i="7"/>
  <c r="Q19" i="7"/>
  <c r="U19" i="7"/>
  <c r="K19" i="7"/>
  <c r="W19" i="7"/>
  <c r="I19" i="7"/>
  <c r="M19" i="7"/>
  <c r="W21" i="7"/>
  <c r="U21" i="7"/>
  <c r="S21" i="7"/>
  <c r="Q21" i="7"/>
  <c r="E21" i="7"/>
  <c r="Y21" i="7"/>
  <c r="O21" i="7"/>
  <c r="M21" i="7"/>
  <c r="B21" i="9"/>
  <c r="K21" i="7"/>
  <c r="I21" i="7"/>
  <c r="G21" i="7"/>
  <c r="W22" i="7"/>
  <c r="B22" i="9"/>
  <c r="I22" i="7"/>
  <c r="K22" i="7"/>
  <c r="S22" i="7"/>
  <c r="U22" i="7"/>
  <c r="O22" i="7"/>
  <c r="Q22" i="7"/>
  <c r="Y22" i="7"/>
  <c r="E22" i="7"/>
  <c r="G22" i="7"/>
  <c r="M22" i="7"/>
  <c r="C21" i="7"/>
  <c r="O26" i="7"/>
  <c r="B26" i="9"/>
  <c r="H26" i="9" s="1"/>
  <c r="S26" i="7"/>
  <c r="M26" i="7"/>
  <c r="W26" i="7"/>
  <c r="I26" i="7"/>
  <c r="U26" i="7"/>
  <c r="K26" i="7"/>
  <c r="Q26" i="7"/>
  <c r="G26" i="7"/>
  <c r="E26" i="7"/>
  <c r="Y26" i="7"/>
  <c r="C22" i="7"/>
  <c r="M23" i="8"/>
  <c r="Q20" i="7"/>
  <c r="B20" i="9"/>
  <c r="H20" i="9" s="1"/>
  <c r="I20" i="7"/>
  <c r="E20" i="7"/>
  <c r="K20" i="7"/>
  <c r="Y20" i="7"/>
  <c r="W20" i="7"/>
  <c r="M20" i="7"/>
  <c r="U20" i="7"/>
  <c r="S20" i="7"/>
  <c r="O20" i="7"/>
  <c r="G20" i="7"/>
  <c r="C26" i="7"/>
  <c r="C20" i="7"/>
  <c r="F23" i="1"/>
  <c r="W25" i="7" l="1"/>
  <c r="K25" i="7"/>
  <c r="B25" i="9"/>
  <c r="H25" i="9" s="1"/>
  <c r="G25" i="7"/>
  <c r="O25" i="7"/>
  <c r="Y25" i="7"/>
  <c r="C25" i="7"/>
  <c r="U25" i="7"/>
  <c r="M25" i="7"/>
  <c r="I25" i="7"/>
  <c r="E25" i="7"/>
  <c r="Q25" i="7"/>
  <c r="S25" i="7"/>
  <c r="C25" i="8"/>
  <c r="U25" i="8"/>
  <c r="Q25" i="8"/>
  <c r="S25" i="8"/>
  <c r="C25" i="9"/>
  <c r="I25" i="9" s="1"/>
  <c r="O25" i="8"/>
  <c r="E25" i="8"/>
  <c r="I25" i="8"/>
  <c r="Y25" i="8"/>
  <c r="W25" i="8"/>
  <c r="K25" i="8"/>
  <c r="M25" i="8"/>
  <c r="G25" i="8"/>
  <c r="S15" i="1"/>
  <c r="I14" i="5" s="1"/>
  <c r="AA15" i="1"/>
  <c r="Q14" i="5" s="1"/>
  <c r="M15" i="1"/>
  <c r="C14" i="5" s="1"/>
  <c r="T15" i="1"/>
  <c r="J14" i="5" s="1"/>
  <c r="AB15" i="1"/>
  <c r="R14" i="5" s="1"/>
  <c r="L15" i="1"/>
  <c r="B14" i="5" s="1"/>
  <c r="AC15" i="1"/>
  <c r="S14" i="5" s="1"/>
  <c r="N15" i="1"/>
  <c r="D14" i="5" s="1"/>
  <c r="V15" i="1"/>
  <c r="L14" i="5" s="1"/>
  <c r="AD15" i="1"/>
  <c r="T14" i="5" s="1"/>
  <c r="U15" i="1"/>
  <c r="K14" i="5" s="1"/>
  <c r="X15" i="1"/>
  <c r="N14" i="5" s="1"/>
  <c r="O15" i="1"/>
  <c r="E14" i="5" s="1"/>
  <c r="W15" i="1"/>
  <c r="M14" i="5" s="1"/>
  <c r="AE15" i="1"/>
  <c r="U14" i="5" s="1"/>
  <c r="P15" i="1"/>
  <c r="F14" i="5" s="1"/>
  <c r="AF15" i="1"/>
  <c r="V14" i="5" s="1"/>
  <c r="Q15" i="1"/>
  <c r="G14" i="5" s="1"/>
  <c r="Y15" i="1"/>
  <c r="O14" i="5" s="1"/>
  <c r="AG15" i="1"/>
  <c r="W14" i="5" s="1"/>
  <c r="R15" i="1"/>
  <c r="H14" i="5" s="1"/>
  <c r="Z15" i="1"/>
  <c r="P14" i="5" s="1"/>
  <c r="AH15" i="1"/>
  <c r="X14" i="5" s="1"/>
  <c r="H21" i="9"/>
  <c r="I21" i="9"/>
  <c r="B3" i="8"/>
  <c r="Q3" i="8" s="1"/>
  <c r="B3" i="7"/>
  <c r="M3" i="7" s="1"/>
  <c r="I23" i="8"/>
  <c r="U23" i="8"/>
  <c r="S23" i="8"/>
  <c r="K27" i="8"/>
  <c r="G27" i="8"/>
  <c r="K23" i="8"/>
  <c r="E23" i="8"/>
  <c r="C23" i="9"/>
  <c r="W27" i="8"/>
  <c r="O23" i="8"/>
  <c r="C23" i="8"/>
  <c r="Q23" i="8"/>
  <c r="I27" i="8"/>
  <c r="W23" i="8"/>
  <c r="U27" i="8"/>
  <c r="Y23" i="8"/>
  <c r="S24" i="8"/>
  <c r="Q24" i="8"/>
  <c r="W24" i="8"/>
  <c r="E24" i="8"/>
  <c r="G24" i="8"/>
  <c r="Y24" i="8"/>
  <c r="U24" i="8"/>
  <c r="K24" i="8"/>
  <c r="S27" i="8"/>
  <c r="C27" i="9"/>
  <c r="I27" i="9" s="1"/>
  <c r="Q27" i="8"/>
  <c r="M27" i="8"/>
  <c r="M24" i="8"/>
  <c r="C24" i="9"/>
  <c r="E27" i="8"/>
  <c r="O27" i="8"/>
  <c r="I24" i="8"/>
  <c r="C24" i="8"/>
  <c r="C27" i="8"/>
  <c r="K24" i="7"/>
  <c r="B24" i="9"/>
  <c r="M24" i="7"/>
  <c r="G24" i="7"/>
  <c r="U24" i="7"/>
  <c r="O24" i="7"/>
  <c r="S24" i="7"/>
  <c r="E24" i="7"/>
  <c r="W24" i="7"/>
  <c r="Y24" i="7"/>
  <c r="I24" i="7"/>
  <c r="Q24" i="7"/>
  <c r="Y23" i="7"/>
  <c r="W23" i="7"/>
  <c r="O23" i="7"/>
  <c r="M23" i="7"/>
  <c r="K23" i="7"/>
  <c r="I23" i="7"/>
  <c r="S23" i="7"/>
  <c r="G23" i="7"/>
  <c r="Q23" i="7"/>
  <c r="B23" i="9"/>
  <c r="U23" i="7"/>
  <c r="E23" i="7"/>
  <c r="G27" i="7"/>
  <c r="K27" i="7"/>
  <c r="B27" i="9"/>
  <c r="H27" i="9" s="1"/>
  <c r="U27" i="7"/>
  <c r="I27" i="7"/>
  <c r="Y27" i="7"/>
  <c r="M27" i="7"/>
  <c r="E27" i="7"/>
  <c r="Q27" i="7"/>
  <c r="S27" i="7"/>
  <c r="O27" i="7"/>
  <c r="W27" i="7"/>
  <c r="C24" i="7"/>
  <c r="I14" i="1"/>
  <c r="I13" i="1"/>
  <c r="I12" i="1"/>
  <c r="I11" i="1"/>
  <c r="H23" i="9" l="1"/>
  <c r="C3" i="7"/>
  <c r="B3" i="9"/>
  <c r="H3" i="9" s="1"/>
  <c r="I23" i="9"/>
  <c r="S3" i="8"/>
  <c r="G3" i="8"/>
  <c r="O3" i="8"/>
  <c r="K3" i="8"/>
  <c r="E3" i="8"/>
  <c r="E3" i="7"/>
  <c r="K3" i="7"/>
  <c r="G3" i="7"/>
  <c r="Y3" i="8"/>
  <c r="I3" i="8"/>
  <c r="U3" i="7"/>
  <c r="I3" i="7"/>
  <c r="U3" i="8"/>
  <c r="M3" i="8"/>
  <c r="W3" i="7"/>
  <c r="O3" i="7"/>
  <c r="C3" i="9"/>
  <c r="I3" i="9" s="1"/>
  <c r="Q3" i="7"/>
  <c r="Y3" i="7"/>
  <c r="C3" i="8"/>
  <c r="W3" i="8"/>
  <c r="S3" i="7"/>
  <c r="B15" i="8"/>
  <c r="M15" i="8" s="1"/>
  <c r="B15" i="7"/>
  <c r="G15" i="7" s="1"/>
  <c r="I16" i="1"/>
  <c r="B15" i="1" s="1"/>
  <c r="F15" i="1" s="1"/>
  <c r="O15" i="8" l="1"/>
  <c r="O15" i="7"/>
  <c r="Y15" i="7"/>
  <c r="Q15" i="8"/>
  <c r="Q15" i="7"/>
  <c r="C15" i="7"/>
  <c r="S15" i="7"/>
  <c r="U15" i="7"/>
  <c r="I15" i="7"/>
  <c r="E15" i="7"/>
  <c r="B15" i="9"/>
  <c r="H15" i="9" s="1"/>
  <c r="C15" i="9"/>
  <c r="I15" i="9" s="1"/>
  <c r="U15" i="8"/>
  <c r="I15" i="8"/>
  <c r="S15" i="8"/>
  <c r="Y15" i="8"/>
  <c r="K15" i="8"/>
  <c r="K15" i="7"/>
  <c r="W15" i="7"/>
  <c r="C15" i="8"/>
  <c r="E15" i="8"/>
  <c r="M15" i="7"/>
  <c r="G15" i="8"/>
  <c r="W15" i="8"/>
  <c r="B13" i="1"/>
  <c r="F13" i="1" s="1"/>
  <c r="B14" i="1"/>
  <c r="F14" i="1" s="1"/>
  <c r="M9" i="1" s="1"/>
  <c r="X10" i="1"/>
  <c r="N9" i="5" s="1"/>
  <c r="AF10" i="1"/>
  <c r="V9" i="5" s="1"/>
  <c r="U10" i="1"/>
  <c r="K9" i="5" s="1"/>
  <c r="N10" i="1"/>
  <c r="D9" i="5" s="1"/>
  <c r="Y10" i="1"/>
  <c r="O9" i="5" s="1"/>
  <c r="R10" i="1"/>
  <c r="H9" i="5" s="1"/>
  <c r="AA10" i="1"/>
  <c r="Q9" i="5" s="1"/>
  <c r="W10" i="1"/>
  <c r="M9" i="5" s="1"/>
  <c r="AC10" i="1"/>
  <c r="S9" i="5" s="1"/>
  <c r="P10" i="1"/>
  <c r="F9" i="5" s="1"/>
  <c r="AH10" i="1"/>
  <c r="X9" i="5" s="1"/>
  <c r="L10" i="1"/>
  <c r="AD10" i="1"/>
  <c r="T9" i="5" s="1"/>
  <c r="AG10" i="1"/>
  <c r="W9" i="5" s="1"/>
  <c r="M10" i="1"/>
  <c r="Q10" i="1"/>
  <c r="G9" i="5" s="1"/>
  <c r="V10" i="1"/>
  <c r="L9" i="5" s="1"/>
  <c r="O10" i="1"/>
  <c r="E9" i="5" s="1"/>
  <c r="AE10" i="1"/>
  <c r="U9" i="5" s="1"/>
  <c r="T10" i="1"/>
  <c r="J9" i="5" s="1"/>
  <c r="B12" i="1"/>
  <c r="F12" i="1" s="1"/>
  <c r="T7" i="1" s="1"/>
  <c r="J6" i="5" s="1"/>
  <c r="AB10" i="1"/>
  <c r="R9" i="5" s="1"/>
  <c r="S10" i="1"/>
  <c r="I9" i="5" s="1"/>
  <c r="Z10" i="1"/>
  <c r="P9" i="5" s="1"/>
  <c r="F8" i="1"/>
  <c r="F9" i="1" s="1"/>
  <c r="B9" i="5" l="1"/>
  <c r="B10" i="7" s="1"/>
  <c r="C8" i="5"/>
  <c r="B9" i="8" s="1"/>
  <c r="C9" i="5"/>
  <c r="B10" i="8" s="1"/>
  <c r="AF9" i="1"/>
  <c r="V8" i="5" s="1"/>
  <c r="AH7" i="1"/>
  <c r="X6" i="5" s="1"/>
  <c r="V7" i="1"/>
  <c r="L6" i="5" s="1"/>
  <c r="U9" i="1"/>
  <c r="K8" i="5" s="1"/>
  <c r="AB9" i="1"/>
  <c r="R8" i="5" s="1"/>
  <c r="AA9" i="1"/>
  <c r="Q8" i="5" s="1"/>
  <c r="AH9" i="1"/>
  <c r="X8" i="5" s="1"/>
  <c r="P9" i="1"/>
  <c r="F8" i="5" s="1"/>
  <c r="O9" i="1"/>
  <c r="E8" i="5" s="1"/>
  <c r="S9" i="1"/>
  <c r="I8" i="5" s="1"/>
  <c r="AE9" i="1"/>
  <c r="U8" i="5" s="1"/>
  <c r="AG9" i="1"/>
  <c r="W8" i="5" s="1"/>
  <c r="T9" i="1"/>
  <c r="J8" i="5" s="1"/>
  <c r="R9" i="1"/>
  <c r="H8" i="5" s="1"/>
  <c r="W9" i="1"/>
  <c r="M8" i="5" s="1"/>
  <c r="F16" i="1"/>
  <c r="AG11" i="1" s="1"/>
  <c r="W10" i="5" s="1"/>
  <c r="F17" i="1"/>
  <c r="W12" i="1" s="1"/>
  <c r="M11" i="5" s="1"/>
  <c r="AD9" i="1"/>
  <c r="T8" i="5" s="1"/>
  <c r="U8" i="1"/>
  <c r="K7" i="5" s="1"/>
  <c r="W8" i="1"/>
  <c r="M7" i="5" s="1"/>
  <c r="M8" i="1"/>
  <c r="AF8" i="1"/>
  <c r="V7" i="5" s="1"/>
  <c r="Q8" i="1"/>
  <c r="G7" i="5" s="1"/>
  <c r="T8" i="1"/>
  <c r="J7" i="5" s="1"/>
  <c r="AG8" i="1"/>
  <c r="W7" i="5" s="1"/>
  <c r="O8" i="1"/>
  <c r="E7" i="5" s="1"/>
  <c r="Y8" i="1"/>
  <c r="O7" i="5" s="1"/>
  <c r="N8" i="1"/>
  <c r="D7" i="5" s="1"/>
  <c r="AH8" i="1"/>
  <c r="X7" i="5" s="1"/>
  <c r="P8" i="1"/>
  <c r="F7" i="5" s="1"/>
  <c r="Z8" i="1"/>
  <c r="P7" i="5" s="1"/>
  <c r="L8" i="1"/>
  <c r="V8" i="1"/>
  <c r="L7" i="5" s="1"/>
  <c r="AF7" i="1"/>
  <c r="V6" i="5" s="1"/>
  <c r="AD8" i="1"/>
  <c r="T7" i="5" s="1"/>
  <c r="AE8" i="1"/>
  <c r="U7" i="5" s="1"/>
  <c r="AC8" i="1"/>
  <c r="S7" i="5" s="1"/>
  <c r="X8" i="1"/>
  <c r="N7" i="5" s="1"/>
  <c r="AA8" i="1"/>
  <c r="Q7" i="5" s="1"/>
  <c r="S8" i="1"/>
  <c r="I7" i="5" s="1"/>
  <c r="AB8" i="1"/>
  <c r="R7" i="5" s="1"/>
  <c r="R8" i="1"/>
  <c r="H7" i="5" s="1"/>
  <c r="F18" i="1"/>
  <c r="Z9" i="1"/>
  <c r="P8" i="5" s="1"/>
  <c r="L9" i="1"/>
  <c r="X9" i="1"/>
  <c r="N8" i="5" s="1"/>
  <c r="N9" i="1"/>
  <c r="D8" i="5" s="1"/>
  <c r="AC9" i="1"/>
  <c r="S8" i="5" s="1"/>
  <c r="V9" i="1"/>
  <c r="L8" i="5" s="1"/>
  <c r="Q9" i="1"/>
  <c r="G8" i="5" s="1"/>
  <c r="Y9" i="1"/>
  <c r="O8" i="5" s="1"/>
  <c r="W7" i="1"/>
  <c r="M6" i="5" s="1"/>
  <c r="AB7" i="1"/>
  <c r="R6" i="5" s="1"/>
  <c r="P7" i="1"/>
  <c r="F6" i="5" s="1"/>
  <c r="Z7" i="1"/>
  <c r="P6" i="5" s="1"/>
  <c r="AG7" i="1"/>
  <c r="W6" i="5" s="1"/>
  <c r="M7" i="1"/>
  <c r="C6" i="5" s="1"/>
  <c r="AE7" i="1"/>
  <c r="U6" i="5" s="1"/>
  <c r="L7" i="1"/>
  <c r="B6" i="5" s="1"/>
  <c r="U7" i="1"/>
  <c r="K6" i="5" s="1"/>
  <c r="R7" i="1"/>
  <c r="H6" i="5" s="1"/>
  <c r="AC7" i="1"/>
  <c r="S6" i="5" s="1"/>
  <c r="Y7" i="1"/>
  <c r="O6" i="5" s="1"/>
  <c r="X7" i="1"/>
  <c r="N6" i="5" s="1"/>
  <c r="O7" i="1"/>
  <c r="E6" i="5" s="1"/>
  <c r="N7" i="1"/>
  <c r="D6" i="5" s="1"/>
  <c r="Q7" i="1"/>
  <c r="G6" i="5" s="1"/>
  <c r="S7" i="1"/>
  <c r="I6" i="5" s="1"/>
  <c r="AD7" i="1"/>
  <c r="T6" i="5" s="1"/>
  <c r="AA7" i="1"/>
  <c r="Q6" i="5" s="1"/>
  <c r="F34" i="1"/>
  <c r="O6" i="1"/>
  <c r="E5" i="5" s="1"/>
  <c r="W6" i="1"/>
  <c r="M5" i="5" s="1"/>
  <c r="AE6" i="1"/>
  <c r="U5" i="5" s="1"/>
  <c r="P6" i="1"/>
  <c r="F5" i="5" s="1"/>
  <c r="X6" i="1"/>
  <c r="N5" i="5" s="1"/>
  <c r="AF6" i="1"/>
  <c r="V5" i="5" s="1"/>
  <c r="Q6" i="1"/>
  <c r="G5" i="5" s="1"/>
  <c r="Y6" i="1"/>
  <c r="O5" i="5" s="1"/>
  <c r="AG6" i="1"/>
  <c r="W5" i="5" s="1"/>
  <c r="V6" i="1"/>
  <c r="L5" i="5" s="1"/>
  <c r="AD6" i="1"/>
  <c r="T5" i="5" s="1"/>
  <c r="R6" i="1"/>
  <c r="H5" i="5" s="1"/>
  <c r="Z6" i="1"/>
  <c r="P5" i="5" s="1"/>
  <c r="AH6" i="1"/>
  <c r="X5" i="5" s="1"/>
  <c r="T6" i="1"/>
  <c r="J5" i="5" s="1"/>
  <c r="S6" i="1"/>
  <c r="I5" i="5" s="1"/>
  <c r="AA6" i="1"/>
  <c r="Q5" i="5" s="1"/>
  <c r="L6" i="1"/>
  <c r="AB6" i="1"/>
  <c r="R5" i="5" s="1"/>
  <c r="M6" i="1"/>
  <c r="U6" i="1"/>
  <c r="K5" i="5" s="1"/>
  <c r="AC6" i="1"/>
  <c r="S5" i="5" s="1"/>
  <c r="N6" i="1"/>
  <c r="D5" i="5" s="1"/>
  <c r="F6" i="1"/>
  <c r="G6" i="1"/>
  <c r="U12" i="1"/>
  <c r="K11" i="5" s="1"/>
  <c r="N5" i="1"/>
  <c r="D4" i="5" s="1"/>
  <c r="V5" i="1"/>
  <c r="L4" i="5" s="1"/>
  <c r="AD5" i="1"/>
  <c r="T4" i="5" s="1"/>
  <c r="O5" i="1"/>
  <c r="E4" i="5" s="1"/>
  <c r="W5" i="1"/>
  <c r="M4" i="5" s="1"/>
  <c r="AE5" i="1"/>
  <c r="U4" i="5" s="1"/>
  <c r="P5" i="1"/>
  <c r="F4" i="5" s="1"/>
  <c r="X5" i="1"/>
  <c r="N4" i="5" s="1"/>
  <c r="AF5" i="1"/>
  <c r="V4" i="5" s="1"/>
  <c r="Q5" i="1"/>
  <c r="G4" i="5" s="1"/>
  <c r="Y5" i="1"/>
  <c r="O4" i="5" s="1"/>
  <c r="AG5" i="1"/>
  <c r="W4" i="5" s="1"/>
  <c r="R5" i="1"/>
  <c r="H4" i="5" s="1"/>
  <c r="Z5" i="1"/>
  <c r="P4" i="5" s="1"/>
  <c r="AH5" i="1"/>
  <c r="X4" i="5" s="1"/>
  <c r="S5" i="1"/>
  <c r="I4" i="5" s="1"/>
  <c r="AA5" i="1"/>
  <c r="Q4" i="5" s="1"/>
  <c r="L5" i="1"/>
  <c r="B4" i="5" s="1"/>
  <c r="M5" i="1"/>
  <c r="C4" i="5" s="1"/>
  <c r="AC5" i="1"/>
  <c r="S4" i="5" s="1"/>
  <c r="T5" i="1"/>
  <c r="J4" i="5" s="1"/>
  <c r="AB5" i="1"/>
  <c r="R4" i="5" s="1"/>
  <c r="U5" i="1"/>
  <c r="K4" i="5" s="1"/>
  <c r="I10" i="8" l="1"/>
  <c r="Q10" i="8"/>
  <c r="Y10" i="8"/>
  <c r="W10" i="8"/>
  <c r="G10" i="8"/>
  <c r="C10" i="8"/>
  <c r="S10" i="8"/>
  <c r="O10" i="8"/>
  <c r="U10" i="8"/>
  <c r="C10" i="9"/>
  <c r="I10" i="9" s="1"/>
  <c r="K10" i="8"/>
  <c r="M10" i="8"/>
  <c r="E10" i="8"/>
  <c r="U9" i="8"/>
  <c r="E9" i="8"/>
  <c r="C9" i="8"/>
  <c r="G9" i="8"/>
  <c r="O9" i="8"/>
  <c r="K9" i="8"/>
  <c r="Y9" i="8"/>
  <c r="W9" i="8"/>
  <c r="I9" i="8"/>
  <c r="M9" i="8"/>
  <c r="C9" i="9"/>
  <c r="I9" i="9" s="1"/>
  <c r="S9" i="8"/>
  <c r="Q9" i="8"/>
  <c r="B10" i="9"/>
  <c r="H10" i="9" s="1"/>
  <c r="W10" i="7"/>
  <c r="E10" i="7"/>
  <c r="U10" i="7"/>
  <c r="K10" i="7"/>
  <c r="M10" i="7"/>
  <c r="Y10" i="7"/>
  <c r="G10" i="7"/>
  <c r="C10" i="7"/>
  <c r="S10" i="7"/>
  <c r="I10" i="7"/>
  <c r="Q10" i="7"/>
  <c r="O10" i="7"/>
  <c r="B5" i="5"/>
  <c r="B6" i="7" s="1"/>
  <c r="M6" i="7" s="1"/>
  <c r="B7" i="5"/>
  <c r="B8" i="7" s="1"/>
  <c r="B8" i="5"/>
  <c r="B9" i="7" s="1"/>
  <c r="C7" i="5"/>
  <c r="B8" i="8" s="1"/>
  <c r="C5" i="5"/>
  <c r="B6" i="8" s="1"/>
  <c r="O4" i="1"/>
  <c r="AC13" i="1"/>
  <c r="S12" i="5" s="1"/>
  <c r="V13" i="1"/>
  <c r="L12" i="5" s="1"/>
  <c r="W13" i="1"/>
  <c r="M12" i="5" s="1"/>
  <c r="U13" i="1"/>
  <c r="K12" i="5" s="1"/>
  <c r="N13" i="1"/>
  <c r="D12" i="5" s="1"/>
  <c r="AD13" i="1"/>
  <c r="T12" i="5" s="1"/>
  <c r="O13" i="1"/>
  <c r="E12" i="5" s="1"/>
  <c r="AE13" i="1"/>
  <c r="U12" i="5" s="1"/>
  <c r="AA13" i="1"/>
  <c r="Q12" i="5" s="1"/>
  <c r="Y13" i="1"/>
  <c r="O12" i="5" s="1"/>
  <c r="S13" i="1"/>
  <c r="I12" i="5" s="1"/>
  <c r="Q13" i="1"/>
  <c r="G12" i="5" s="1"/>
  <c r="P13" i="1"/>
  <c r="F12" i="5" s="1"/>
  <c r="L13" i="1"/>
  <c r="B12" i="5" s="1"/>
  <c r="AF13" i="1"/>
  <c r="V12" i="5" s="1"/>
  <c r="X13" i="1"/>
  <c r="N12" i="5" s="1"/>
  <c r="T13" i="1"/>
  <c r="J12" i="5" s="1"/>
  <c r="AB13" i="1"/>
  <c r="R12" i="5" s="1"/>
  <c r="AH13" i="1"/>
  <c r="X12" i="5" s="1"/>
  <c r="AG13" i="1"/>
  <c r="W12" i="5" s="1"/>
  <c r="R13" i="1"/>
  <c r="H12" i="5" s="1"/>
  <c r="Z13" i="1"/>
  <c r="P12" i="5" s="1"/>
  <c r="M13" i="1"/>
  <c r="C12" i="5" s="1"/>
  <c r="O12" i="1"/>
  <c r="E11" i="5" s="1"/>
  <c r="L12" i="1"/>
  <c r="N12" i="1"/>
  <c r="D11" i="5" s="1"/>
  <c r="F36" i="1"/>
  <c r="AD27" i="1" s="1"/>
  <c r="Q12" i="1"/>
  <c r="G11" i="5" s="1"/>
  <c r="AF12" i="1"/>
  <c r="V11" i="5" s="1"/>
  <c r="F32" i="1"/>
  <c r="X23" i="1" s="1"/>
  <c r="AD12" i="1"/>
  <c r="T11" i="5" s="1"/>
  <c r="P12" i="1"/>
  <c r="F11" i="5" s="1"/>
  <c r="R12" i="1"/>
  <c r="H11" i="5" s="1"/>
  <c r="AH12" i="1"/>
  <c r="X11" i="5" s="1"/>
  <c r="Z12" i="1"/>
  <c r="P11" i="5" s="1"/>
  <c r="AB12" i="1"/>
  <c r="R11" i="5" s="1"/>
  <c r="Y12" i="1"/>
  <c r="O11" i="5" s="1"/>
  <c r="AE12" i="1"/>
  <c r="U11" i="5" s="1"/>
  <c r="N4" i="1"/>
  <c r="AB4" i="1"/>
  <c r="F33" i="1"/>
  <c r="X24" i="1" s="1"/>
  <c r="Y4" i="1"/>
  <c r="X4" i="1"/>
  <c r="AA4" i="1"/>
  <c r="P4" i="1"/>
  <c r="Y11" i="1"/>
  <c r="O10" i="5" s="1"/>
  <c r="AF11" i="1"/>
  <c r="V10" i="5" s="1"/>
  <c r="T4" i="1"/>
  <c r="R11" i="1"/>
  <c r="H10" i="5" s="1"/>
  <c r="W11" i="1"/>
  <c r="M10" i="5" s="1"/>
  <c r="V11" i="1"/>
  <c r="L10" i="5" s="1"/>
  <c r="N11" i="1"/>
  <c r="D10" i="5" s="1"/>
  <c r="S11" i="1"/>
  <c r="I10" i="5" s="1"/>
  <c r="L11" i="1"/>
  <c r="X11" i="1"/>
  <c r="N10" i="5" s="1"/>
  <c r="F30" i="1"/>
  <c r="V4" i="1"/>
  <c r="W4" i="1"/>
  <c r="AH11" i="1"/>
  <c r="X10" i="5" s="1"/>
  <c r="O11" i="1"/>
  <c r="E10" i="5" s="1"/>
  <c r="AC11" i="1"/>
  <c r="S10" i="5" s="1"/>
  <c r="AH4" i="1"/>
  <c r="U11" i="1"/>
  <c r="K10" i="5" s="1"/>
  <c r="M11" i="1"/>
  <c r="Q11" i="1"/>
  <c r="G10" i="5" s="1"/>
  <c r="AD11" i="1"/>
  <c r="T10" i="5" s="1"/>
  <c r="P11" i="1"/>
  <c r="F10" i="5" s="1"/>
  <c r="M4" i="1"/>
  <c r="Z4" i="1"/>
  <c r="AE11" i="1"/>
  <c r="U10" i="5" s="1"/>
  <c r="AB11" i="1"/>
  <c r="R10" i="5" s="1"/>
  <c r="AA11" i="1"/>
  <c r="Q10" i="5" s="1"/>
  <c r="AD4" i="1"/>
  <c r="R4" i="1"/>
  <c r="F35" i="1"/>
  <c r="L26" i="1" s="1"/>
  <c r="T11" i="1"/>
  <c r="J10" i="5" s="1"/>
  <c r="Z11" i="1"/>
  <c r="P10" i="5" s="1"/>
  <c r="AF4" i="1"/>
  <c r="B7" i="8"/>
  <c r="G7" i="8" s="1"/>
  <c r="B7" i="7"/>
  <c r="W7" i="7" s="1"/>
  <c r="B5" i="8"/>
  <c r="K5" i="8" s="1"/>
  <c r="B5" i="7"/>
  <c r="O5" i="7" s="1"/>
  <c r="O25" i="1"/>
  <c r="W25" i="1"/>
  <c r="AE25" i="1"/>
  <c r="P25" i="1"/>
  <c r="X25" i="1"/>
  <c r="AF25" i="1"/>
  <c r="Q25" i="1"/>
  <c r="AH25" i="1"/>
  <c r="AA25" i="1"/>
  <c r="T25" i="1"/>
  <c r="U25" i="1"/>
  <c r="N25" i="1"/>
  <c r="AG25" i="1"/>
  <c r="S25" i="1"/>
  <c r="AB25" i="1"/>
  <c r="AD25" i="1"/>
  <c r="Y25" i="1"/>
  <c r="L25" i="1"/>
  <c r="M25" i="1"/>
  <c r="R25" i="1"/>
  <c r="Z25" i="1"/>
  <c r="AC25" i="1"/>
  <c r="V25" i="1"/>
  <c r="AC4" i="1"/>
  <c r="M12" i="1"/>
  <c r="AC12" i="1"/>
  <c r="S11" i="5" s="1"/>
  <c r="U4" i="1"/>
  <c r="L4" i="1"/>
  <c r="AG4" i="1"/>
  <c r="AE4" i="1"/>
  <c r="V12" i="1"/>
  <c r="L11" i="5" s="1"/>
  <c r="X12" i="1"/>
  <c r="N11" i="5" s="1"/>
  <c r="S12" i="1"/>
  <c r="I11" i="5" s="1"/>
  <c r="AA12" i="1"/>
  <c r="Q11" i="5" s="1"/>
  <c r="S4" i="1"/>
  <c r="Q4" i="1"/>
  <c r="AG12" i="1"/>
  <c r="W11" i="5" s="1"/>
  <c r="T12" i="1"/>
  <c r="J11" i="5" s="1"/>
  <c r="D4" i="2"/>
  <c r="E4" i="2" s="1"/>
  <c r="F31" i="1"/>
  <c r="S27" i="1"/>
  <c r="V27" i="1"/>
  <c r="AC23" i="1"/>
  <c r="AB24" i="1"/>
  <c r="AF27" i="1" l="1"/>
  <c r="Q27" i="1"/>
  <c r="L27" i="1"/>
  <c r="R27" i="1"/>
  <c r="AB27" i="1"/>
  <c r="T27" i="1"/>
  <c r="W27" i="1"/>
  <c r="M27" i="1"/>
  <c r="AC27" i="1"/>
  <c r="AE27" i="1"/>
  <c r="N27" i="1"/>
  <c r="Z27" i="1"/>
  <c r="AA27" i="1"/>
  <c r="S6" i="8"/>
  <c r="O6" i="8"/>
  <c r="Q9" i="7"/>
  <c r="G9" i="7"/>
  <c r="O9" i="7"/>
  <c r="E9" i="7"/>
  <c r="Y9" i="7"/>
  <c r="W9" i="7"/>
  <c r="B9" i="9"/>
  <c r="H9" i="9" s="1"/>
  <c r="I9" i="7"/>
  <c r="M9" i="7"/>
  <c r="C9" i="7"/>
  <c r="U9" i="7"/>
  <c r="K9" i="7"/>
  <c r="C6" i="7"/>
  <c r="U6" i="7"/>
  <c r="Q8" i="8"/>
  <c r="M8" i="8"/>
  <c r="K8" i="8"/>
  <c r="O8" i="8"/>
  <c r="I8" i="8"/>
  <c r="W8" i="8"/>
  <c r="S8" i="8"/>
  <c r="Y8" i="8"/>
  <c r="U8" i="8"/>
  <c r="C8" i="9"/>
  <c r="I8" i="9" s="1"/>
  <c r="G8" i="8"/>
  <c r="C8" i="8"/>
  <c r="E8" i="8"/>
  <c r="U8" i="7"/>
  <c r="Q8" i="7"/>
  <c r="G8" i="7"/>
  <c r="M8" i="7"/>
  <c r="B8" i="9"/>
  <c r="H8" i="9" s="1"/>
  <c r="Y8" i="7"/>
  <c r="E8" i="7"/>
  <c r="O8" i="7"/>
  <c r="S8" i="7"/>
  <c r="W8" i="7"/>
  <c r="K8" i="7"/>
  <c r="I8" i="7"/>
  <c r="C8" i="7"/>
  <c r="V3" i="5"/>
  <c r="C11" i="5"/>
  <c r="B12" i="8" s="1"/>
  <c r="S6" i="7"/>
  <c r="Q3" i="5"/>
  <c r="F42" i="1"/>
  <c r="S3" i="5"/>
  <c r="Q6" i="8"/>
  <c r="U6" i="8"/>
  <c r="O6" i="7"/>
  <c r="B6" i="9"/>
  <c r="H6" i="9" s="1"/>
  <c r="C3" i="5"/>
  <c r="B4" i="8" s="1"/>
  <c r="C4" i="9" s="1"/>
  <c r="I4" i="9" s="1"/>
  <c r="C6" i="8"/>
  <c r="W6" i="8"/>
  <c r="Y6" i="7"/>
  <c r="I6" i="7"/>
  <c r="N3" i="5"/>
  <c r="B10" i="5"/>
  <c r="B11" i="7" s="1"/>
  <c r="G6" i="7"/>
  <c r="M6" i="8"/>
  <c r="H3" i="5"/>
  <c r="M3" i="5"/>
  <c r="O3" i="5"/>
  <c r="X3" i="5"/>
  <c r="AH23" i="1"/>
  <c r="P3" i="5"/>
  <c r="Z23" i="1"/>
  <c r="W3" i="5"/>
  <c r="I6" i="8"/>
  <c r="C6" i="9"/>
  <c r="I6" i="9" s="1"/>
  <c r="Q6" i="7"/>
  <c r="T3" i="5"/>
  <c r="L3" i="5"/>
  <c r="B11" i="5"/>
  <c r="B12" i="7" s="1"/>
  <c r="J3" i="5"/>
  <c r="R3" i="5"/>
  <c r="E3" i="5"/>
  <c r="G6" i="8"/>
  <c r="F3" i="5"/>
  <c r="U3" i="5"/>
  <c r="E6" i="8"/>
  <c r="K6" i="7"/>
  <c r="E6" i="7"/>
  <c r="G3" i="5"/>
  <c r="B3" i="5"/>
  <c r="Y6" i="8"/>
  <c r="K6" i="8"/>
  <c r="W6" i="7"/>
  <c r="C10" i="5"/>
  <c r="B11" i="8" s="1"/>
  <c r="I3" i="5"/>
  <c r="K3" i="5"/>
  <c r="S9" i="7"/>
  <c r="D3" i="5"/>
  <c r="W24" i="1"/>
  <c r="AD24" i="1"/>
  <c r="AC24" i="1"/>
  <c r="N24" i="1"/>
  <c r="Z24" i="1"/>
  <c r="Y24" i="1"/>
  <c r="S24" i="1"/>
  <c r="R24" i="1"/>
  <c r="AF24" i="1"/>
  <c r="U24" i="1"/>
  <c r="T24" i="1"/>
  <c r="U23" i="1"/>
  <c r="O23" i="1"/>
  <c r="AB23" i="1"/>
  <c r="AD23" i="1"/>
  <c r="AG23" i="1"/>
  <c r="T23" i="1"/>
  <c r="P23" i="1"/>
  <c r="W23" i="1"/>
  <c r="Y23" i="1"/>
  <c r="N23" i="1"/>
  <c r="V23" i="1"/>
  <c r="M23" i="1"/>
  <c r="S23" i="1"/>
  <c r="AA23" i="1"/>
  <c r="AH27" i="1"/>
  <c r="P27" i="1"/>
  <c r="Y27" i="1"/>
  <c r="L23" i="1"/>
  <c r="R23" i="1"/>
  <c r="Q23" i="1"/>
  <c r="X27" i="1"/>
  <c r="U27" i="1"/>
  <c r="AG27" i="1"/>
  <c r="AF23" i="1"/>
  <c r="AE23" i="1"/>
  <c r="O27" i="1"/>
  <c r="V24" i="1"/>
  <c r="M24" i="1"/>
  <c r="AA24" i="1"/>
  <c r="AG24" i="1"/>
  <c r="AH24" i="1"/>
  <c r="AE24" i="1"/>
  <c r="Q24" i="1"/>
  <c r="L24" i="1"/>
  <c r="O24" i="1"/>
  <c r="P24" i="1"/>
  <c r="AG26" i="1"/>
  <c r="R26" i="1"/>
  <c r="U26" i="1"/>
  <c r="T26" i="1"/>
  <c r="O26" i="1"/>
  <c r="V26" i="1"/>
  <c r="M26" i="1"/>
  <c r="N26" i="1"/>
  <c r="P26" i="1"/>
  <c r="S26" i="1"/>
  <c r="AA26" i="1"/>
  <c r="AE26" i="1"/>
  <c r="AD26" i="1"/>
  <c r="X26" i="1"/>
  <c r="AC26" i="1"/>
  <c r="AH26" i="1"/>
  <c r="Q26" i="1"/>
  <c r="Y26" i="1"/>
  <c r="Z26" i="1"/>
  <c r="AB26" i="1"/>
  <c r="W26" i="1"/>
  <c r="AF26" i="1"/>
  <c r="O22" i="1"/>
  <c r="I5" i="8"/>
  <c r="C7" i="8"/>
  <c r="I7" i="8"/>
  <c r="M7" i="8"/>
  <c r="K7" i="7"/>
  <c r="I7" i="7"/>
  <c r="W5" i="8"/>
  <c r="O7" i="7"/>
  <c r="Q7" i="7"/>
  <c r="G7" i="7"/>
  <c r="E5" i="8"/>
  <c r="O5" i="8"/>
  <c r="S7" i="8"/>
  <c r="Y5" i="8"/>
  <c r="K7" i="8"/>
  <c r="C5" i="7"/>
  <c r="G5" i="7"/>
  <c r="B5" i="9"/>
  <c r="H5" i="9" s="1"/>
  <c r="I5" i="7"/>
  <c r="M5" i="7"/>
  <c r="K5" i="7"/>
  <c r="U5" i="7"/>
  <c r="Q5" i="7"/>
  <c r="W5" i="7"/>
  <c r="Y5" i="7"/>
  <c r="M5" i="8"/>
  <c r="C5" i="9"/>
  <c r="I5" i="9" s="1"/>
  <c r="E7" i="8"/>
  <c r="W7" i="8"/>
  <c r="M7" i="7"/>
  <c r="G5" i="8"/>
  <c r="S5" i="8"/>
  <c r="Q7" i="8"/>
  <c r="C7" i="9"/>
  <c r="I7" i="9" s="1"/>
  <c r="E7" i="7"/>
  <c r="C5" i="8"/>
  <c r="Y7" i="8"/>
  <c r="O7" i="8"/>
  <c r="S5" i="7"/>
  <c r="C7" i="7"/>
  <c r="S7" i="7"/>
  <c r="U5" i="8"/>
  <c r="U7" i="8"/>
  <c r="E5" i="7"/>
  <c r="B7" i="9"/>
  <c r="H7" i="9" s="1"/>
  <c r="U7" i="7"/>
  <c r="Q5" i="8"/>
  <c r="Y7" i="7"/>
  <c r="B13" i="7"/>
  <c r="Y13" i="7" s="1"/>
  <c r="B13" i="8"/>
  <c r="I13" i="8" s="1"/>
  <c r="Z22" i="1"/>
  <c r="R22" i="1"/>
  <c r="AF22" i="1"/>
  <c r="X22" i="1"/>
  <c r="T22" i="1"/>
  <c r="P22" i="1"/>
  <c r="AG22" i="1"/>
  <c r="V22" i="1"/>
  <c r="AD22" i="1"/>
  <c r="Q22" i="1"/>
  <c r="S22" i="1"/>
  <c r="N22" i="1"/>
  <c r="AC22" i="1"/>
  <c r="L22" i="1"/>
  <c r="AA22" i="1"/>
  <c r="U22" i="1"/>
  <c r="M22" i="1"/>
  <c r="AE22" i="1"/>
  <c r="AH22" i="1"/>
  <c r="Y22" i="1"/>
  <c r="AB22" i="1"/>
  <c r="W22" i="1"/>
  <c r="F4" i="2"/>
  <c r="E21" i="2"/>
  <c r="L20" i="1" l="1"/>
  <c r="L38" i="1" s="1"/>
  <c r="AB20" i="1"/>
  <c r="AB38" i="1" s="1"/>
  <c r="S20" i="1"/>
  <c r="S38" i="1" s="1"/>
  <c r="G12" i="8"/>
  <c r="Y12" i="8"/>
  <c r="S12" i="8"/>
  <c r="O12" i="8"/>
  <c r="K12" i="8"/>
  <c r="C12" i="8"/>
  <c r="S12" i="7"/>
  <c r="Y12" i="7"/>
  <c r="I12" i="7"/>
  <c r="M12" i="7"/>
  <c r="C12" i="7"/>
  <c r="W12" i="7"/>
  <c r="U12" i="7"/>
  <c r="B12" i="9"/>
  <c r="H12" i="9" s="1"/>
  <c r="Q12" i="7"/>
  <c r="O12" i="7"/>
  <c r="K12" i="7"/>
  <c r="P42" i="1"/>
  <c r="F32" i="5" s="1"/>
  <c r="X42" i="1"/>
  <c r="N32" i="5" s="1"/>
  <c r="AF42" i="1"/>
  <c r="V32" i="5" s="1"/>
  <c r="Q42" i="1"/>
  <c r="G32" i="5" s="1"/>
  <c r="Y42" i="1"/>
  <c r="O32" i="5" s="1"/>
  <c r="AG42" i="1"/>
  <c r="W32" i="5" s="1"/>
  <c r="R42" i="1"/>
  <c r="H32" i="5" s="1"/>
  <c r="Z42" i="1"/>
  <c r="P32" i="5" s="1"/>
  <c r="AH42" i="1"/>
  <c r="X32" i="5" s="1"/>
  <c r="S42" i="1"/>
  <c r="I32" i="5" s="1"/>
  <c r="AA42" i="1"/>
  <c r="Q32" i="5" s="1"/>
  <c r="T42" i="1"/>
  <c r="AB42" i="1"/>
  <c r="R32" i="5" s="1"/>
  <c r="L42" i="1"/>
  <c r="B32" i="5" s="1"/>
  <c r="U42" i="1"/>
  <c r="K32" i="5" s="1"/>
  <c r="N42" i="1"/>
  <c r="D32" i="5" s="1"/>
  <c r="V42" i="1"/>
  <c r="L32" i="5" s="1"/>
  <c r="AD42" i="1"/>
  <c r="T32" i="5" s="1"/>
  <c r="O42" i="1"/>
  <c r="E32" i="5" s="1"/>
  <c r="W42" i="1"/>
  <c r="M32" i="5" s="1"/>
  <c r="AE42" i="1"/>
  <c r="U32" i="5" s="1"/>
  <c r="M42" i="1"/>
  <c r="C32" i="5" s="1"/>
  <c r="AC42" i="1"/>
  <c r="S32" i="5" s="1"/>
  <c r="Y11" i="8"/>
  <c r="I11" i="8"/>
  <c r="C11" i="9"/>
  <c r="I11" i="9" s="1"/>
  <c r="E11" i="8"/>
  <c r="C11" i="8"/>
  <c r="G11" i="8"/>
  <c r="S11" i="8"/>
  <c r="Q11" i="8"/>
  <c r="U11" i="8"/>
  <c r="M11" i="8"/>
  <c r="W11" i="8"/>
  <c r="K11" i="8"/>
  <c r="O11" i="8"/>
  <c r="G11" i="7"/>
  <c r="S11" i="7"/>
  <c r="I11" i="7"/>
  <c r="O11" i="7"/>
  <c r="Q11" i="7"/>
  <c r="Y11" i="7"/>
  <c r="K11" i="7"/>
  <c r="U11" i="7"/>
  <c r="B11" i="9"/>
  <c r="H11" i="9" s="1"/>
  <c r="W11" i="7"/>
  <c r="C11" i="7"/>
  <c r="E11" i="7"/>
  <c r="M11" i="7"/>
  <c r="N20" i="1"/>
  <c r="N38" i="1" s="1"/>
  <c r="U12" i="8"/>
  <c r="C12" i="9"/>
  <c r="I12" i="9" s="1"/>
  <c r="AD20" i="1"/>
  <c r="AD38" i="1" s="1"/>
  <c r="W12" i="8"/>
  <c r="Q12" i="8"/>
  <c r="I12" i="8"/>
  <c r="E12" i="7"/>
  <c r="G12" i="7"/>
  <c r="R20" i="1"/>
  <c r="R38" i="1" s="1"/>
  <c r="E12" i="8"/>
  <c r="AG20" i="1"/>
  <c r="AG38" i="1" s="1"/>
  <c r="M12" i="8"/>
  <c r="P20" i="1"/>
  <c r="AC20" i="1"/>
  <c r="AC38" i="1" s="1"/>
  <c r="Y20" i="1"/>
  <c r="Y38" i="1" s="1"/>
  <c r="W20" i="1"/>
  <c r="W38" i="1" s="1"/>
  <c r="Q20" i="1"/>
  <c r="Q38" i="1" s="1"/>
  <c r="M20" i="1"/>
  <c r="M38" i="1" s="1"/>
  <c r="Z20" i="1"/>
  <c r="Z38" i="1" s="1"/>
  <c r="U20" i="1"/>
  <c r="V20" i="1"/>
  <c r="T20" i="1"/>
  <c r="T38" i="1" s="1"/>
  <c r="AH20" i="1"/>
  <c r="AF20" i="1"/>
  <c r="AF38" i="1" s="1"/>
  <c r="X20" i="1"/>
  <c r="AE20" i="1"/>
  <c r="AA20" i="1"/>
  <c r="O20" i="1"/>
  <c r="J32" i="5"/>
  <c r="Y4" i="8"/>
  <c r="Q4" i="8"/>
  <c r="S4" i="8"/>
  <c r="G4" i="8"/>
  <c r="O4" i="8"/>
  <c r="E4" i="8"/>
  <c r="K4" i="8"/>
  <c r="W4" i="8"/>
  <c r="M4" i="8"/>
  <c r="C4" i="8"/>
  <c r="I4" i="8"/>
  <c r="U4" i="8"/>
  <c r="B4" i="7"/>
  <c r="W4" i="7" s="1"/>
  <c r="B13" i="9"/>
  <c r="H13" i="9" s="1"/>
  <c r="C13" i="9"/>
  <c r="I13" i="9" s="1"/>
  <c r="K13" i="8"/>
  <c r="Y13" i="8"/>
  <c r="Q13" i="8"/>
  <c r="E13" i="7"/>
  <c r="C13" i="7"/>
  <c r="Q13" i="7"/>
  <c r="I13" i="7"/>
  <c r="S13" i="7"/>
  <c r="K13" i="7"/>
  <c r="U13" i="7"/>
  <c r="C13" i="8"/>
  <c r="M13" i="7"/>
  <c r="W13" i="7"/>
  <c r="O13" i="7"/>
  <c r="G13" i="7"/>
  <c r="M13" i="8"/>
  <c r="E13" i="8"/>
  <c r="W13" i="8"/>
  <c r="G13" i="8"/>
  <c r="S13" i="8"/>
  <c r="U13" i="8"/>
  <c r="B30" i="5"/>
  <c r="O13" i="8"/>
  <c r="P3" i="2"/>
  <c r="K3" i="2"/>
  <c r="I3" i="2"/>
  <c r="B19" i="5" s="1"/>
  <c r="L3" i="2"/>
  <c r="V3" i="2"/>
  <c r="G19" i="5" s="1"/>
  <c r="T3" i="2"/>
  <c r="E19" i="5" s="1"/>
  <c r="Y3" i="2"/>
  <c r="J19" i="5" s="1"/>
  <c r="Z3" i="2"/>
  <c r="K19" i="5" s="1"/>
  <c r="M3" i="2"/>
  <c r="AC3" i="2"/>
  <c r="N19" i="5" s="1"/>
  <c r="W3" i="2"/>
  <c r="H19" i="5" s="1"/>
  <c r="X3" i="2"/>
  <c r="I19" i="5" s="1"/>
  <c r="U3" i="2"/>
  <c r="F19" i="5" s="1"/>
  <c r="AG3" i="2"/>
  <c r="R19" i="5" s="1"/>
  <c r="J3" i="2"/>
  <c r="N3" i="2"/>
  <c r="F21" i="2"/>
  <c r="AL3" i="2"/>
  <c r="W19" i="5" s="1"/>
  <c r="AK3" i="2"/>
  <c r="V19" i="5" s="1"/>
  <c r="AH3" i="2"/>
  <c r="S19" i="5" s="1"/>
  <c r="AA3" i="2"/>
  <c r="L19" i="5" s="1"/>
  <c r="R3" i="2"/>
  <c r="C19" i="5" s="1"/>
  <c r="AE3" i="2"/>
  <c r="P19" i="5" s="1"/>
  <c r="S3" i="2"/>
  <c r="D19" i="5" s="1"/>
  <c r="AM3" i="2"/>
  <c r="X19" i="5" s="1"/>
  <c r="AI3" i="2"/>
  <c r="T19" i="5" s="1"/>
  <c r="AD3" i="2"/>
  <c r="O19" i="5" s="1"/>
  <c r="O3" i="2"/>
  <c r="AJ3" i="2"/>
  <c r="U19" i="5" s="1"/>
  <c r="AB3" i="2"/>
  <c r="M19" i="5" s="1"/>
  <c r="AF3" i="2"/>
  <c r="Q19" i="5" s="1"/>
  <c r="Q3" i="2"/>
  <c r="O30" i="5" l="1"/>
  <c r="H30" i="5"/>
  <c r="G30" i="5"/>
  <c r="V30" i="5"/>
  <c r="V33" i="5" s="1"/>
  <c r="R30" i="5"/>
  <c r="R33" i="5" s="1"/>
  <c r="M30" i="5"/>
  <c r="M33" i="5" s="1"/>
  <c r="I30" i="5"/>
  <c r="I33" i="5" s="1"/>
  <c r="W30" i="5"/>
  <c r="W33" i="5" s="1"/>
  <c r="J30" i="5"/>
  <c r="J33" i="5" s="1"/>
  <c r="S30" i="5"/>
  <c r="P30" i="5"/>
  <c r="T30" i="5"/>
  <c r="D30" i="5"/>
  <c r="D33" i="5" s="1"/>
  <c r="E30" i="5"/>
  <c r="E33" i="5" s="1"/>
  <c r="O38" i="1"/>
  <c r="Q30" i="5"/>
  <c r="Q33" i="5" s="1"/>
  <c r="AA38" i="1"/>
  <c r="F30" i="5"/>
  <c r="F33" i="5" s="1"/>
  <c r="P38" i="1"/>
  <c r="N30" i="5"/>
  <c r="N33" i="5" s="1"/>
  <c r="X38" i="1"/>
  <c r="L30" i="5"/>
  <c r="L33" i="5" s="1"/>
  <c r="V38" i="1"/>
  <c r="K30" i="5"/>
  <c r="K33" i="5" s="1"/>
  <c r="U38" i="1"/>
  <c r="C30" i="5"/>
  <c r="X30" i="5"/>
  <c r="X33" i="5" s="1"/>
  <c r="AH38" i="1"/>
  <c r="U30" i="5"/>
  <c r="U33" i="5" s="1"/>
  <c r="AE38" i="1"/>
  <c r="G4" i="7"/>
  <c r="S4" i="7"/>
  <c r="M4" i="7"/>
  <c r="B4" i="9"/>
  <c r="H4" i="9" s="1"/>
  <c r="C4" i="7"/>
  <c r="E4" i="7"/>
  <c r="I4" i="7"/>
  <c r="O4" i="7"/>
  <c r="K4" i="7"/>
  <c r="Y4" i="7"/>
  <c r="U4" i="7"/>
  <c r="Q4" i="7"/>
  <c r="P33" i="5"/>
  <c r="S33" i="5"/>
  <c r="O33" i="5"/>
  <c r="H33" i="5"/>
  <c r="G33" i="5"/>
  <c r="T33" i="5"/>
  <c r="B18" i="7" l="1"/>
  <c r="S18" i="7" s="1"/>
  <c r="C33" i="5"/>
  <c r="B18" i="8"/>
  <c r="C18" i="9" s="1"/>
  <c r="I18" i="9" s="1"/>
  <c r="B33" i="5"/>
  <c r="B18" i="9" l="1"/>
  <c r="H18" i="9" s="1"/>
  <c r="I18" i="7"/>
  <c r="Y18" i="7"/>
  <c r="K18" i="7"/>
  <c r="E18" i="7"/>
  <c r="U18" i="7"/>
  <c r="C12" i="6"/>
  <c r="B12" i="6"/>
  <c r="O18" i="7"/>
  <c r="C18" i="7"/>
  <c r="G18" i="7"/>
  <c r="Q18" i="7"/>
  <c r="M18" i="7"/>
  <c r="W18" i="7"/>
  <c r="U18" i="8"/>
  <c r="E18" i="8"/>
  <c r="C18" i="8"/>
  <c r="I18" i="8"/>
  <c r="K18" i="8"/>
  <c r="S18" i="8"/>
  <c r="Y18" i="8"/>
  <c r="Q18" i="8"/>
  <c r="G18" i="8"/>
  <c r="O18" i="8"/>
  <c r="W18" i="8"/>
  <c r="M18" i="8"/>
  <c r="U31" i="7"/>
  <c r="M31" i="7"/>
  <c r="E31" i="7"/>
  <c r="S31" i="7"/>
  <c r="Y31" i="7"/>
  <c r="Q31" i="7"/>
  <c r="I31" i="7"/>
  <c r="W31" i="7"/>
  <c r="O31" i="7"/>
  <c r="G31" i="7"/>
  <c r="K31" i="7"/>
  <c r="C31" i="7"/>
  <c r="H31" i="9" s="1"/>
  <c r="W30" i="7"/>
  <c r="O30" i="7"/>
  <c r="G30" i="7"/>
  <c r="U30" i="7"/>
  <c r="M30" i="7"/>
  <c r="E30" i="7"/>
  <c r="S30" i="7"/>
  <c r="C30" i="7"/>
  <c r="H30" i="9" s="1"/>
  <c r="Y30" i="7"/>
  <c r="Y33" i="7" s="1"/>
  <c r="G39" i="7" s="1"/>
  <c r="Q30" i="7"/>
  <c r="I30" i="7"/>
  <c r="K30" i="7"/>
  <c r="U30" i="8"/>
  <c r="E30" i="8"/>
  <c r="S30" i="8"/>
  <c r="C30" i="8"/>
  <c r="I30" i="9" s="1"/>
  <c r="Q30" i="8"/>
  <c r="O30" i="8"/>
  <c r="M30" i="8"/>
  <c r="K30" i="8"/>
  <c r="Y30" i="8"/>
  <c r="I30" i="8"/>
  <c r="W30" i="8"/>
  <c r="G30" i="8"/>
  <c r="M31" i="8"/>
  <c r="Y31" i="8"/>
  <c r="I31" i="8"/>
  <c r="K31" i="8"/>
  <c r="W31" i="8"/>
  <c r="G31" i="8"/>
  <c r="U31" i="8"/>
  <c r="S31" i="8"/>
  <c r="C31" i="8"/>
  <c r="I31" i="9" s="1"/>
  <c r="Q31" i="8"/>
  <c r="O31" i="8"/>
  <c r="E31" i="8"/>
  <c r="Q33" i="7" l="1"/>
  <c r="G38" i="7" s="1"/>
  <c r="H33" i="9"/>
  <c r="H35" i="9" s="1"/>
  <c r="I33" i="9"/>
  <c r="I35" i="9" s="1"/>
  <c r="G33" i="8"/>
  <c r="F37" i="8" s="1"/>
  <c r="I33" i="7"/>
  <c r="G37" i="7" s="1"/>
  <c r="K33" i="7"/>
  <c r="D38" i="7" s="1"/>
  <c r="U33" i="7"/>
  <c r="E39" i="7" s="1"/>
  <c r="G33" i="7"/>
  <c r="F37" i="7" s="1"/>
  <c r="O33" i="7"/>
  <c r="F38" i="7" s="1"/>
  <c r="M33" i="8"/>
  <c r="E38" i="8" s="1"/>
  <c r="C33" i="7"/>
  <c r="M33" i="7"/>
  <c r="E38" i="7" s="1"/>
  <c r="W33" i="7"/>
  <c r="F39" i="7" s="1"/>
  <c r="W33" i="8"/>
  <c r="F39" i="8" s="1"/>
  <c r="E33" i="7"/>
  <c r="E37" i="7" s="1"/>
  <c r="K33" i="8"/>
  <c r="D38" i="8" s="1"/>
  <c r="S33" i="8"/>
  <c r="D39" i="8" s="1"/>
  <c r="S33" i="7"/>
  <c r="D39" i="7" s="1"/>
  <c r="O33" i="8"/>
  <c r="F38" i="8" s="1"/>
  <c r="Q33" i="8"/>
  <c r="G38" i="8" s="1"/>
  <c r="C33" i="8"/>
  <c r="I33" i="8"/>
  <c r="G37" i="8" s="1"/>
  <c r="E33" i="8"/>
  <c r="E37" i="8" s="1"/>
  <c r="Y33" i="8"/>
  <c r="G39" i="8" s="1"/>
  <c r="U33" i="8"/>
  <c r="E39" i="8" s="1"/>
  <c r="D37" i="8" l="1"/>
  <c r="D37" i="7"/>
</calcChain>
</file>

<file path=xl/sharedStrings.xml><?xml version="1.0" encoding="utf-8"?>
<sst xmlns="http://schemas.openxmlformats.org/spreadsheetml/2006/main" count="336" uniqueCount="161">
  <si>
    <t>FTO glass</t>
  </si>
  <si>
    <t>BL deposition</t>
  </si>
  <si>
    <t>ETL deposition</t>
  </si>
  <si>
    <t>PL deposition</t>
  </si>
  <si>
    <t>FAI</t>
  </si>
  <si>
    <t>MABr</t>
  </si>
  <si>
    <t>HTL deposition</t>
  </si>
  <si>
    <t>Electrode deposition</t>
  </si>
  <si>
    <t>Substrate</t>
  </si>
  <si>
    <t>thickness (nm)</t>
  </si>
  <si>
    <t>area (m2)</t>
  </si>
  <si>
    <t>density (kg/m3)</t>
  </si>
  <si>
    <t>utilization efficiency</t>
  </si>
  <si>
    <t>mass (kg)</t>
  </si>
  <si>
    <t>-</t>
  </si>
  <si>
    <t>PTAA solution</t>
  </si>
  <si>
    <t>DMF</t>
  </si>
  <si>
    <t>DMSO</t>
  </si>
  <si>
    <t>Direct emissions</t>
  </si>
  <si>
    <t>Titanium tetrachloride</t>
  </si>
  <si>
    <t>Isopropanol</t>
  </si>
  <si>
    <t>Mass of module</t>
  </si>
  <si>
    <t>IPCC 2013/kg CO2-Eq</t>
  </si>
  <si>
    <t>cumulative energy demand/MJ-Eq</t>
  </si>
  <si>
    <t xml:space="preserve">ReCiPe Midpoint (E) </t>
  </si>
  <si>
    <t>ReCiPe Endpoint (E,A)</t>
  </si>
  <si>
    <t>biomass</t>
  </si>
  <si>
    <t>fossil</t>
  </si>
  <si>
    <t>geothermal</t>
  </si>
  <si>
    <t>nuclear</t>
  </si>
  <si>
    <t>forest</t>
  </si>
  <si>
    <t>solar</t>
  </si>
  <si>
    <t>water</t>
  </si>
  <si>
    <t>wind</t>
  </si>
  <si>
    <t>total</t>
  </si>
  <si>
    <t>agricultural land occupation</t>
  </si>
  <si>
    <t>climate change</t>
  </si>
  <si>
    <t>fossil depletion</t>
  </si>
  <si>
    <t>freshwater ecotoxicity</t>
  </si>
  <si>
    <t>freshwater eutrophication</t>
  </si>
  <si>
    <t>human toxicity</t>
  </si>
  <si>
    <t>ionising radiation</t>
  </si>
  <si>
    <t>marine ecotoxicity</t>
  </si>
  <si>
    <t>marine eutrophication</t>
  </si>
  <si>
    <t>metal depletion</t>
  </si>
  <si>
    <t>natural land transformation</t>
  </si>
  <si>
    <t>ozone depletion</t>
  </si>
  <si>
    <t>particulate matter formation</t>
  </si>
  <si>
    <t>photochemical oxidant formation</t>
  </si>
  <si>
    <t>terrestrial acidification</t>
  </si>
  <si>
    <t>terrestrial ecotoxicity</t>
  </si>
  <si>
    <t>urban land occupation</t>
  </si>
  <si>
    <t>water depletion</t>
  </si>
  <si>
    <t>ecosystem quality</t>
  </si>
  <si>
    <t>human health</t>
  </si>
  <si>
    <t>resources</t>
  </si>
  <si>
    <t>Power (W)</t>
  </si>
  <si>
    <t>Time (s)</t>
  </si>
  <si>
    <t>Electricity consumption (MJ)</t>
  </si>
  <si>
    <t>Blocking layer deposition</t>
  </si>
  <si>
    <t>Spray pyrolysis</t>
  </si>
  <si>
    <t>Perovskite layer deposition</t>
  </si>
  <si>
    <t>Hole transporter layer deposition</t>
  </si>
  <si>
    <t>Total</t>
  </si>
  <si>
    <t>Sputtering</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</si>
  <si>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</si>
  <si>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</si>
  <si>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</si>
  <si>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</si>
  <si>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</si>
  <si>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</si>
  <si>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</si>
  <si>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</si>
  <si>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</si>
  <si>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</si>
  <si>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</si>
  <si>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</si>
  <si>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da2faeed-9470-4e3b-b2dd-889b0059c929</t>
  </si>
  <si>
    <t>CB_Block_0</t>
  </si>
  <si>
    <t>Decisioneering:7.0.0.0</t>
  </si>
  <si>
    <t>2-methoxyethanol</t>
  </si>
  <si>
    <t>g</t>
  </si>
  <si>
    <t>mol</t>
  </si>
  <si>
    <t>Encapsulation</t>
  </si>
  <si>
    <t>Adhesive</t>
  </si>
  <si>
    <t>PET</t>
  </si>
  <si>
    <t>Lamination</t>
  </si>
  <si>
    <t>Carbon footprint</t>
  </si>
  <si>
    <t>Primary energy consumption</t>
  </si>
  <si>
    <t>Treatment</t>
  </si>
  <si>
    <t>End of life</t>
  </si>
  <si>
    <t>item</t>
  </si>
  <si>
    <t>unit</t>
  </si>
  <si>
    <t>Insolation</t>
  </si>
  <si>
    <t>kWh/m2/yr</t>
  </si>
  <si>
    <t>performance ratio</t>
  </si>
  <si>
    <t>module efficiency</t>
  </si>
  <si>
    <t>epsilon</t>
  </si>
  <si>
    <t>MJ/kWh</t>
  </si>
  <si>
    <t>lifetime</t>
  </si>
  <si>
    <t>yr</t>
  </si>
  <si>
    <t>primary energy consumption</t>
  </si>
  <si>
    <t>MJ/m2</t>
  </si>
  <si>
    <t>CO2</t>
  </si>
  <si>
    <t>EPBT</t>
  </si>
  <si>
    <t>CO2 emission factor</t>
  </si>
  <si>
    <t>module 4</t>
  </si>
  <si>
    <t>CB_Block_7.0.0.0:1</t>
  </si>
  <si>
    <t>Recycling</t>
  </si>
  <si>
    <t>UV/O3 cleaning</t>
  </si>
  <si>
    <t>metal</t>
  </si>
  <si>
    <t>glass</t>
  </si>
  <si>
    <t>Acetone</t>
  </si>
  <si>
    <t>Acetic anhydride</t>
  </si>
  <si>
    <t>Toluene</t>
  </si>
  <si>
    <t>Acetonitrile</t>
  </si>
  <si>
    <t>ETL slot-die coating</t>
  </si>
  <si>
    <t>PL 1st-step slot-die coating</t>
  </si>
  <si>
    <t>PL 2nd-step slot-die coating</t>
  </si>
  <si>
    <t>HTL slot-die coating</t>
  </si>
  <si>
    <t>ETL calcining</t>
  </si>
  <si>
    <t>PL annealing</t>
  </si>
  <si>
    <t>19e15c5a-500e-4855-bf10-3a8e995feb53</t>
  </si>
  <si>
    <t>GHG emission factor</t>
  </si>
  <si>
    <t>Module efficiency</t>
  </si>
  <si>
    <t>Performance ratio</t>
  </si>
  <si>
    <t>Lifetime</t>
  </si>
  <si>
    <t>CF</t>
  </si>
  <si>
    <t>Recycling level of substrate (100%)</t>
  </si>
  <si>
    <t>Recycling level of gold (100%)</t>
  </si>
  <si>
    <t>PEC</t>
  </si>
  <si>
    <t>Energy consumption of PL slot-die coating, kWh (0.05)</t>
  </si>
  <si>
    <t>Energy consumption of PL annealing, kWh (0.266)</t>
  </si>
  <si>
    <t>Energy consumption of PL drying, kWh (0.710)</t>
  </si>
  <si>
    <t>Utilization efficiency of gold (100%)</t>
  </si>
  <si>
    <t>㜸〱敤㕣㕢㙣ㅣ搷㜹摥㌳攴㉣㜷㤶愴㐸㡢昲㐵㡡㘳㌳㜶ㅣ㈷愶㑡㡢戲ㄴ摢㘹㔵㤶ㄷ敢ㄶ㑡愴㐵㑡㑥攰〴慢攱敥っ㌹搶捥㉣㍤㌳愴㐸搷㐰摣搴㘹搰㌶㐹㥢〴㘹㤰搴㑤っ㌷㜰㥡㕥㜲㜹愸㥢戴㐹㡢〲〵㕡ㄴづ㔰愰改㐳搱㍣戸㐱搱㍥戴㈸〴昴㈵て〱搲敦晢㘷㘶㜷㜶㤷㍢愴搶㜶㑢〷㍣昲ㅥ㥥㌹户㌹攷扦㥦晦㍦攳㥣捡攵㜲㍦㐵攲㕦愶㕥ㄶ敥㕣摣ち㐲换ㅤ㥦愹㔵慢㔶㌹㜴㙡㕥㌰㍥攵晢收搶㥣ㄳ㠴㍤攸㤰㉦㌹㘸て昴㔲攰㍣㘳ㄵ㑡ㅢ㤶ㅦ愰㤳㥥换ㄵち㠶㠶㜶㑥挲摦㜰昲㘰㜰搴㐰㉦戲愵㤹改昹攵愷㌰敢㘲㔸昳慤愳愳㔷愲戱愷㈶㈶挶㈷挶㑦㍣㍣昱摥昱㘳㐷㐷㘷搶慢攱扡㙦㥤昲慣昵搰㌷慢㐷㐷ㄷ搶㤷慢㑥昹晤搶搶㔲敤㥡攵㥤戲㤶㡦㍤戴㙣㥥㜸㘴攲挴挹㤳昶愳㡦㍥㌲㠰㔷攷㉥捥㑣㉦昸㤶ㅤ扣㐱㜳敡㕣昲㠹㔹慢散㜰㙦㤶攵㍢摥捡昸捣㌴晥㑢慤ㅦ㑦て㡦㉦慥㕡㔶挸㔷㕢扥攵㤵慤挰挰挰㝥㜷㉡〸搶摤㌵〲捦㜰㑦㘳慢㘵㌳〸㜵㜷挶慡㔶つ㌷㤹戵攰捥〳㜶㔵㜳㙢挰㕤戴扣挰〹㥤つ㈷摣捡扢㑢㤸愸㌲攸㕥づ慣㑢愶户㘲㕤㌴㕤㑢㜷捦慣㍢㤵摥㈸攵㝡敥㑦愶㐸㉦㑣戶㍦㍥ㄵ戸㌳慢愶㉦㉢ち〸㤸㡣扥愷晤㜲㜳摦㝢㍢捦换愵换ㅢ㌸攷㝤㥤晢愱攵㡡改搷㝢㡥㜵敥ㄹ㙦扥㜹〵て㜶敥㥦㠲㔱昳㤸昷㜴ㅥ㈳愰㙣敥慤晡㘳晡ㄶ㠸㘲㌳㐶㥥㔹ㅦ戳〲㌳㈲搰㈸㌲敢㘷㌶㠰㑣昵晥て戸㈴㍤㤰㑤㕡挹搴㑡换㕡愹慣㤵㉡㕡挹搲㑡戶㔶㕡搱㑡慢㕡挹搱㑡㑦㘹愵㙢攸㤳愴㐲㕦㥦ㄶ愷㐷晥敡挴㉢㍦晣㙣摦昹敦慤㘸㝦晡㤷摦晢㤷扢〷づ愰搳攳昱愲㘶㝤昳㍡㐸慤㐱挵挷挷㡦昱摦捥㕣〱愶戰㑦摡て摢ㄳㄳ㤵㤳挷捣㠷㑣㥤摢捡㐰㝥ㄳ愱っ愳敦㠰晤㠴攳㔵㙡搷〵㜷㜷㑥㥢㠱搵〰摣㔸摣㌶㕤㕢昷㉡挱摢戶㙦㕣っ捤搰㍡搲摡搶㤸愴㙤搸㈲搸捡ち攴㝤㜷戵づ扢㘲㔶搷慤愹㑤㈷㙡㝥㝢㑢戳扢攰搷㤶㍢户㥥昶慤愷敢慤㙤㉢㥡㠲㔰摢㤰戹摢㜶ㄹ㌵㐵敢ㅡ㥤㔹慤〵㤶㈷换ㅢ㜳ㄷ㥣昲㌵换㕦戴㈸ㄲ慤㡡㙣昵㔶㌶挵㕣㍦㌶敦㘱愳攰搶捡㍤改㕡晢戱捤㄰捣㙣㔵戰摥㌵换て户㤶捣攵慡㜵㕢㔳㤷攸㥤㘸㌸摣㔴㝤扡㔶㕥て㘶㙡㕥攸搷慡捤㉤㔳㤵つㄳ㤲愶㜲愱㔶戱㝡㝢㜳㈲ㄴ㈰㜰㝢㝡㤴捡㍤搰㤹ㄷ〴ㄱ㈹ㄴ㤳㤱敦㘸㈶扢昱㑢搸ㅤ㜶㔱戵㐸㤳摡㍢㜷㤸㡣敢ㄵㄹ㤳挱㠱愹㍤㔱㝦昰愵敦摥㘱摡㍡收摥摣捥㥡㌶ㄲ敦晥戱つ换ぢ捦㥡㕥愵㙡昹㤹摡㑦㜱㐵挶㄰㌲晤〶〴㐲㐷攸㔱搵愹㑤戵愵㕦㜷㉡攱㙡㝥搵㜲㔶㔶㐳搴㐱㐳ㄶち〴㙤㕢㌲㙥㐱㤵㜱㤰搹〸戲㘲㌱㤷㍦挴㑥昹㈲㔲㑥愷㜴捡攰攵㈶㐱捥㜱㑤扣㍣㘰㥦㜶慡愱ㄵ〹攵㈱ㅢㄸ㠹戴㥡愰㙦㤰㈴敡㥢攵㐸㘱ㅣ戲㘷㐰愵愶攳㠵㕢つ扥㙤攳㤲㠸㠸昶㘵挱㥥㤳〵ㄴ〵捤昲㈰㠳搷㐰㌴㉤搲㈰扢㜳㡡㠸挸〶ㄹ㥡ㅤ㌳㌷ㄳㄹ晢㘷挸〸昴㑦ㄳ㈱㝢ㅦ敢㉣㈳㐸散敤㐴捡㐱ㅤ昹㜱㕦㥡㙤㘷换㐷搲散㔶〰捥戸㡤搹敤捣敥㘰㜶ㄸ㤹晡㜷㐸㌸㑡㌹㤴㥢㤳昱㌶㍣ㅢ㜷㌲㝢㍢㌲挸㈷㠳㌲㈷ㄶ㔵戴愱㜶㘳㐷戲摦㈰散㘴㌱㡡㈳㔱㐴换戸㙥㘷づ扡㠲攸搸敡摣ㅢ扡戶㔷㜴散扢㍡搳㘶㝡㍢愴挸㡣慥改扤敥搰㌵つ〸㜶敤㔲㙦摤㡤愱挶㈸戳㜷㈰㉢ㅡ昷㌰㠷㜲愱挱扢㍢㡢㥥㈶攵㕢挲㉣㡡㡣愱㉥ㄵ㝣㑣挸㍣〲㘴〸戹戶攳换扥つ㑤㜳㜰捣㝥换摢搰㐷㍢昳㜷㡣昴ㄶ扤戹慦㜷攸㉦扡㐹㉢晡㕥戰㤷晡㘱㐷ㅤ㜳ㅦ㥡㡤㜷㌱扢ㅦ㔹㡢㡥攱改晢㘶㍤〵㘲ㄶ扢㈹捣ㅤ愴搷㐵慣摣愵慤㌵㑢㌴搰㠰扤㘴晡㉢㔶〸て挶戹㔹搸挲㌵摦户慡㌸搴㔶愴㠲攷㤷摢㥢㉢㠳搳㝥捤㘵晤扥㡤ㅣ扣㈵ㄴ㐳㙦慦搶㤳㙢戱㤱㌳㙣捤㤴捦㈹㐵㌹搴挱て㜵ㄶㄲ愹㐱捤攴挵㜱搹攷换㝤㐹搲㠵㈴㜹て挰㙡㍣㠰っ㔲㐲晤㔳㐷㠹㜲㤴摤㝥㑥扡㌵㕢慣昴昰㘵㥣㑥㕡㝣㠸㙤㜲愴㍦㜲搸㑥挳㝦㄰っ扡㡢㡥㕢ㄷㄶ晤敥㠲攵㤷攱㕢㜰慡㔶㌱㜲换㔲搴散换㡡户㠸慣攸改㘹㍢㑦㘷昸搷㠴㑥㕡愴㐴㈶户㘷㌶㘶㥣挵ㅢ㐴㐵㌷㈴㠵㑡㠶㙢愸㉥㠱㐸㜹散扢㉦㘲扡㄰㌱て〲㜰挶㌱㘶ㄳ捣㡥㈳搳扦て㐹戳㕢挰㌳ㅣ搶户㐱㤷㜶愹㤴㉢㄰つ攲㈲㝣戵愳戰㍡挹搷扣㤷搹挳挸㕡捣ㅦ㍡㈰㌳〸㔱㔰㥥㈲㐴〹㘳搸㔷ㅣ敢㍡㘹攰㠰㡤挰搲捣㝡㄰搶㕣㐶㤶〶敤搹摡挵㕡㌸敢〴㙢㠸㐴㡤搸㜱攱㠹㔵换〳㜵昹戰㝤㕡敡㙡㙢㙢㔶挵戰ㄷ㙢敢㄰㙤攷㘶昷挲挱ㅣ攰㠰㉤㈹㘷㜳㑤㈱㜵㜷㍥挶ㄴち㤰ㄶ㝦㉢扤戱扢昲㝥昳搰㌷搴㠰攸㤲ㄳ㔶慤㝥㍢㘲㍡㤶ぢ㌶愰㠸挸㐱愵捦㕥㕡昵㉤㙢㜶搰㍥攳㍢㤵慡攳㔹㐴〶㙣㑣〶敢收慣ㄵ㐴〹ㄶ㙡㡣〱搶扣㐱㝢挹㌷扤㘰捤㘴㐰㜱敢㘰搳㤳㠴㐵㜴㝢摡昱〲扣㐶戰挸昲㤰扤戸㕡扢㡥㠸敤扡敢㥤㌱搷㠲㍤㠱ㄵㄲ㝤㤴〴㌵㑡㔳㥡愶ち㕡愱㕢晣昰㐰㥥换㤱昷㝡㤹〹慥㜲㍡㝤收ㄹ摡㥢㜶㝤ㅣ愳愱㥤捥㌵つ㈰㝡㔴慦散挹㤴挲攴㔴攳㔱㡥㜹ㅦ戲昳㘷㉥㥦㙢㐴收㕥㔷捣㕡愷㤷㍦㐳挶ぢ㔹搴〳㈱昴搱ㅤ㠸㐸㠵㜵愴ㅣ㜰㈰㌰捥愷㔶昲㉢摡搲㠷搴㜷愰㔱㍣㡤㐸搲㠰㍤㘷㉥㕢㔵挴愳㕤㌳㍣㄰㍤搰㡣㜵捤㙡㄰户捤搴㕣搷㈴㘹㤱㉣ㄷ换㈶㈹㜸㙡㍤慣㕤㜰㍣挳㐶㈶昴ㄷ㔷㤹㥢愸㌲㌷愵㙡挰扥挴搰愰㤴㌹㔷㙤挵昴㥤㜰搵㜵捡〵㍥㌰㝣户㈷㘸ㄲ㑣㑥挹㥢愴㐴㘶㡣戶㔸昳㤷㘱戲〵攳㐰昷㌸攴㈸㐱㐷昴㠳㜲㌵㤵挷㍦搵愵㘳〹〲㐶㍣愵挶㉦㘰㌶㕤㙥㐷㐰攴㐸扡㤱摣挱戸昱ㄱ搴㐴㐲㠸㔸捦㈰ㄱ㜸〵㔳㐲㥥㉥敥扣㝤搹㜳㐲㘰㡦ㄸ㍢敤㠴戳〱㔰㡥っ㐵㌹摥ㅥㄱ慣愶〶㡤搵戵挲摤敤㑤㑤㙡攲慥昶昶戴摥㜸攷㌶捤㤱㐶㐹㈹㤲㥤㍡㠹㘶搹㘶㡤㝢㐹搵㈸㔱摣㠹戶㔱㔹㙥搳〶摣㈹㐵㕥㠷㘲ㄲ㥡挹ㄹ扦㈸㠴㠲㐰㙦慣愳攸戳捦㈶㡦㔴挴㠶㌶㐰㤱㝡㉡慡ㅢ㡣㐳㠲攷㜰敤愴㘲ㄵ攳㈷昰昷㠱戸㌸扦ㅥ㌶戵㤸㥢㈳㜱换㔴戵㍡敦挱㑡㈸㥢㝥㘵㡦戰㌴昶ㄶ㘹ㄸ攱捥㙥戵㝦〴摥ㄴ㈳挶㙣挸戰㐸㠶ㅦㄸ㙣〸收㑡㐵㔴㘹㥤つㄲ搴昵敡〲㥦㉥㔸愶㈷ㄸ㔸っ㉢戳搶㠶㤸㘱つ㑢㝥㐴〶搴㑦㡢㈲㐷つ㝢㙡㌹㠰㑡て㈹挷攳㤲㌰戸㘱㕦愲㕢ち㤷ㄸ㈰㜶攳搲㐲㌹㐴㘸户㍥〱㑦〶㝢〷㍢㠰㐸ㄴ㍡愱㜵㐶〹㥡捦㈰摣收㑤㤰㜷扡挴㈸〴愹㉤改扦㈷搵ㄷ扦挰昴戵挹㕣㔲㠸㤹㠸攱慥っ敢〱挸㑤㐷㈶挹㐵㈳㐹挰㍣㤲㙣㈲戴〶㤲㍡㥡ㄸ㠳㌴昹晣㄰户㜸ㄸ换ㅡ㈲摢㔴㜱捦㉤㜴愰㑤慢㕢〷散㜳㕥戹扡㕥戱㐴ㄵ㈷戲㕡㌴昲㥥挰㤷㕣〱㡣戸㈹〳㉥㌱㔰捥攱㈸挵㉤ㄳ㐹摤摢摤挶㈴㠶㡢㤰挳ㅣ㤱敡㘳〰㌲挳㉤㈷〱戱戶㝢ち戴てて㌶㉥㌰挸攵㌹㠸戴戶㉡捡戲㌹摣挷慢㐷㤱㠵摢㔲摤收㙡㜳㌵摡散愹慡戳㑥㔴戵㈷㜰㠴㝤㐶〲㉦㥦㠷㌱搲㈵㜷㜰㤲摣㡤㌸扡㝢攳㈳昲㤸扢〱㔴〸〶ㄴ㘳扣㍣〵攵〰㔵㌰ㄲつ㙥慤㘱㜵㉢㐶㝦㘹㜹ㅢ㔳挸ㄴ挳挰㌴㘸搱㌳㌲㜰㘶㔰摥搹挰戹ㅢ扤㌲㈲愴改㘰㉡㘳㤴㈳㜰搸〳㘹攰㈶ㅥ愴㤷㙡㔰㐲攱㈱戹ㄸ㤶摣㑤ㅣ㜳㜱〴慡昹户戵㔴㉥㤸㈱慥扦㜸㠷㕢慡愷㉡ㄵ㥡扢昰捦敤〹慣攲敡㐶㘴㡥ㅥ㙡戹㤴㈵㝢愲㝤㜷㙦㑢㐳㝣㔹昰昸散昸㔹㌳㉣慦㉥㠶㕢搱挵慤㙥㐹㐲晦㉥晣ㄱ摢扥㥤㌶㜳慦挷㡢愸ㅢ㠴㝤昱㥡㔷扢敥挹扡昴㠰户晥㐰㈱戸㐲搹挷㐵ㄶ㜳㍦挵㍦㐹㕡㑥晦ぢ捣戸㥢㘵㜳㠲㠶㠳㠴昳㐸㡡愴挱㈸捡ㄹ㜴〲摢扤㝥㙢㠰㜴㜲愸㠵㑥㐴㄰散ㄳ㡡户昲㠶ㄱ㡡晡㜳愰㤵挴ㄲㅤ挹〱昳㤷挱晡敡㍢愸㈱挲昱ㅣ㡢ㄱ晤ㅤ㈸㘵愰㑥〴㜹㝣挵㠳ㄷ㐲㝥㜶戰㤴㜰昳戶散昴㝦挰捣敡摢慤㈸扡㡢㈸晡戳㌶ㄴ㈹㕥〳ㄱ晥㍤ㅦㄷ昸愰㌳㍣㝢㔳㠱㜰敥㘹晦〰晡愶㕦昸晤㝦㍣㠰捥〱挳㑣㘲愳㈱搴㜶ㅦ捡㜵ㄳ愱愷捤㐴㘰昰㕥㑣㠴ぢㅣ挳㈸㝥㘴㈲挴㍥㤰㜹㔴散㙣㈲㌰戶㤷㘱〸愶㐲慤㈹户〶㑦㘰户戹昴㡦㥤挵挵㕢㉢㐰㍣ㅦ㑡㉢㤸㠱㐷敡昶昶敡〵搳㌷摤挳㔲㝦挶户愰捣晣㈵摣攴㤶㈱ㅣ㜱㘴摢ㄶㄹ戴㡤慦㈲昱戲敦晢㔳㜶㜷㝦ㅤ㤸㡡㔲攴扥㔷〵㤵㝦ㅤ㥥ㄲ挵㜳㐳敥㤷て㝤晤捣扦㍥昳晣㈴㙦慢挵戴慡㍦㠰㜲㌷㈱㝢摡ㄳ〸敡愶㉥㡡摣捡て㜳㉥攰ㄳ㈵㘷慤㙡㑤㥢扥㔸㐱㠱攱㈶挵㠸昰㔲㠴ㄹㄱ摦㕥㌰㌱㜱敦㈱㌲㌱挷㕢摣㥤昲㘱㤳戸〸挷㔳ぢㄷ㥦㕥ㄲ㌶㔴ㅤㄵ㔹㤷搶愶晥㑤愸愲㥢㕣㐸戳㤵挸㔳㈷㤳㔲摦㘸搵㜵㈷愹敢愲㠳っ挳晥㠹㤴㐲晣㠱ㄴ㤲㍥挸昰㐲㠰㐸愹㑢㈸攸て㈲换㠸慣戵㠶㜸改て搸ㄷ〲㔶晤搲㕦㤷ㅦ戱〰㡡挰㘲攲㡢敦昶㐴㑢㕢㌴㔱㑤っ搵㡡㑤戳㠸㠲ㅣ㕥㔸㌱㤱搴㉥愱㤰㈴晤㌸㑡扢㜶㐷昱㈵㠳㙥ㄴ㜸㡢ㄸ㕢㜷改㙢㉢扡㡦㜹敢戸昹〱㍤㤳ㄷ㠵攱ㅤ㘴㌵づ愴ㄲ愳㡢扡ㄶ愳㉡收㐳㔱戱㍥愸㍦㙥㠲捥昲づ攳㔴㡡攰ㅦ扦ㄴ㘲晢㔸㘳敡㕢㕢㕢愸攳扣㍥㙣㤰㍦搸㕦㜷㘵㌰㌶摥㑡㡥㠱㠴摤㔵慦㐲㜴㍤晣㌲㠶㜰搳㌹㘵㌴㡡昲慣㑥攲㑦挲㔹㍤㕡㥢晥㘷昴㕡㌸敢ち㐷㌳㡣摤愴晦㍦㠰㡡ㅤ昵扦㘲散㑤㄰昹挱戸㈰挶㈹攳㈷㍢㠶㙣〸ㄱ㜸戶ㄱ扣㤱㠳戱㈱㐵㠶扣愳搲㈲㍥㕥㡤㥡㐵㠲挳敦搵摢㝡㌵愲㍥㤶戶㙤㝦㐷〱挸搸㤰晥㌲㐴㔰挷昱捤㜲㉢㌹摤收㥦挴挰㐳ㄷ㥣戲㕦ぢ㙡㜶㌸扡㠸愰敦㈸扦㍤戳㘱昳㑣愹慦戴ち戵㝢〱㠹㠱て㘳捣挵㜹〸散㡢㔶昸㐶挵㈲ㄹ㔹搸㕤㈴㠳摦㈱つ愷挲㑢搴づ挱㉤昶攳敢㘶ㄵ㥦慥捥挳搷ㄹ戲㙡㑦㈸扢挸攳摣㝡㐳㠳愰挳ㅤ慤昷挳ㅦ㘴㔵挷ㄱㅣ㤳㉤㍣昹㘱挲戵ㄵ〶捤㝤攳扤〵散搹㥤捦慤愸扦〴㥣敥敥㉤捤㈴挳㜷昲㡢攴愲㔱㘲㡥㑢晢㤳昸扢㝢〷㉤㘷ㅢ〱㥤挷ㅦ㜴搳ㄱ㌶㔶㠵晢㙣ㄷ搱敦慢ㄸ慡愶㤸攱㘷㤸㜱㠱㡢㔱昴昲㤱ㄵ搵㤷戰㉤㌲〰捡戹㝣ㄹ㔹㘷慡㝥㘱㍢慡ㅥ㍥㡦㌱攴㔷挳㐲㌶搸愳㜸搴㈰㔵ㄶ搵ㄷ搱㥦㔰㡢㜶扦挲㍡ㅣ㍤攴㐸㠱戲㤱㤶攴㡡㐷ち㔹捦攷㌱愰扥㥥愷㔰摢㜹㍤㥦摢㙥㍤㡡挶㠰散㌷㍤晦㜰愲㑣っ㤷慦昶㤸搵㤸慤㈱ㅢ㑥㝡づ㔱㑣㜲㉦昹㈸搴昰ㅤ㘲ち改ㅦ攲扦慦㑤㝥晦㔵愶晦㥡㔴㈲ㄸ搱搴扣ぢち㐶搹挵愷搲扢〸㔰摢㜹ㄷ㥦搸㙥ㄷ挳㤴㤹〲搵㜵ㄴ〰搵ㄲ晥挸慥㌶㔰㈰㐰昹㔳㔷㤹攱搷戴㡡㘱㈲㕡挶㙥愲㌰搸愳ㄳ㌱㍦摦㔹扢搰㜸㑣㍥㠵㐵㜰愰改㥢搷挷昰つ敢ㄶ愳摤㍤昸㠴㕦ㄷ㔵搸慢扤慦扢戹ㄲ㜳㤴㥡㑣晦㌸㜶晤㍡收攱愶ㅢ㍥㐷捥㜸〴扦〲㠲㄰㈴㌳〱挹㌳㈸㈴㠰搲㠹昵㡣㉦㥢挴㌸攴㉤㔰㍡戲昲㤱㈷㍡ㅦ㤹〴〵㌷㜶㐱敦〹挱㠸㉤昱㔳攱㡥晡㉣摦攵昵〶昵戱㠴ち捦㥥㑤㍥ㅢ搳攲㠰ㅢ戸㈰㌲挷挹㌵〴愴㝡㍥改晣慤㔷ㅡ晥㘲㌴㈰㠱㔵愲捥攴㉥改晣慢㐹攷攳昸㈴㑤晡攴㐸㔰㑣慦㈵㥤挹㠵搲昹愳㐹攷晦㍣㝥戸摥㌹㘱扡㘸㘶㥤ㅣ㤱㘱攸换搱㈷昵㜹晡㄰扡敢㌶㡤㠷㝥㍢慡㈶㈱㑡摣扣㉡收挳〰㙥挲昸昸㐰㝣づㄷ扢㜰晦〵ㅡ㈶晡晦㐴㥣挳㠵慦㔹㌳㌴昱晤昷〶㈲敤扥㈱㑦ㅣ㥣户攷㝤㔴昴搹攷〲ㅣ㈸㉢㝢㡡㐴㘰ぢ昵㐶昰摤㈱㈲㤱㘱㌷㌷攰㤱㐴〸㌵㕥愰改㑥㜳㑡㔴愹㔷㍤㤷㘰㌶昷㕣㠳㘶㡣㕦〱㜲愰ㄳ㤰戳㘰㝣ㄴ㜹ㄴ㠵㍡挴㡡㘱ち㍢㤱㘴捦戳攱㘳捣㝥つ㔹㔱㔱戲㤱づ昲ㅦ㐷㌶㤴晣㕦㍡㐶㌷挴㔹愴愹捤攴㘵晦昸慤攷敡㘴㘴晣㍡〷晣〶戲ㅥ昸慥㤵〰〹㌷㌲㡣摦㐴㑤晡愵ㄴㅣ昲搲㑦戲攱㔳捣㝥ぢ㔹㔱攷㘲㜷つ㌵敥愹㑢戵晤摢ㄸ慡〸ち捥㘱㝣㍡㉥昰㐱ㄱづㄴ攷捡挳づ㈹㐳愹㙤ち㕡㕥ㄱ㌶搲攰挶つ愷愴㐱㈹挲㑢ㅡ慡㜱挳㈴㉡㡣捦㈱㔳㠴〷昷㘴晣づ㥦〸〶㜹攱攷㔱㈰㜰昸㔳㠴㠱っ㕦㙤㜹㈱攱㈲つ㉢㉤㉦㈴慣愴挱㑥扦昰㜷㌹㤹㙣っ㠵㘶㜵挵つち扣㝦て㠵挱㥥㈱慥敤〹晣戴㑤㔵扥㕡戹㝡昵挷㐳扤愳㐷㝡㍦昰㑢〳㕦㜸敤敦㝦昴㤹ㅦ㝣攸搴㝦晣攴㠵ㄷ㝥昰㙦㥦㜹昵㈷摦㕤㍥昵户㉦扤昴㌷攷扦晣敡㡦づ摡㉦㙡慦晣㜸敥挵㘷㈷慥㍤晢戴㝤昹㠱㌳捦㝥昰愹挷㈷ㄶ㙥ㄹ敢改改敢扢㝦攴敦敥㜸昷昰㜳㑦㝦㕢晤昵㍦摦敥㈹搹㉥㕥㘰㝣㠹㙦㠹㝦挳摣戶㉣攳换㙣㝡ㄱ搹愰㌶挴㘵扦愹㙢攱㥥〵㕡愵ㄸ㕡搳愸㈸愸摣㌰搷㈶换㜹〹〵攳昷㤱つ㙡㡡㑢㤳摥ㅦ㙡敥慤㕥㑣ㅡ㥥㡣ㅢ㠶㔱㘱扣㡣㑣攷昸㡣晢戰つ㕥愷敥㌳攴㐴㑣慥㙦㍦ㄵ摦ㄲ摦ㅣㄸ慢昷㌹㔸慦愹ㅦ㠶て搴慢攴㝣㝢戳攷㘱散㤸㥢捥摤搳搹挴攰㘹㍢ㄱ㑢〵戵敢㡥昱㤹昸慢㥣ㅤ㐹ㄹ昵㤲㍣㉡㐲㔸㐰晤〷㈸㠸㜱㘵搴㑢昲愸〸㑤㘱㤷慦愱愰㜳昸㉥㕥㑥㡥敡㔲っ晣㈱㠶㉡慥㠱慦㌲晥㠸㑦㝣戳昰攸ㅦ愳挰愴攳愷愴㈳ち挶㥦戰㉡㑥㑡〶攰挱昸㍡㌲づ攲㙦㌸ㄹ㌸㥣昴ㅤ㘶戳㄰摡㌷㔰㠰戵挸㍦ㄹ昴ㄲ㕤㠱㈲ㄲ㡡散摦攴㈴昹ㄹ昷愷㝣ㄳㅢ㉥㙡挸㤴搱㈸捡昳㄰㥦〹摦㍣㝥㐸㌷㈶晢晦ㄷ慦ㄹ慣搱</t>
  </si>
  <si>
    <t>㜸〱敤㕣㕤㙣ㅣ搷㜵摥扢攴㉣㜷㤶愴㐸㡢戲㘴㈹㡥捤搸㜱晣㐳㤵ㄶ㘵㉢戶㤳慡㉣㝦㑣㐹づ㈵搲㈲㈵㍢㐸㠳搵㜰㜷㠶ㅣ㘹㘷㤶㥥㤹愵㐴搷㐰摣搴㘹搰扦戴〹㤰〴㐹㕣挷㜵ㄳㄷ〹㤰戶㜹愸㘳㈷㙥㡢〲〵㕡ㄴ㑥㔱愰改㐳㠱㍥戸㐱㤱㍥戴㈸〴昴㈵て〶搲敦㍢㌳戳㍢扢换ㅤ㔲㙢扢愵〳㡥扣㠷㜷捥晤㤹戹攷㥥扦㝢捥ㅤ㘷㔴㈶㤳昹ㄹ㉥晥攵搵换挲慤㑢㥢㝥㘰㍡攳㌳搵㑡挵㉣〵㜶搵昵挷愷㍣捦搸㥣户晤愰〷つ㜲㐵ㅢ昵扥㔶昴敤愷捤㝣㜱挳昴㝣㌴搲㌲㤹㝣㕥捦愲㥥㠳昰㌷ㅣ摦攸散㌵搰ぢ戰㍣㌳扤戰㜲ㄹ愳㉥〵㔵捦㍣㍡㝡㌱散㝢㜲㘲㘲㝣㘲晣挱㠷㈶㍥㍣㝥散攸攸㑣慤ㄲ搴㍣昳愴㙢搶〲捦愸ㅣㅤ㕤慣慤㔴散搲挷捣捤攵敡ㄵ搳㍤㘹慥ㅣ㝢㘰挵㜸昰攱㠹〷㑦㥣戰ㅥ㜹攴攱〱㍣㍡㜳㙥㘶㝡搱㌳㉤晦ㅤㅡ㔳攳㉢㍦㌸㙢㤶㙣捥捤㌴㍤摢㕤ㅤ㥦㤹挶㝦㠹昷挷摤㐳攳㑢㙢愶ㄹ昰搱愶㘷扡㈵搳搷搱戱摦㤹昲晤㥡戳㑥攲改捥ㅣ愶㕡㌲晣㐰㜳㘶捣㑡㐵㜷攲㔱昳捥〲㘸㔷㌱㌶〷㥣㈵搳昵敤挰摥戰㠳捤㥣戳㡣㠱捡㠳捥〵摦㍣㙦戸慢收㌹挳㌱㌵攷㔴捤㉥昷㠶㔷愶攷敥㜸㠸攴㡢挹昴挷愷㝣㘷㘶捤昰攴㡤㝣ㄲ㈶愵敤㥣㔷㙡㙥㝢㘷攷㜱昹敡昲〴㡥㜹㔷攷㜶愸戹㘸㜸昵㤶㘳㥤㕢㐶㤳㙦㝥㠳晢㍢户㑦搰愸戹捦扤㥤晢〸㈹㥢㕢慢晥㠸扦㠵愲㤸㡣㥥㈳攸㈳挸ㄳ㜰〱昵〲㐱㍦挱〰㠰敡晤ㅦ㐸㐹戲㈳慢戲㐵㈳㕢㕣挹ㄶ㑢搹㘲㌹㕢㌴戳㐵㉢㕢㕣捤ㄶ搷戲㐵㍢㕢扣㥣㉤㕥㐱㥢昸捡昷昵㘵愳敢攱㈷扦愴扦㜵晤攰摣㕦捤扣昶搱ㄷ㝥昲て㤷〷昶愱搱攳搱㑢捤㝡挶㔵戰㕡㠳㡢㡦㡦ㅦ攳扦敤愵〲㐲㘱㥤戰ㅥ戲㈶㈶捡㈷㡥ㄹてㄸㅡ愷㤵戲昸㑤㡣㌲㡣戶〳搶ㄳ戶㕢慥㕥㤵戵扢㜵摡昰捤〶攱挶愲扡改㙡捤㉤晢敦摢扡㜲㈹㌰〲昳㐸㙢㕤㘳㤰戶㙥㑢㄰㉢搳㤷攷摤搶摡敤愲㔱愹㤹㔳搷散戰晡晤㉤搵捥愲㔷㕤改㕣㍢攷㤹㑦搵㙢摢摥㘸ち㑡㙤㐳挶㙥㥢㘵㔸ㄵ扥搷攸捣㕡搵㌷㕤㜹扤㌱㘷搱㉥㕤㌱扤㈵㤳㉡搱㉣换㔴㙦㘶㔵㈴昵㘳ぢ㉥㈶ち㘹㉤摦㤱挴㕡㡦㕥ぢ㈰捣㘶ㄹ敦扢㙥㝡挱收戲戱㔲㌱て㌶㌵〹㥦㠹㡡挳㑤攸戹㙡愹收捦㔴摤挰慢㔶㥡㙢愶捡ㅢ〶㌴㑤昹㙣戵㙣昶昶㘶㐴㈹㐰攱昶昴㈸㤵戹慦戳㉣挸㐲㈴㤶㤸㠲㝣㑢㌳摢㡤㥦挷散㌰㡢㡡㐹㥥捣㝥㜰㥢挱昸扥愲㘳㔲㈴㌰㌱㈷摡て㍥昴㥥㙤㠶慤慦摣扢摢㌸㥢ㅤ㠹㘶晦攸㠶改〶愷つ户㕣㌱扤㔴敢愷昸㐶晡㄰㠰㜶ㅤち愱㈳昵㘸敡搴㌵戵愹㕤戵换挱㕡㙥捤戴㔷搷〲攰㘰㈱昳㜹㤲戶敤搲㙦〲㑡摦㑦㌰〲㔰㈸㘴㜲〷搸㈸㔷挰㤵搱愸㥤㔲㘴戹㐹㤱戳㕦㤳㉣て㔸㜳㜶㈵㌰㐳愵㍣㘴㘱㐵㐲慢㈶换㌷㐸ㄶ昵㡣㔲㘸㌰づ㔸㌳攰㔲挳㜶㠳捤㠶摣戶㐹㐹挸㐴㝢扡㘰搷改〲慡㠲㘶㝤㤰㈲㙢㘰㥡ㄶ㙤㤰摥㌸挱㐴ㄴ㠳ㄴ换㡥㤱㥢㤹㡣敤㔳㜴〴摡㈷㤹㤰慤㡦㜵搶ㄱ㘴昶㜶㈶㘵愷㡥昲戸愷捤戶昲攵㐳㙤㜶㌳〸愷ㅦ㈴㌸㐴㜰ぢ挱㘱〰昵ㄳ㘸㌸㙡㌹㤴㥢㉦晤㝤戸搷㙦㈵㜸㍦〰昴㤳㑥㥤ㄳ愹㉡晡㔰㍢昱㈳搹㙥㄰㝥戲㌸挵愱㉡愲㘷㕣昷㌳〷ㅤ㔹攸挸敢摣ㅤ戶戶㔷㙣散㠷㍡昳㘶㜲㍡攴挸㤴愶挹戹㙥搳㌴㐹〸㌶敤搲㙥摤㡥慥晡㈸挱〷〰ち晡ㅤ㠴㌰㉥㜴㜸㜷收搱搳愵㝣㑦戸㐵愱㌳搴愵㠱㡦ㄸ㤹㕢㠰ㄴ㈵搷戶㝤搹昳愱改づ㡥㔹敦㜹ㅦ晡㘸㘷昹㡥ㄶ扤挵㙥敥搹ㅤ挶㡢㙥搰㡢扥ㄳ攲愵晥戵愳㡤戹ぢ搵晡㠷〸敥〶㘸戱㌱摣㝤摦㘸愴㐰摣㘲㈷戱㜲晢ㄹ㜵ㄱ㉦㜷㜹㜳摤ㄴぢ㌴㘰㉤ㅢ摥慡ㄹ㈰㠲㜱㘶ㄶ扥㜰搵昳捣ち㌶戵㘵㐱㜰晦㜲愸ㄹ改捦㜹㔵㠷昸㍤ㅦ搹㝦㑦ㄸ㠶摥摥㙣㑦愶挵㐷㑥昱㌵ㄳ㌱愷〴攷搰〶㍦搰㔹㐹㈴㍡㌵戳ㄷ晢愵敦㉦昷㌴㐹ㄷ㥡攴㕥㤰㔵扦て〰㕡㐲晤㜳㐷㡤㜲㤴捤㝥㐱㥡㌵㝢慣㡣昰愵散㑥㕡㘲㠸㙤㝡愴㍦っ搸㑥㈳㝥攰て㍡㑢戶㔳㔷ㄶ晤捥愲改㤵㄰㕢戰㉢㘶㈱っ换㔲搵散改㡡昷㠸慥攸改㘹摢㑦愷挴搷㠴㑦㕡戴㐴慡戴愷㔶愶散挵ㅢ㑣挵㌰㈴㤵㑡㑡㘸愸慥㠱挸㜹㙣扢愷㘲扡㔰㌱昷㠳㜰晡㌱㠲〹㠲攳〰摡て愱㘹㜶㑡㜸愶挳晡㌶ㄸ搲㉥ㄶ㌳㜹㉥㠳㠴〸摦攸愸慣㑥昰㌱ㅦ㈶㜸〸愰挵晤㘱〰㌲㠵ㄱ㘵挹ㄳ㡣㈸㘹っ敢愲㙤㕥㈵て散戳㤰㔸㥡愹昹㐱搵㘱㘶㘹搰㥡慤㥥慢〶戳戶扦㡥㑣搴㠸ㄵㄵ㥥㔸㌳㕤㜰㤷〷摦愷〵㔷㕤㕦㌷换扡戵㔴慤㐱戵㥤㤹摤つㅢ㜳㤰〳扥愴散捤戳ち㔷㜷晢㘳っ愱㐰㘹㠹户㌲ㅡ扢愳攸㌷㌷㝤㐳つ㡡㉥摢㐱挵散户㐲愱㘳㌹㙦㠱㡡挸ㅣ㤴晢慣攵㌵捦㌴㘷〷慤㔳㥥㕤慥搸慥挹挵㠰㡦挹㘴摤扣戹㡡㉣挱㘲㤵㌹挰慡㍢㘸㉤㝢㠶敢慦ㅢ㑣㈸㙥敥㙦扡㤳戴㠸㘶㑤摢慥㡦挷挸㉡戲㍣㘴㉤慤㔵慦㈲㘳㕢㜳摣㔳挶扡扦㉢㔶㠵㑣ㅦ㕥戲㌴㉡慢戲㔹㤵捦收扢㕤ㅦ㙥挸㌳ㄹ捡㕥㉦㠱慣㔵㐶㘳捣㍣挵㝡搳慦㡦㜲㌴昴搳昹㑥〳挸ㅥ搵㤱㍤愹㕡㤸㤲慡㍦挲㍥ㅦ〱㜸散搴㠵㌳㡤捣摣摢捡㔹㙢㡣昲愷攸㜸㘱㡢㝡㈲㠴㌱扡㝤㈱慢㄰㐷捥㠱〴㘲挵㜹搷捡㝥〵㑢摡㤰晢昶㌵㡡㜳挸㈴つ㔸昳挶㡡㔹㐱㍥摡㌱㠲㝤攱つ摤㔸挷愸昸㔱摤㑣搵㜱っ戲ㄶ搹㜲愹㘴㤰㠳愷㙡㐱昵慣敤敡ㄶ㠰昰㕦㠴㌲慥〱㘵㕣ㄳ搴㠰㜵㥥愹㐱㈹㜳慣敡慡攱搹挱㥡㘳㤷昲扣㘱晡㙥㔷昰㈴㠴㥣㥡㌷扥㘲㥤㌱摡攲捤㕦㠰换收㡦㘳戹挷愱㐷㐹㍡㉥㍦㌸㌷慢㜲昸愷扡っ㉣㐱挱㐸愴㔴晦㐵㡣愶挹改〸愸ㅣ戹慥挷㘷㌰慥㝦ち㤸㔰〹㜱搵㔳㔸〴㔱挱㠴㤲㘷㠸㍢㘷㕤㜰敤〰慢挷ㄵ㥢戳㠳㔹ㅦ㑢づ㠰愲㙣㙦㡦挸慡㈶㍡㡤搵慤挲敤敤㔵㑤㘶攲戶昶晡愴摤昸攰ㄶ搵愱㐵㐹ㄸ㤲敤ㅡ㠹㘵搹攲ㅤ㜷㤳愹㔱㘲戸㘳㙢愳搲挲愶つ扡㔳㡢扣つ挳㈴㍣㤳搱㝦㐹ㄸ〵㠹摥挸㐶㌱㘶㥦捥ㅥ㠹㡣つ㝤㠰〲敤㔴㠸ㅢ㡣㔲㠲㘷㜰散愴㙣ㄶ愲㍢挸昷扥愸戸㔰ぢ㥡㙡㡣㙢㈳㔱捤㔴愵戲攰挲㑢㈸ㄹ㕥㜹㤷㠸㌴收ㄶ㕡ㄸ㤱捥㙥慤㝦㐸摥㠴㈰㐶㘲挸戴㐸㑡ㅣㄸ㘲〸攱㑡㘴㔴改㥤つ㤲搴㜵㜴㥥㜷㘷㑤挳㤵ㄵ㔸ち捡戳收㠶戸㘱つ㑦㝥㐴㍡搴㜷㡢愲㐷㜵㙢㙡挵㠷㐹て愸挷愳㤲〸戸㙥㥤㘷㔸ち㠷ㄸ愰㜶愳搲㘲㈹㐰㙡户㍥〰㜷〶扢㘷㜵㐰㤱㌰㜵㐲敦㡣ㅡ㌴㤷挲戸捤㤳愰散㜴戹愲㔰愴㤶㕣晦㍤愹扥晡ㄵ㕥摦㥡捣挴㠵㐸㠸㤸敥㑡昱ㅥ戰戸挹捣㈴愵㘸㈴㑥㤸㠷㥡㑤㤴搶㐰㡣愳㡢㌱㐸㤷捦ぢ㜰㡡㠷戹慣㈱㡡㑤〵攷摣〲ㅢ搶戴戲戹捦㍡攳㤶㉡戵戲㈹愶㌸搶搵㘲㤱㜷挵㝡挹ㄱ挰㔰㥡㔲攸ㄲㄱ攵っ戶㔲㥣㌲ㄷ愹㝢扦㕢㥦㐴㜷㔱㜲ㄸ㈳㌴㝤㑣㐰愶㠴攵㈴㈱搶㜶㑥㠱晥攱晥挶〱〶㌹㍣〷㤵搶㠶愲㉥㥢挷㜹扣㝡ㄶ㔹愴㉤搱㙣扥㍡㕦愵捦㥥㐰㥤戶㐳搴慥㔸㈳捣㌳㔴㜸戹ㅣ㥣㤱㉥愵㠳㠳㘴慥㐷搹摤敢㥦㤲摢捣㜵㉣㠵慣㠰㘲㡥㤷扢愰っ愸ち㐱愲挳㥤㙤㜸摤㡡搹㕦㝡摥晡ㄴ㠰㘲ㅡ㤸づ㉤㕡㠶づ捥っ捡摢㍢㌸户愳㔵㑡㠶㌴㤹㑣㘵㡥㜲〴〱㝢㉣ㅡ愴㠹ㅢ改攵㉡㡣㔰㜰㐰づ㠶挵㘷ㄳ挷ㅣ㙣㠱慡摥挱ㄶ攴愲ㄱ攰昸㡢㝢戸〵㍤㔵㉥搳摤㐵㝣㙥㔷慣㉡㡥㙥㠴敥攸㠱㤶㐳㔹㌲㈷晡㜷㜷戶㔴㐴㠷〵㡦捦㡥㥦㌶㠲搲摡㔲戰ㄹㅥ摣敡㤶㈵戴搷ㄱ㡦搸昲改昴㤹㝢㕤ㅥ㐴摤㈰敤ぢ㔷摣敡㔵㔷摥㑢昳㜹敡てㅣ㠲㈳㤴㝤㝣挹㐲收㘷昸㈷㔷㌶愳晤〰㈳敥攴戵㌹㐰㈳㐰挲㜱攴ち戵挱㈸捡㈹㝣〲摦扤㝥㙡㠰㝣㜲愰㠵㑦㐴ㄱ散㌱㡡扢晡㡥㌱㡡晡㍥㤶㤵捣ㄲ㙥挹㐱昳㤷㈱晡敡㌵㘰戸攰戸㡦搴㠸昶〱㤴㔲㤶㑥ㄴ㜹㜴挴㠳〷㐲㝥㝥㔶㈹㤶收㉤挵改晦㐰㤸搵慢慤㑢㜴ㅢ㤷攸㝢㙤㑢愴㜸っ㐴攴昷戱愸挰ㅢ㡤改搹ㅢ㑡㠴㜳㑥㝢ㅢ搰㜷晤挰敦晦攳〶㜴ㅥ㉢捣㑢㝣㌴愴摡敥㐲戹敥㈲昴戴戹〸㑣摥㡢㡢㜰㤶㝤㤸挵て㕤㠴㈸〶戲〰挴昶㉥〲㜳㝢㈹㡥㘰㈲搵㥡〸㙢㜰〷㜶搰㘱㝣散㌴づ摥㥡㍥昲昹㌰㕡晥っ㈲㔲㠷摡搱㡢㠶㘷㌸㠷〵㝦捡㌳㘱捣扣㘵㥣攴㤶㉥散㜱㘴换ㅡ改戴㐵慣㈲㡥戲敦挵㔳㜶㜶㝥ㅤ㉢ㄵ㕥㘱昸㕥攵㔵敥㙤㐴㑡ㄴ昷つ㤹㕦㍤昰㈷愷晥敤改攷㈶㜹㕡㉤攲㔵敤㍥㤴扢㐹搹搳㥦㐰㔲㌷㜱㔰攴㘶㝥㤸㜳ㄶ㥦㈸搹敢ㄵ㜳摡昰挴ぢ昲㜵㈷㉥㠶㡣㤷㘰捣㤰昹㜶㠳㡢㠹㜳て愱㡢㌹摥ㄲ敥㤴て㥢㈴㐴㌸㥥㜸㜱㠹改挵㘹㐳搵搱㤰㜵改㙤㙡㝦〶㔳㜴㠳㉦搲散㈵㜲搷挹㑢愹㍦㙤戵㜵㈷㘸敢挲㡤っ搳晥戱㤶㐲晥㠱ㅣ㤲摣挸昰㐰㠰㘸愹昳㈸㘸昷〳愴㘴搶㕡㔳扣㡣〷散㈹〱戳㝥攸慦换㡦㔸㐰㐵慣㘲ㅣ㡢敦㜶㐷㑢㕦㌴㌶㑤㑣搵㡡㑦戳㠴㠲㙣㕥㠸㤸㠸戱换㈸挴㤷㜶ㅣ愵ㅤ㠷愳昸㤰㐱㈷㑣扣㠵㠲慤㌹㡣戵ㄵ㥣㐷摤ㅡ㑥㝥挰捥攴挴㘰戸晢㠹挶㠶㔴㜲㜴㘱搳㐲㠸㈲ㅣち㡢昵㑥晤㔱ㄵ㙣㤶㝢ㄸ扢㔲㈴晦昸愵㄰敢挷ㅡ㐳摦摣㕡㐳ㅢ攷昶㘱㠲晣挱晦扡㉤㐵戰昱㔴㑡っ㌴散㡥㕡攵挳攳攱ㄷ搰㠵㤳捥㈸扤㔱㤴㝢㜵〲㝦㘲挹敡挹戶搹㝦㘶慦㐵戲㉥戲㌷搳搸㑤昶晦㐹㈰戶戵晦㡡戹㌷㔹挸㡦㐷〵㜱㑥㤹㍦搹㌶㘵㐳㡡㈰戲㡤攴㡤㙣㡣㜵㈹㌲攵ㅤ㤶㤶昰昱㙡㔸㉤ㅡㅣ㜱慦摥搶愳ㄱ昵扥昴㙤晢㍢㉡㐰收㠶戴㤷愱㠲㍡昶㙦搶㕢昱敥㌶昷〹㜴㍣㜰搶㉥㜹㔵扦㙡〵愳㑢㐸晡㡥昲摢㌳ぢ㍥捦㤴晡㐶慢㔲扢ㄳ㤴ㄸ昸㈴晡㥣㕢㠰挲㍥㘷〶敦㔴㉥㤲㤹㠵㥤㘵㌲昸ㅤ搲㜰㈲扤㐴敢攰摦㘴㍤㕥㌳㉡昸㜴㜵〱戱捥㠰愸㕤㘱散挲㠸㜳敢〹つ㤲づ㘷戴㍥㠶㜸㤰㔹ㄹ㐷㜲㑣愶昰㠹㑦㤲慥慤㌴㘸㙥ㅢ捤捤㘷换敥㘲㙥〵敤㈵慣改捥㥥搲捣㌲㝣㈶扦㐸㉥攸㐵㐲ㅣ摡㥦挴摦㥤〷㘸㌹摡〸昸㍣晡愰㥢㠱戰戱ち挲㘷㍢挸㝥㕦㐲㔷㌵㐵㠰㥦㙥㐴〵㠹昸㌲捡㐷㔱㔴㉦㘰㕡ㄴ〰㤴㌳戹ㄲ㐰㘷慥㝥㝥㉢慥ㅥ㝥っ㝤㈸慦扡〹㌰搸愳戸搵㈰㔷ㄶ搴㔷搱㥥㔴ぢ㘷扦㑡ㅣ戶ㅥ戲愵㐰㔹㑦㙡㜲挵㉤㠵扣捦㤷搱愱晥㍥㤷㠱敤晣㍥㕦摣敡㝤ㄴ㥤〱㤹㙦㜲晣攱搸㤸攸づㅦ敤ㄲ㔴〹搶〱㠶攳㤶㐳㔴㤳㥣㑢㉥㑣㌵扣挶㤵挲昵㡦搱摦㌷㈷㝦昸〶慦晦㥡㔴愲ㄸ㔱搵㍣ぢ㉡㐶㤹挵攷㤲戳昰㠱敤㍣㡢摦搹㙡ㄶ挳搴㤹㐲搵ㅡち愰㙡ㄱ㝦㘴㔶ㅢ㈸㤰愰晣愹㑢〴昸㌵扤挵㌰ㄷ㕡晡㕥㐳㘱戰㐷攳挲㝣戴戳㜵愱昳ㄸ㝦ち㡢攴㐰搳㌷慦㡦攲ㅢ搶㑤㘶扢㝢昰〹扦㈶愶戰㌷晢㤱敥挶㡡摤㔱昲㥦昶㔹捣晡㙤㡣挳㐹㌷㘲㡥ㅣ昱〸㝥㜹㈴㈱挸㘶㐲㤲愷㔱㠸〹愵㜱搵㔳扥㙣ㄲ攷㤰愷㐰ㄹ挸捡㠵㤱攸㕣攸ㄲ攴㥤㈸〴扤㉢ㄴ㈳愶挴㑦㠵㍢摡戳㕣㤷挷ㅢ搴㘷㘲㉥㍣㝤㍡晥㙣㉣ㅢ㈵摣㈰〵愱㍢㑥愹㈱㈱搵㜳㜱攳敦扥搲㠸ㄷ愳〲ㄷ㐴㈵㙣㑣改㤲挶扦ㅥ㌷㍥㡥㑦搲愴㑤㠶っ挵敢捤戸㌱愵㔰ㅡ㝦㍡㙥晣㥦挷て搷ㅢ挷㐲ㄷ㡥慣㔱㈲㔲ㅣ㝤搹晡㈴㍥㑦ㅦ㐲㜳捤愲昳搰㙦㠵㘸㌲愲攴捤㉢攲㍥っ攰㈴㡣㠷て挴攷㜱戰ぢ攷㕦㘰㘱挲晦㑦挴ㄹㅣ昸㥡㌵〲〳摦㝦㙦㈰搳敥改㜲挷捥㌹㙢挱〳愲捦㍡攳㘳㐳㔹摥㔵㉣〲㕦愸㌷愴敦㌶ㄹ㠹ㄴ扦戹㐱㡦㌸㐳㤸攵〱㥡敥㉣愷㘴㤵㝡搵戳昱捡㘶㥥㙤昰㡣晥㙢㔸ㅣ搸〴㐰ㄶ昴㑦〳㠶㔹愸〳㐴っ㔳搹㠹㈶㝢㡥ㄵ㥦㈱昸つ㠰㠲愲㘶㈳ㅦ攴㍥ぢ㌰ㄴ晦㕦㍡㐶㌷㈴㔸㤴㔵搷攲㠷晤搳㜷㥦慤戳㤱晥㥢散昰㕢〰㍤㠸㕤㉢㈱ㄲ㑥㘴攸扦つ㑣昲愱㔴ㅣ昲搰摦㘵挵攷〸㝥て愰愰昱㘵㜷㑣㌵捥愹㑢戳晤晢攸慡㐸ち㡥愱㝦㍥㉡昰㐶㤱づ㔴攷捡挵っ愹㐳㘹㙤昲搹㥣㈲㙤愴挲㠹㉡㑥㑡㠵㔲愴㤷㔴㔴愲㡡㐹㈰昴㉦〲㈸搲㠳㜳搲扦挴㍢㤲㐱ㅥ昸㘵愲愲㥦㈲つ愴晢㕡换〳㐹ㄷ愹㔸㙤㜹㈰㘹㈵ㄵ㔶昲㠱㕦〳㔶挹挴㔰㘸㌶㔷㥣愰搰晢て㔰ㄸ散ㄹ攲扢㍤㠱㕦昶㥡㉡㕤㉡㕦扡昴搳愱摥搱㈳扤㑦晥昲挰㔷摥晣晢ㅦ㝦攱㐷扦㜲昲㍦摥㝡晥昹ㅦ晤晢ㄷ摥㜸敢昵㤵㤳㝦晢搲㑢㝦昳搸搷摦昸昱㝥敢挵散㉢㍦㥤㝦昱㤹㠹㉢捦㍣㘵㕤戸敦搴㌳ㅦ扦晣昸挴攲㑤㘳㍤㍤㝤㝤㜷㡦晣摤㉤昷っ㍦晢搴慢敡慦晦攵㤰慢㘴扡㜸㠰晥〲㥦ㄲ晤㠶㌹敤㘱㘲扦㑥昰㈲挱ㅦㄲ扣㐴昰㐷〴摦㈰昸㈶挱换〴㝦っ㌰搸㌷挴㤹扤慢慦㑢戲〸㐱㥦㡣〸㍡つ㐴㕥㘵㠶昹晡㐲戸㙦愱愰㝦ㅢ㘰㌰慢昸昶搲晡㐲㜳㙢昵㘲㕣戱ㅣ㔵挸㘴扦〳慣攲㍣愵捦昹愸㡡㜶戳愰㌸㜳㐱㍦ㅥ愱戹㘳㉣㈸搲㐲搰㡢ㄱ晡愰愰㐹ㅤ㐱㉦㐴攸㐳㠲晥㘶㡣㍥ㄷ愱敦ㄱ㌴㈹㈸慤捦㐶攸㝢〵㑤㥡ち㝡㍥㐲搳て㉡㘸㥣㘰捡㤹摥㠶扥愲晤搶㘵㔷㑦捤搵扥戳扦㈹㍡晤㌰㔶㙦戳扦㡥愹㙦攸昷搵㔱戲㐷扦搱㍤㍤㤶㠴慢㤲戹愳戳㥢挴㠸㐱慣㕡昳㙡挷つ愳㝤晤㥦㜳㜴㕣㑡慦㤷攴㔶㤱〵㠴ㄷ㕥㐱㠱㙢愸昴㝡㐹㙥ㄵ㤷㕢㐴晥㝢㈸㘸散扥㠳㠷㔳㉢㜴愹捡㕥㐵㔷挵㜷攰愳昴搷㜸挷㈷㜳㐴晤晢〰扣戸㘶㑡ㅡ愲愰晦㠰愸攸㔲搲〱㌷晡敢〰散挴摦㜰摣㜱㌸㙥㍢捣㙡搲㕣晦ぢ〰㜸扣晣㤳挲㉦攱㌱㉥㉥㐲㠱敤㥢〲㍤㍦攷㌱愱扦挴㠴ぢ搴㜹㑡㙦ㄴ攵㝥㠸昷愴㙦づ㍦㕣搷㈷晢晦ㄷ㌸敦敢㠲</t>
  </si>
  <si>
    <r>
      <t>BL-TiO</t>
    </r>
    <r>
      <rPr>
        <sz val="11"/>
        <color theme="1"/>
        <rFont val="Times New Roman"/>
        <family val="1"/>
      </rPr>
      <t>₂</t>
    </r>
    <r>
      <rPr>
        <sz val="11"/>
        <color theme="1"/>
        <rFont val="Calibri"/>
        <family val="2"/>
        <scheme val="minor"/>
      </rPr>
      <t xml:space="preserve"> ink</t>
    </r>
  </si>
  <si>
    <r>
      <t>MP-TiO</t>
    </r>
    <r>
      <rPr>
        <sz val="11"/>
        <color theme="1"/>
        <rFont val="Times New Roman"/>
        <family val="1"/>
      </rPr>
      <t>₂</t>
    </r>
  </si>
  <si>
    <r>
      <t>PbI</t>
    </r>
    <r>
      <rPr>
        <sz val="11"/>
        <color theme="1"/>
        <rFont val="Times New Roman"/>
        <family val="1"/>
      </rPr>
      <t>₂</t>
    </r>
  </si>
  <si>
    <r>
      <t>PbBr</t>
    </r>
    <r>
      <rPr>
        <sz val="11"/>
        <color theme="1"/>
        <rFont val="Times New Roman"/>
        <family val="1"/>
      </rPr>
      <t>₂</t>
    </r>
  </si>
  <si>
    <r>
      <t>UV/O</t>
    </r>
    <r>
      <rPr>
        <b/>
        <sz val="11"/>
        <color theme="1"/>
        <rFont val="Times New Roman"/>
        <family val="1"/>
      </rPr>
      <t>₃</t>
    </r>
    <r>
      <rPr>
        <b/>
        <sz val="11"/>
        <color theme="1"/>
        <rFont val="Calibri"/>
        <family val="2"/>
        <scheme val="minor"/>
      </rPr>
      <t xml:space="preserve"> cleaning</t>
    </r>
  </si>
  <si>
    <t>Espinosa 2011</t>
  </si>
  <si>
    <t>Landfill</t>
  </si>
  <si>
    <t>80% active area</t>
  </si>
  <si>
    <t>roll-to-roll</t>
  </si>
  <si>
    <t>Tem</t>
  </si>
  <si>
    <t>Direcet process energy</t>
  </si>
  <si>
    <t>kWh</t>
  </si>
  <si>
    <t>PL 1st-step drying</t>
  </si>
  <si>
    <t>PL 2nd-step drying</t>
  </si>
  <si>
    <t>to air</t>
  </si>
  <si>
    <t>Wastewater</t>
  </si>
  <si>
    <t>waste fluid</t>
  </si>
  <si>
    <t>Ar</t>
  </si>
  <si>
    <t>O₂</t>
  </si>
  <si>
    <t>Cu</t>
  </si>
  <si>
    <t>UV/O₃ cleaning</t>
  </si>
  <si>
    <t>Electrode sputtering</t>
  </si>
  <si>
    <t>㜸〱捤㔸㕤㡣ㅢ㔷ㄵ㥥㍢昶搸ㅥ慦㥤戸㐹摡㜴搳㌶㜱㔱ㅥㅡ㌶㌸敢㈴㑢㤲つ㔱戳戶搷扢㕢㤲㕤户㜶㌶愲〲慣戱攷㝡㍤搹昹㜱㘷挶扢敢㈲昱挴〳㔴㠸〷攰㈵捤ぢ昰搰搲〷晡㠰搴㈲晥〵〸㠹㈲㠱㜸㈰㐲〲㔵㔰挱ぢ〲㈴㝥摦ㅡ㉤攷扢㘳敦摡㕥㙦㥢㠴㐵捡㈴㝢昶摥㝢敥㍤昷摣㜳捦昹捥戹㉢㌱㐹㤲㌶改挳㙦㝣㘱㌴ㅥ㉦㜷㍣㥦㕢㤹扣㘳㥡扣敥ㅢ㡥敤㘵㘶㕣㔷敢㕣㌱㍣㍦㐴ㄳ㈲㔵㠳昸㥥㔲昵㡣ㄷ㜹慣扡挶㕤㡦㈶㈹㤲ㄴ㡢愹㌲昱㝢㍦愹㕥㐳挵㉡㌵㑣㈴㐱戳愴㑡㍥户㔴扢㐱愲换扥攳昲㤳改攵㐰挰愵㙣㌶㤳捤㥣㍤㤷晤㜰㘶昲㘴㍡摦㌶晤戶换㉦搹扣敤扢㥡㜹㌲㕤㙡搷㑣愳晥㔱摥愹㌸慢摣扥挴㙢㤳㘷㙡摡搹昳搹戳㔳㔳㡤ぢㄷ捥㈷㈲㈴戹㤴捦捤㜳戳㐵昲昶㑡㙡㤴愴㉥收㜳㈵㤷㌷昶㑡愶〲㙢㘴ぢ扣㙥挰㙣㥣扢㠶扤㤲挹攷攸㝦㥦㔵愸㜷㉥戳㔴㉥㜳摢㌳㝣㘳捤昰㍢戰㥣㙡㉤搵㙢换㥡搹收ㄱ㑢愸ㄴ戳㤶㌵㜷㔱戳㜸搲扡收昱攷㌴㝢㠵愳愷㔸㜳㙤㐳て搳㜵㠶㑥㡣摡愸㙢愴捣㔲㍥㤷㙦㙡慥ㅦ㠸愴つ㑥㡤㥡㉤㜶捡昴愹㈲搶㠸㔱㤸㠷㡤㜵ㅤ〶㝢ち㉤㘳㔰㔵㈵ㄲ㠹ㄳ㌹搸户㌲㉤㤶愶㑦戳昰㝦挸敤晡ㄷ㡥搱㑣戹慡挹搵㥡㕣慤换㔵㕤慥㜲戹摡㤰慢㉢㜲戵㈹㔷つ戹㝡㐳慥慥搲㥣摥ㄷ㡢㐶攵敥户昰昶敦㕦昹晣㑢晦扡晣㥡㝢昳㡤ㅦ㑣晥㡥㌳㜸㥡㜰戹〴㌵搴㈴㤱挸㍥㈲㈳ㄴ挹㌲昶て㔲〴捡㡣摦晡搵户扦㜱散挹晣㜷㙦扦㜴敢㜳收昴㈷ㄳ㈹㕡戲㐸ㄶ捡㉣㜲㝦㡦摣㐹㠱㘵敥晥㐶愰扥㘲〵ㄷ㕡攰㕥㕤挵㙤㉦搸㍡摦㠸㔰㡢扣㈰㘱攵ㅤ摢攷ㅢ㝥㐱昳戵愸㔵搲㕣㙥晢㉡㑤㥡㄰慢㠲ㄶ㔶㈶挵㔸㙦㜵扣摢㈳〹㈹搱散㤳㌲㈶〶〲㐹㡣攰㈰ㄴづ㘸㉣㌲ちㄷ收㌵慦改㙢㌵㤳ㅦㅦ㜲ㅣ搸㡤㝣昵㥡㙦㤸㕥㠶㐴捥戹㑥扢〵㡢敥㤵ㅣ㠴扢ち昷㡡ㅣ㈰㈲㔰っ扦㘹㠳换敡㐱晡ㄵㄷ㑣ㄵ㑣扡摣㑤㜰戶㜹㠹挳搴㈱ㄵぢ㡥愵ㄹ昶ㅥ㕤㙥攲㔱ㄲ晡㙣㌷ㄶち慥戶㑥㜱扤㉤晡㜴㘶ㄲ晦摥ㅦ搸〸搷ㅡ㔳㡤㜳㡤㙣㔶㥦㥡搴捥㘸ち〲改㕥攳昲㄰慤㐹㔸搷つ㕢㜷搶㐵愰ㅥ戰㈸ち㐵昰㔵㍡㉤㉥㠶ㄲ㡤㡡收慥㜰ち㝥㜷愱㜰愸㤱㜷㕣㤷㥢㥡捦㜵㌱〰戰㍦㍣㌸攸ㄵ㕤挷挲昸攳㌹捤攳摢㈰㌰搱〸㌶捡㌹㙤㕢昷ㅥㅢ捤㉣晢㈴晡挸㌰㙦㕢挸㡥㘵㘵〲㐶敥〹㑤㡦づ㉦ㄳ捥㍦戳㘱〴散㈷㠶搸〴㡤㑥㙤㜷㙥搱攵㉦㙣㜱㜷㘸㌴㐳ㄹ㙦㡤㠳扦攳㤴〱㉢搰㡢㠰捣昱戸㉤搴㥢戰㑡㐶㝤㤵扢㘵㡥㝣挹㜵㜱搴㠷挱攲ㄴ㡦㜵敥㑤㉣挱昴㠴捤晡〷晡㐷ㅢ戳ㅢ㍥愷㘸搶㐹㕦捡㔹㝥愷㠲㐸㝡㘴㘰㑡戰㈷㌱挶〷㠶㡢㑥扤敤㈱㙡㕤挷ㅣ攴捣攸㙢ㅡ敤愹㕦㜵㜴ㅥづ换㈱㈹㉣㠵昱㐹㤴ぢ㐲ㄴ捡㤳㐳㠱㉡ㄲて㘴㝢晤〸摦攷㌹㠰昸㌳㜷戵㘸搰扤戰㙥ㄴ㘴㙣㤵ㄲ散搱挱㔸挹㍣㐷搶㈳㉢㤹ㅣ㠱㈴て㈳㑡㥦愲摢㕥㠳㑤㐶攲㘹㜰愲㍥㥢挱㙦㌱晢愹摤㡦㈲挴㙥㜹挶晦㜷戲㉣ㅦ散㥥㝥㜶㡤㌰㝢㕥戳㜵㤳扢敦㙤㉦㘸愴㡥㠳ㅣ〱㜹㡣㐸㕣㔲晥㐴攸戶慢㈵㤱〹搹〶敢㈸敢㠶敥㌷㈳㑤㙥慣㌴㝤ㅡ愳㔲㉤ㄶ㠳㤹摦㝤㜷㜳昳㡢〴昳㍦愷㥦㍦愳晡㔳㥦〰㌹㑡㈴ㅥ㡦㑢〲㍦㈳㜱㌵㑤晤挸㤳㐴愲㜳摣收㔴㡦挵ㄹ㐳㜶ㄲ㤹ㅥ戹㜵㈷搰ㅥ愷搱戸晡ㅥ㍣㠶挴っ㜰㔳㥦〲㌹〱昲㐱㈲㜱㠹摤愶㌳攱㕣㘳㜷㌶㌷扦搴搵敥戶搰敥㈴㘶㝤〸戳晡戴㍢㈵晡㔲ㄸ戸㍦捡㠴㕢㔹ちㄶ㡣㕦㜱㌴扤愸搵愹昶㡣㜶㉢捦㔸摥戱㕡㤴㍢摤ㄴ㘶收㈹㜲㈸㈲搷っ㥤扢㌱っ㤴愹捣つ㔳攱改㐵〴敥㜸㤴ㄴ㐳㤲愲㡣挵㐶敤戵搰㤳㜵扣㝢扦晤㘵昴挲づ昹㝦㝤昶晣搳㈸㤳攳㜱㔱戰㑣㔲㔳捤ㄲ㔱㜰捦昷ㅣ慢晢㘹搱㈳㔶戹改慣捦搳㐵㜳㉦㈸散扣扣㙢昸㠷㜷づ㔳㤲搷慣㜱㌱㍥攷㜲㠲㘷户㐲㈸㈵捥㠸ㄵ㐷㐶㜲挴愲㈳㈲㔴晡㐰㘲愲戱㙣昰㜵愴㤶㘳㍢㔹㔴㤹收摢㥥敦㠸㥡攴攸㑥㝥挱㔹㜴晣㠲攱戵㑣慤㜳㝣〴㍢攰㕣㙦㜲㥢㤰搵㈵㠰㝤扦㐹㑥慢挵昵ㄱ㍡㤶㥤戶㕢攷ぢ㠵〷〱㥢改愶㠲㡦〹㔸㘶㌱ㄶ㤱ㄹ㝤昷〷ぢっ敥㈲㝤敡搰敢㜳敦扣昸㤹愷㈳〴昶㡣〲㠴㐲㐴〱㔴摣て㝣㈳㌰㤳〳㐵挳挳㜸㘲㕣愵㘷㤹搱㌲㜹㑥㜳挹戱ㅤ搷㔳慤㕥㌳㜰扣扥㘲㍦㠸㤶〷挱搸㤴〳㠳散㤷搹ㅤ晤晢ㄴㄷ㍥〸㘷〶㕥戰㐳㐳㘹㑡㥣ㅢ搸㜹㥦㜷愵晣㤲㤰敤ㅥㄵ〱昶㐵搷㔰昲㔷慢㔲っ㙡攱㘳捡㉦㐸搴㐸晤〰晣㘱ㅢ㑦㐱戱㉡扥㙡㍢敢戶搰㕣昱㔰㠹〹㌰㡤㐶㜱っㄴ搱攲㥢敡戹㡤愴㈰户㑣㡣戲㔵㔰㌱㙦扤㔵ㄷ㜴㑡㕥摤挷㘹〲㡦搳㡡换挵ぢ㌴㈶㍡㘴挲愴㜵摤㜱㔷㙢㡥戳㡡㜷捣㍥搱昳㥡㥣晢㜸㉤㡥㔹挱㤳ㄷ㙤昲晤㔰㘸攰㐵搸戵㍢㤸愸搷㠳㕣㌴㐵慤㔰搱慤㡢ㅥ㝢㡢捥㡦挷摢昳ㅦ㝦㘷㝣㕦改摡晣て㔳搳㕦戸㔹晤㑢㤹晤慣换昸挳㡤㔷㑥晣扤昸捦换㉦晦戴㔸㝣攱㕢晦晥㡤㠲昴㜶㔷愵〵ㅥ㉢晢ㅢ㕢搸㔵㌱㝣㤳㡦㌵〲搷㐰㍢搶㈰㌴愲戲㑦㡦㌶㉡㑤㍡㜵㈱搹㤸㜳つ摤㌴㙣づ搷愱㠲ㅡ㉦敢㉢㝣㠵㑡扣㤲㠳㔷扣㘳㈷ㅢㄵ㔷戳㍤攴ㅡ扢摥㌹㌰搰ㄳ搱愲㌴㜲㠶敤搱㌶〲㉦搱摥摦〰㥣搳捤戵㉤㝢㑥㙢㜹て㐲㌸㤱㥦昴扥〰扣㘴㈶换㉣㈶挷敥㌳㈲㔸攴〲挹㑢昷㐵攰㜴㝡㙥㝥㉥捤㉤挳挳摦㐸搲つ㤱慥愹㈸㤴〵搰挹愷戱㝤㠰㙦愸㔴敥扥〲㠴攲〹昱愷㤳㙥㘹ㅥㅡ㤵挳户㑡㔴㔱㜱㑤搳ㅡ㤶〶愱ㅦ昵㘲户㠱づ㐳㡤㠳愲㘳㈸㡢㝦㠴㠶搴㑢㤸㠰捡〶搰扣㉢㍥㌳㤴㍤挰㘸昶㘳昲㔸㈰〳戵㈵挶㝥㐴㉤〴昷㠸攰㘴㈸㤲㄰愰㈲〴㔴〴㐴㄰っ摦愷昹㈳㠳攱㝢㕤挶㥤愵搰㥢戵㥦晣㝡晥捤搸ㅦ㍦晤㙡㘶愵挴㔰㑤㈱㈰愴挸㉣㤱㠷〶㉥㘰戶㤴慢㡣戲㌸㐳昵〵慢慢㐵㈲っ戵㤷㌰捣㕣户㠱㑥ち㜵っ捡㥡挸㍣㤱㠷昲戹㙡㄰攷㍤戸㠸㉣搰昰㍥ㅡ敥㉢搰㔳㈸㝢戰㐶㝤〶〴昹㠷〹搳愳㜷㠵㐸敦㑢攱ち㠰㙦敡㔵㈲挹㔰ち收ㄶぢ戱㤹ち搱㈹ㄸ㕦っ㤵㌰㠴㐲㤳〹㙤搱ㅢ㤰〵慤㠵慣㌲㌵㤲㈱㠶扤㘱摢〸㥤㕤㑡捥㤸㘶扡〷㕦㕥攴ㅡ㠶〶晦㘴戶㡣㈱㝡㙡戵㑤㕥㍤㥢搹㌰扤つ昶㕡搷搸㝦㝢晤搴㙦㕢㕦扥戸昸捤户㍦㝢㑢晡搸㕢㈷搸搷扢㡣攱㍦㔷愵㝡ち㈹㌸捦挵㔱愸扢攳㌵㌳㌱晣㜴㥣愵愷㘰〷㈷づ㔱愱慡〸㉣〹换搳昷㈷慢㤷昹攰晤捡慢愴昵晦㈰〷摥㌰㤸戸㡥搱㠸晡㍣ㄱ㠶扢ㄱ㝥っ㕢慢戰慥ち㝢戲慦敤㘶挱慦㜶ㄹ挳㝦慡㘳戸㍣ㄸ㡦㝤㠵㘶㐰㘳戱㠹㐶㈳ち㜶ㅡ捥㤰㈸攸㡢㌰搶搰戳㘸㙣っ昹戰㝣昳㍢㤷敦㥣昹挴っ挳㝡㉣敦つ㡣晤ㄷ攳〴㈴〹</t>
  </si>
  <si>
    <t>㜸〱敤㝣㝢㝣㥣㔵㤹晦㥣㐹收㑤捥㌴㘹愶ㄷ㉥㐲㠱㈰㉤ㄴ㕡㘲㈶㤹㑣㘶挰摡愴改㉤戵㌷㥡戶㈰ㄶ挲㍢㌳敦戴搳捥愵捣㑣摡〶戹昹㤱昵攷〷ㄵㄱ㔶㔷㔸㔴搰㕤㔹挰㘵攱户㍦㔱㔴㐴挰ㅢ扢愸㈸㈰攸扡㙥ㄱㄴ㉦㈸ㄴ摣㕤㕣挵敥昷晢扣敦㍢㜹攷㤲愴㜴敢攷搷㍦昶㑤收㤹㜳㥥昳㥣摢昷㍣攷㥣攷㕣摥昱㈹㥦捦㜷㄰て扦昹㌴搳㌱㙦㘴扣㔴戶㜲㕤㐳㠵㙣搶㑡㤶㌳㠵㝣愹㙢戰㔸㌴挷搷㘶㑡攵㈶〸ㄸ愳ㄹ㠴㤷〲愳愵捣㘵㔶敢攸ㅥ慢㔸㠲㔰挰攷㙢㙤搵㝥㠴户㍡㥦㤰敢搱㡣愵㥢㐹㈰攵搳〶㐹ぢ〹㐵戵㈶〹㠲戴捤〰搹㍣戴㙣㐳㘲㈷㌲ㅥ㈹ㄷ㡡搶攲捥慤㜶昲㑢挲攱慥㜰㔷愴㍦ㅣ敤敡㕥摣㌹㌴㤶㉤㡦ㄵ慤㈵㜹㙢慣㕣㌴戳㡢㍢㌷㡥㈵戲㤹攴摢慤昱捤㠵㕤㔶㝥㠹㤵攸敥㑤㤸㤱㔸㌸搲搷㤷㡥挷㘳㙤㙤㐸㜹晤搰戲㡤㐵㉢㕤㍡㔲㘹戶㌳捤つ㐳换扡搶㕢攵㈳㤵收㑣愴㠹㈴㤷ㄷ㜲㘶㈶㝦㠴ㄲつ㄰晥摥攵㔶㌲挳㜶戲慣㘲㈶扦扤ぢ挵慥〲ㅡ扥晥慥㤵㐰㍣㘹㤶捡㐳㔶㌶扢挹㑡戳㠹摡㜲挴捣㉡㕡昹愴㔵㥡㤹㕢戱㉦㘹㘵㥤攰㔲㙢㙥慢㔹㕣㙦收慣㘶㍡㍡㜲㜶扢つ愷慣㝣㌹㔳ㅥ㙦捦㙤㈹㔹㥢捣晣㜶㡢㈲㠱摣慡戱㑣慡戹㔹㌵㌷晢㥡捥㘸㔴ㄸ㘹㥢慥㤵挵攴搰づ戳㔸ㄶㅦ㕢㉤摣㐸搶愳㈱㔲昰慡㘲㔱㡢㍡㙢㘲戱㤹㐶㌲戹户㕢挵扣㤵㘵㈶㙣扣㐵㌵㐲㠲㠹つ㝤〵ㅣ户㌶㙣ㄸ㌵挳改ㅡ慣ち㜳搱ㅤ㈴㈱㄰㘳ㄶ㐸昳㡡㡤换㌶敢搹攴捤〱㔱捤㉦愲㙦搵挶昱㡦㥡晥搱㠴㝦㌴改ㅦ㑤昹㐷㉤晦㘸摡㍦扡摤㍦扡挳㍦㥡昱㡦敥昴㡦敥㐲㑣昷㘹㙤㘹昱㍢捦敢ㅢ㥡敥㑢㍣昲攴敡晢㕡㥦扢昲昶慥敤ㅢ〳散㑥㝤㡤㉡㔰㡢捤㘰愹㌴㤶摢捤㝥散戴㥢㜴扡摣昲㔲㜹愳㔹捣㤵㡥㙣〳愳㜹愷㙢攱挱㔲敥捦摦挲挸攴㠸戴戰㜱っ㘰敥㕥㕢搸扥扥㔰捣㘱愰㔹㘵ㄵ搶㔹㘶㝥㐹㜷㔷㝦ㅦ㍤㈳攵搴㜲㙢捦㤲㜰㔷㑦敦攲戵㠵愴㐹㤸㤷㜴敢㘳ㄱ㑢ㅦ〷㘲ㅣて㜲搲㙥慢㤸㘶㝣昴愱捥㈲㘵㍡ㅦ晥㝣㘷慥㤰ㅡ换㕡㥤ㄱ晤㈶ち㥦〰愲搴捦愰㌰㔴㥡㠳搱㥤〷㔲㡦晤㘸晤摦散ぢㅣ㝦捡攷捥ㅤ㔱ㅣ㌷搹攲挶㍣㤰户搵㤷愷て愳㘳㑦扣愷愷㍦摣ㅦ敦㡢㐶㘳㤱晥慡搲㠵挳摥搲㥤㠴㌴昴挹㑣敤ㄴ㤰㡥愱つ㍤㔵攵改㘴昰愹㈰㑡晤挴㈹捦改㡦㝦攷晦晤㈱昸捥㜵户㍤㜰㘰㜴晤昶晢挷ㄵ㠷㜰㈹捦㘹㜰㥣摤愰㍣搵搹昷㜹戳㥦捦昴ㄷ㠰ㄸ愷㠳捣捤㘶搲㔶㌹㤳戳慡捡㜰〶㘵ㄶ㠲㈸昵戴㔳㠶扦㉡摦戲昸愵昷㝦㙡昰攳㑦㕦晤慢〷搷晤㙢愷攲昰㈴㘵㌸ぢ㡥㜹㑥〳㐹敢㠴晢扢扢ㄷ㍢㑤搳ㄷ敢㡡敢㐵㑣㙥㌱㠸㜱㌶挸戱挳昹㔲㈱㉢㙤㔵㤵㘹ㄷ愵摥〲愲搴攳㑥愶攱搹㤹攷㠶㕦换つ㝤昹攴㐷㕦㙦扢㌱昱㌹挵捥㈳㤹㠶攱攸愹慦㜸㜷㔷戸㍦ㅡ慢慡㝤㜷㔵敤㝢㤸㐹㉦㠸ㄱ〱㌹挹搱〲㉢㥤捥㈴㌳ㄸ㘴挷慢㑡搴㐷攱㈸㠸㔲㡦㍡㈵捡扥昹愶摦㝤㜰扦㕥㜱晦㍤㐳慤㑢㥥㍣攷㈵挵改㔳㑡ㄴ㠳愳㠱㙡挴㝢愲㕤㝤摤㤱㥥㘸㌸ㅣ敦㡦㠵晢㈳攱慡搲㔵慢㐶㥣ㄹ㥥〳㘲㥣ぢ㜲晡敥㘲㈶㘷ㄶ挷㍢慤扣㔵摣㍥摥㤹㠴㉤攰㡣㈵㔵挵㝣㉢㘳㉤〱㔱敡㘱愷㤸㉤㘷㙤㤹昷㔴敡敢㐳㕦㝡昵㠶攴㐷扥昹敡㜱㡡ㄳ扣搸〱㑢㈹㍣〰㘲っ㠲捣愱昶㔹戹㑣㠹㜳㔳㘷摡㑣㘲搶搷换㈸㌲〴愲搴㤷㥤昴昶敦晣捣㤹㉦慦㝣㘵攰收慦慦㕣㜹改攷㝦昷㜴摢ち〴㥦攷㡣挷换㡢收㕥㑣㙡ㄳ昳㘵㑦㔷㌷晦愶㌷ㄴ㘰㈷愴晢搲晤改㜰㌸搵搷㙤昶㥡〱㡥攸㠷㍡㍤捤㠵㙣㕢晡晣㑣㍥㔵搸㙢捦㔷改㤵㤹㙣搹㉡㡡愷㈳㡤㉦㝢捥ㄵ㝦㝢㝡挵㍥ㄸ㉢㐹㝢㙡㥢㥢ㅥ戲㡡㘵㑣昲攵昱㠹搱㜰摥㌲戳㘴㑤㜸ㄷ㌹㘹㉦㉢㡣攵㔳愵ㄳㅢ〷㡥㤴捤戲㜵㐲㙤搸㐴㈲㜵搱㐶㘰〰㔸㈵㈹搲挹戵搱戶㥡搹㌱㙢㜰㕦挶づ㍥愹㈶ㄸ愶㐰㈱㌱㜹攸捡愲㜵㘹㈵戴慥㐴㠳㌰㈵昷㐸摡㜵戵戴㠳散㜲㜵づ敤㈸㤴慣扣ㄴ㙦㔱㙥㘳㈶戹换㉡㡥㔸㌴㐴慤㤴㔴昵ㄸ〶㌹昶挸愲つ㜹㔴ㄴㄶ㐶敡捤㕥㉥㠱戶昲㈹㉢㠵昲㘲攸㉤㡦㙦㌶ㄳ㔹敢搸㉡ㄱ㍢㑦〴扣愹㡡扤戲㤰ㅣ㉢つㄵ昲攵㘲㈱㕢ㅤ㌲㤸摡挳昱㍢戵慥㤰戲㥡攵昱搹㔴昹㥡㥡㤴昲㉤㙣㌴ㄷ㌳敤ㄲ捤つ慦㤲㐰㙢愶ㄶ昶㈸ㄱ㉤愰㠶㘶㑡㈵㘵㌸㍣㑡㐶昹㌳愷㉣㠹㔷〹㈹摤㍤愵㜴〳㈵㘵愴攳慢㍢㕥搷㈶戴て摡㈱㙢戱㔷晡攷㑦㥥攴㠴㕥㑥㔳㔲㑦慢㜰摤㐱改㈹㐰㤳㘴㉢扡昷攷ㄵ昶晢攷㌸戵㕦戱〷㤶敥㙡㌳㥦捡㕡挵㈹㔷㑤㡡㈵搲㉢㐹㔶㤱慣㈶ㄹ㈶㔹〳ㄲ昸ㅣ挶戸㐹ㄱ攵搰慥昶愹昱挰摥㑣慡扣挳搸㘱㘵戶敦㈸㠳㠷搵㔶㙢㉢攱㑥晤晥攰挱㤵㔸戸㝤つ换慤攷戹㠰搳㙢㐹搶㤱慣〷〹〶㝤挶〶㝣晢㡣愰摥挸慦昳挸ㄴ挴㍡㌷㡦敦戶㠲㉡㐰ぢ昶㡤摢搹㕣摥㘹㌱敢戱敥㉡〵㜲㔸㍤㤴㥡㥡ㅡ〱戱摡㉣敤㈸戳て㑥ㄹ㈸ㄶ昵㈶㈶㍡〲搲戶ㄹ㘴晤㙡㉢㡢ㅥ㝣愴㤶㙣〱摡收搳㉥つ㈸㜴㙣㙥㘴㍣㥦摣㔱㉣攴戱挶㕤㙥㤶捤挱㈴搶㍦㈵㘵ㅡ戹戵㠵愱戱戲㤱㕢㥤挱㔷㕢㙥㤳戵摢㌲换㐳ㄸ愱换敤戹戵㔸㍢挹㄰㍡㥣摡ㄷ挸搹换㥥攵㔶㈹愹戹㍥ㅡ挶㠸戴捦㠰ぢ㐳㙣㕢㡥㘳㡣戵慦捣愴㕢㜲㌰挴愱㐹ㅡ㐲㡢㈴㤶敤㘲捣㜶攱戹戱㠳㡥て㈹㠴挴改㐹㘵㠶㌰散㤴挴ㅥ挰攴㠹ㄹ户搹愱戵㥤㘷㑢㌹㤳㉤㜵㌹昰㜶㉤㉦㘰晤㙣挹㉡㥦戰ㅢ〶㜴换㤸戲戱㙡晢㌸ㄷ㔸ㅢ㤲〹㍢㔹ㄴ㘵㔵戱㌰戶㥢㈶昸㤱㑡㠷㘹昹昴ㄶ㤰㑦ㅥ戸昳摣〵ㅦ晦㠷㠳捥昷㔵攸㍤昲㘸慥挱㌴㔵㥤㕥㝣挹愳㉦挰㔷㜰慡戰〰ㄷ㙢つ〷搹㐹搶㠲〱挸户攵㔰摢捤㐵㑢ㄶ户慤攲㐱㕦㙡捦㥤㕦㈸敥㑡ㄴち扢搸昸㌳挵㔷摡㘱㔹㘵㔹㌱㍡ぢ㘴扡㤵㔲㑤㑤㔵㑢㐳捦搲㤲㙢㑤㘳ㅢ㐸晢㘰㌶摢改愶㔸㌲㉥〲慢〹㤳㠹㜱㌱挳㌰ㄱ㘱晤㌰ㅡ改摡㤷㉤敤㔳户愱捡㕣㌹㕣戸敤搹㌷捤摣戸㘵昵㠳愱㜳慥扢㘹昴搷㈳敡㔶㈷愰㙥〱挹㌵捡ㄴ㤶㑥搵㌲㡤〳㐴㤵愵㔳㌷㠷摢ㄳ摣晦㕡㉡㐷㥤愵㔲㙤愵㥣㌵捤搴㕣㘳愷㑣㍡㉢晤敦㍣摦㘸㜷搴㥥攷㑤㜴ㄶ昵〹㜴㍢捥敢㜰㔷㍦㍡〹扦㑥㤱㔸㈰㤸㥤㘵挸挲攴扣摤昶㉡敥ㅢ戰挳改ㅤ㈴ㄹ㤰〰户〸愶㥥户搰㕤戹㜴㘹收扥㑥㝢㙥戹㤵㌶戱㐵㉡㜳㡤㌲晦㝦㑥㐵捤搸㔴昶捣㐳㔳㔷㠲㘵㐷㈵㡣㕡ぢ戶㝡昷づ㝢㡡愹㔵㔶㥥戶㑢改㐸捥㌰㐷㜲愶搲㍢㔱て昷〹㝣〴㡡㜰攸㜵愲つ搷戲㠷㘶挲攸愸慦㤵㌵㈴㐷㜳㈷愹㝥㜶换㠳ㅢ㥣㉡㑣㜱㘷㠹㌳㥣收㡣㘲㤴㐰㥡愰㉣㥡㜳㠸㝡扦㌳㌹搴捤ㅡ搷㍡〱㜵ㅢ㔱摣㍢㤲摤慤扤㡣晦㍥㠸㌵搶昲㜱〴敢换㐸摥〵攲搱昲㉢㙣慦攲晥㤳㘸昹㤵ㄴ扡ち㐴㜵㠲挸㘶搸搵㜰戸㡦扡ち㜹㄰㐰〱攱ㄴ戰敢㐱戸〶摣愰㥥㈲㑣㥤ち㠹ち〸㥡㈰搸〰㡣㈱攱㠶搳㘶搹〹愸摢昹㥡㡦戸〲挰〷攱㔰㐵㠸㌵〶攰㐳捣攳㝡㤲て㠳㜸〰戸搱昶慡〵昸ㄶ〰晥㤲㐲ㅦ〱㔱摣昵ㄲ〰㍥ち㠷晢愸っ昲愸〰挰㉤戳㝡〰㙥〶㌷愸愷〸㔳摣㑢㙢〴挰愸㔳捦㍡つ戸搸〹愸摢㜶攳㕥㥡〰昰㘹㌸搴㌶㠸㌵〶攰㙦ㄱ慣㍦㐳㜲㍢㠸〷㠰㍢㙣慦㕡㡣㙦〱攰㑥ち摤〵愲戸〳㈷〰㝣ㄶづ昷㔱㈳挸愳〲挰搹㘰搷〳㜰て戸㐱㍤㐵㤸㝡ぢ㈴ㅡ〱㌰㍣ㄹ〰慢㥤㠰扡㉤㐰敥攰〹〰昷挳愱㔶㑥ち挰㤷㄰慣扦㑣昲〰㠸〷㠰〷㙤慦敡挵户〰昰㔵㌸昴㐳㈰㡡ㅢ㝥〲挰挳㜰戸㡦㕡攲〵㈰〲㜶㍤〰摦〰㌷愸愷〸㔳㔱㐸㌴〲愰㜷㌲〰㝡㥣㠰扡ㅤ挷㌸㔲ㄲ〰扥ぢ㠷敡㥥ㄴ㠰敦㈱㔸㝦㥦攴〹㄰て〰㑦搹㕥挵㡤㐶〱攰〷ㄴ㝡ㅡ㐴㜱㉢㔱〰㜸〶づ昷㔱㘷㜸〱攰捥㘴㍤〰㍦〶㌷愸愷〸㔳㑢㈰搱〸㠰㤳㈶〳㘰㥥ㄳ㔰户㤷戹ㄴ㈹㜱戶搵㍦㈳昹㌹挹ぢ㈴扦㈰昹㈵㠸㍡搶〱㘵改ㅦ㙢ㄷ攷扦愶捣㡢㈴扦〱昱㠰昲ㄲ㜹戲㌶㔷㙡〰㙥〱收〰㤹慦㠰㈸敥㠹㜲㘵敡搳慦㠲㑣扡〶ㅡ愴挴〶㄰ㄴ攰㈰扥攴搱晦㠱慦愰㥥㈲㑣㜱户㜵〲㥣㡢攰戳〷挸㈶〷㠳扡昱挱敦〴搴㙥捣〶㔶㈲㙥敤㙡㔳㑥搶㉡㕢㔶ㅥ㈳㔳㤶㍡改㉤昹㑣戹㌴㈳㍤㌸㔶㉥慣捣㤴㘱〵戴愵㐱攰㤴㈸㈷挸㕥㠵㈷搲愲昴搶㡣戵㤷昳晦㈹昵㐱㌸㜴ㅣㅡ㉢㤵ぢ戲㤰㍥戹㍥㝣㜹㘱㝤愱扣㍣㔳摡㥤㌵挷攷㌷〸戶㐳捥摦㘱攵戱摤㔸挴慥攳㜴㐲㠵摤扢慤㔴㠳㌲㡥ㄴ挶㡡㐹㙢㜸昹搱戰㘱愹散ㅤ〱ㅦㄶ㥤戰挶搴㠲挹㔷〱ㅥ摣摢搰㤰㝥㉣㔴搵攱敤㜷ㄹ㔴扦收㜱换㉣晡戴㔸㌰挸ㄸ晡慥㘹づ㐲敤〳慢愶搵ㄳ捦㍥㈸昷㠶㠲㘹戴慤捤㙢㜷㌶摡㜱㤰㤳㐹㔹㐱挷户㉥㤳㥦改㌸㌷㡣㤵慢㐲捣㝤㜳㥣㄰㉣愹㌷攴搱晥㐹戳㤸㍡ㅡ㥡〶ㄵ挳㘳户㡢㌲昰㜷㜸㘸摢挹昸㝣㉦扢㤷㌹㕥扥ち㍤摥敦㘰捤つ挷㠶㍢ㅣ㤵㍥〹㠷㘷ㅢ㤹㠳㕢㍢攱慥戰㕢改攳攱㥡戴㠲㝤戶㌶㔳㈴㉣㘸㌹づ晣戳搶㥣㙡慦㉣㍥㜴㝡㌰㠱戳戶戱戲㌵戳攲㤲摥慥搳㥢㉣ㅥ挱敤戱摡㉡慥㡤挹㌲づ㑤㉡改㜱扢晦攸㘹㈱㈰搲散戴㤲㤲㜶㌲愶ㄸ攴慡㉢挱㡥㜴㤸慤㡡昶㑢换昳摢愵敡收㥢昸摣戱搴攷㍡㠲㝣㝣〱㙥㈴搷慥㉥慡〷㕣敦㥥㍦㝢搲ㅣ昷㈸捡ㅥ收㘴〴㙢㜳㜹摣㙥㙦㑦换攰㠷㌳㌵摥ㄹ攸㘰搷挹攲㈲㑥㌹㤳㌴戳搹昱㤹改攱㝣㌲㍢㤶戲搶㥡〹㉢敢づ摣㍣攰㍥㍡摡㑢慥㌱搹㙤㌵〵㉥づ㈸挳戸换攴㥥㌰ㅣ昶㔸攷搳㑤㘸㈹㤹㜷㤱㐶㔰〷㥣㝥挷敤晤㌷㝣挰ㄲ㐴愴搹ㄳ挷㠳㜲㠵〶㐳㕢ㅤ㡢㘳ㅡ㜷㥣㉢㘷㌴搲攳㍣㘲㙢ぢ戸㤲戰换㑡㜹㔸慢㌳㌶敢愸改㔷搲㑣㠶㘱ㅣ敥㉣㜳挵慢㜷㙣㌹捤晣愷愵ㅢ㑡㉦慣摣昰㙦晢㤷扡扤㠵㜳っ㍢挷㕡㠰㔹扢㔷敤改ㅣ㘲〰挸㈰㐸㜳慢㠳㈳㤸㙤㍤㙣捥㤴戳搶㡣戴㠴㡢扢㤵㕤㠲㘸戶愴㌷敦挰扥敦昲昶昴慡㘲㈶㤵捤攴㉤㕡㈲㌸捦攵戵愵戵搶㜶㥣㍣㙥㉣㤴㌲扣〹搲㥥摥㕣㌴昳愵摤摣摥㑦㡥捦慥昲㐹㘳〵搲换㌲㜹㜴㈰㍢㑦扡㍢搲㈳㍢ち㝢㜱昷㙥㉣㤷㕦㘵敥㉥ㅤㄵつ〵㙤㜶ㅥ扢㔷昹㤵摦慦㕡晤慤㠷㍢㔷挹㙥㍣㙣㕡摣愰㐰扡㝥ㄲ愷戹搶挱㌵㐵㥦㘵㑢㌹㘷扦散戳㉣㔷搵晤愵㠶愷㑦㤵换㡢ㅣ㠷㜵ぢ㈲戵戵㠲慣㔹戵㘵㜸攲挶挰晦攸㝡㘱㘰㍤㔲㥥㘲㍡㄰搵愸ㅣ㑦ㅥ〳攱㤹戶扡㤰㐷敤搱搲敡昴搵慡㘰㌰㉤㌲搴㐶捣愰ㄴ愷㜳㈵㑥㡦摡搰昹㌱晣攲搴つ攳敥㑣摢㐳扢づ搷㤴㑡㑥搸㔰㈱㤷㌳愹㕥㔴捤ㄱ㡣摤㔶慢ㄸ搹ㄸ㑤㜴ㅡ㐴㜴搰㘱㤹晢挰㌲昷〹ぢ㔳㌲慦ㅣ㠸㥢㘹ㄵ戶㥢挵㑣㜹㐷㉥㤳㙣愵㠷搷〲㡥ち扤㠴ち昱㜸搴㝤㐴㌹㘱戱搶㙥㌲摡㠷㔲㘸敥㉥㉣㈲〸ㅤ㥢ㅦ摡敢㤷㜹㕣ㅤ收㜹㉥搴㔷搳挴搵㐱愴ㄶ攰㘱㈸㠶㝥扢㈸ㅥ㈳っㅣㄹ㠸搴㐶ち㔰㝣〶㈸ㅤ晣㌴㙦〲㤹昲㥣慤〵〲挱戵〵㌳戵ㄲ㌷㐷ち挵ㄶ攷㍡㙣㉢㥡㤶挳㑡㌱挴戳搵㈱摣㐹挰㕤㠷㍤戰㠵㡢慤㘴㡣攰搴戲㤹愷戲㠶摤㠶㌴㌰㝤㠱挰㡣搶㐶㜹つ扢㘹捤㜷捥愰扣㌷㝦㠷敢搲㝦昱扣ㄸ搷扦愸㔶ㄳ愸㙥㐳㍤㜴㍢敢㌴〲㉦敢㔳㈳㌰㤳〲ㅤ㈰㠱㉤〸慣敤㈵㤳㥥㐳㌲昱㐰㡥攷愳慤㌹㔶〷㈶㠷㠱㔳㔳㥣戳〲ㄲ㘳㐶㉢捦㈹㜵〸挹㝥晢戱挷戸戲昷㈹ㅥ昴戹昹㜳㕤ㄹっㄲ㍣㍤㡢昹捦㘶晥㈶扣㙦攰〰㠴㤶㤲慥㉣㌵挵搸㥤㔸㔹戶愷扤ぢ挹㌹㘹㘷㐵改㔹㌷搶昰挴挸㐲㍦㍦㡡㔶㠵愸ㅦ㘰㜳㝢捤攱捥挰愲昶搴昱愰㑦㈵㤱㈰㘷㕣㥦㌱〷㠰ㅦ㡢戱㈲㉦昷㈶㍢〱㑦戹㤸㐹㡣㜱㔶㘴戸っ晣捤ㄳ〳扦攲㠱〸〷㝦㍤ㄷㄱㄵ㑦㐶㌸愶㈲㙤㌱慡昴戱㙣扦㘹晢搸㜶挶挰㐷ㅦ挷㐴ㅣ㡦攲㌱㡡慢ㄷ㑣挲㔱摣攳㈱愰摦㐴㐱ㅥ戱㌴㄰㌸㠱〲㈷㠲〴戸㤹㕦㍢愸㔴㥦㐹㘰搹慣㈱搴㉣户愱㜹㜰摦㡡㌳㜰㌹昱て㐸て㥣攱㌹愹㌷散㐳晡㔶挴㠱㉢㔷㌲㐶㌰㍣㕢愹愰慤㕣搴㜸㡥㈳㝥㝦㌳挶㈸愳昶㠴戶㉥㕢㈶㌱㘲挹戹㠹㙡㐷ㄱ㡣㜹㠸扣㠰㕢㈹㐸㝦ㄴ㤷㈷愶戸㜹㕡扢㑦㠴搵昹挹㠸敤ぢ㉡㌶㤲ぢ〹户晡㥣扥㜴ち㐲㜵㈷㠸攲昶扦㠹㡦户昵挷攱戵㕢晦㔴㠸扣㤱搶攷㐱㠱戴晥㥢㤹㌶㑦っ慡㕡㝦㍥戸搳户晥ㄵ㉣つ㍥㝡〱ㄳ㜱㍣㡡挷ぢ㙥㑤㍣慤㝦㍡〴昴ㄹㄴ扣慡戱挰㐲ち㥣㐹㠱慢㈱㐰つ㌰捥㠲敦㌸ㄷ搹摡㕢戳つ戰㕣っ㜹㘰挹搳〹户〴戳挹戱挷愵戳㤹㐱ㄷ㌳昸㈰㤸㈶㍥㕥㉣㍦〴慦㡤攵㕢㈰昲㐶戰扣ㅥ㌱〵换㙥愶捤挳㠷㉡㉣㝢挰㥤ㅥ换ㅢ㔹ㅡ㝣㜴㉦ㄳ㜱㍣㡡㈷ㄵ㙥㑤㌸昱㍡㍤㈹〲〱摤㐷挱㡦㌴ㄶ㠸㔲愰㥦〲ㅦ㠵㠰㘰ㄹ㠳㙦㥥㡢㘵挳㉢挰つ〰㍤〷㤱〰㈸㑦㍢摣㘲㜸〰㍤㤷戹扣㤵戹㝣ㅡ〲㈶㍥㕥㐰㜹ㅣ㘱〳扡〴㈲㜳散敢挲搳㡦㑢㍣挰㄰㌴摦挶㠴㙦㠷慦ち捤〱㜰愷㐷昳づㄶ〵ㅦ㍤挸㐴ㅣ㡦扡ㄳづ户ㅡㅥ捤㕣〶〱㍤㐴挱扢ㅡぢ㉣愷挰ちち㝣ㄶ〲㠲㈶敦㝦㥤散愲㌹挹敤收〶㜸慥㐶㌴攰㜹㡦㈷ㅦㅡ愷㡥㠲づ㌳㥦㌵捣攷㝥㌰㑤㝣扣㜸昲㜴挳挶昳敤㄰㜹㈳ち捡㈳ㄱ㠱㜴㉤搳㝥〰扥㉡㐸搷㠳㍢㍤愴て戲㌴昸攸つ㑣挴昱愸慦挲搱〰搲㡤㄰搰攷㔱昰愱挶〲㥢㈸㌰㐲㠱㠷㈱㈰㤰㙥㠶慦㌲㡣㑥㝤㑢扢〱戲㕢ㄱㅢ挸昲㔴挶㉤㡦㐷㔳捦㘷㜶ㄷ㌰扢敦㐲挰挴挷㡢㉣㡦㑤㙣㘴摦〱㤱㌷㠲散昷ㄱ㔳㤰扤㤰㘹㍦〱㕦ㄵ戲摢挰㥤ㅥ搹愷㔸ㅡ㝣昴㐵㑣挴昱㈸㥥搰戸㌵昱㈸敢挵㄰搰愳ㄴ攴改㑤〳㠱㑢㈸㘰㔲㠰〷㍡㠲㙣〲扥㉥㔷㔹て昱㠶㜹〳㠸㔳㐸〶㄰昳摣挷捤搷愳扣ㄶ昳㑤㌳㕦㥥搱昰㑣挲搸づ㕦摢昶㑥っ摣㘷㕢㤷扥㘵搷昹㍢㜰挳㠲㘹㌸晢搲ㄹ戸㘹挳晣ㅣ慣㔵昸戸㡦挷㤸挷㡥敡㑥㐷敡〵〴㜳㔷㤵〸戹㝢づ㤳敤搰㈹㥥ぢ㜱㤷捥愷㜷㐱㝣㘲㥢㈸攷㈴昶㑢〴慤挱攷戴㜷敦㝤㝡敢戶㜳〶捥㝣㐷摢㡢昷摥㌲㌲攰㈶捣㠲戱㘸扦㠶っ㌵㐳ㄹ㜹挴㥣戳㙡昵慡摡慢昳㔲㥥ㅥ㠸㜸ㄶ搵敡㐵昸㐵㉤ち㠸愵㝥〳㥦慤ㄶ㍥㑤㐸昴愵㈰搳慢挵㑢捣ㄷㅦ㕤㘴㈲㡥㐷昱㝣捡㐵ㅦ㑥㜷㐶㈸㐱㐰㜳㜹慥㕥㘹㉣㌰㐶㠱㍤ㄴ㜸ㄵ〲㕢昰搱㝢攱慢搸昲㍣戰㜲搳㙤㠷摢ㄹ㤲昶㌱摡㌸㐸㠰㐵㌸戴㘳㡣ㄶ㐴て㜹捥㤶攴摥挸慣昴㜹㘳㘶ㄶ㙦愹㙤挰摥㘶㤹慣愳㘱㐱摢㙣敦㌰㑦㙢昳㐹ㄵ摥㜹ㄱ㠱愹挵愰摡㍥㜴敡㈶搷㘴づ㙦〷㍡ㄸ㜸敦㥦づㅥ㍣戴㕣搰㈴㌵ㄷ㔷戸㠸ぢ敡㜷㈱㠰敡㑢戳㤶㌲晡㜲㔲攷挱㉡扣〱㌷搰〴敥ㄴㅢ㐱㌵㥢户㑣㙦捥挴戲㤵ㅢㄴ㡢戲㔸㜲ㅣ挲㝥搰ㄵ捣㥥晢戵㑣愳扡㘴㉤㉥昷㉡挷㐱挰〳㕣敥搷㉥〶敡㜶ㄸ挴㍡㑡㜳慦㘱愴㍣㥥挵晥づ㥤㕣ㅣ搸㉥㉥㘸㜱㙡〵ㅥち㕤㈸㘲挳扡戹昶慡㕤㈵敥ち㘴㍡㘳㙥捤㠵㝢㠹挶㄰㙥㘵〴慥㐶ㄳ㑤ㅡㅦ〲㥥㔶㘱ㅣ㍥挶扢挱㥦扢㉥㤳㉣ㄶ㑡㠵㜴戹㜳〴晢㤴㥤㝣〵㈳㡤ㅤ敢挱挰㤵㐸戱㘱㥥慣㔸㜳㥥㉦㜴敥攱つ愵攰慥㝣㘱㙦㕥㑡ㄳ㈸昱㑤ㄴ收愶㕢㕡㤸㑤㄰ㅦ㜹㑥〳戶㈱㙥㝢㌰戲㝥てㅣ敤㑤㈱敥ㅢ昰〹㜱敦㐰ㅣ摣㈸㄰〷㌷ぢ昸㜴㜰㜹捦㔴っ昱ㅥ㐱ㄲ攲愶〰㤵搳戸〶㡥戶愱㘵愳戲㑡摢㠴户㌵㡣扦〰㘷ㄶ㌸搵㙦戳ㅡ敦〵㝢㈶搸㥥㉤挸㄰㜷ㄵ㤸㡡扣〲慡摦〷㥦扣ㄱ慡㘴つ㑢晥戵㘰攱㕦㠴ㄴ搷戰㔴ㅥ㌵〶㜰搹㘴〸昰ㄹㅦ〰㘷搲㜶㔰㈵㠸戱㉤慡戱攴昲㔶戰扣づづ㘰挹愵㉣㈷㘵攳㐳㜰㉣ㄸ㕡㌶戴㘹戴愷㌷㙣㈶㝡㘳㍤挹㘸て摥昸㡡㠵昱ㄲ㜴㉡ㅤ㑦㐶搲戱㐴㜷㈴㤶㡣ㅡ搷㔷㐴ㄳ㌱㉢㙥挶㝢㘳戱㥥㐴㍡ㄲ改敥㠹愵捣戴ㄹ㑥㠶挳挹愴㤹㠸㐷攳㈱㉥㤲㤹扣晥㌰ㅣ晡〶㤰㄰搷挶挲扡㤱慣扦㈴㡢㉢㘵㘱㔱㐰㐴〳㕣㑣㑥㍢㤸㌹ぢ㔸搶㐷㈵㔴㔲愵㤴搵摣搲㔲㜷㐶㕤㍤戰㘱㙤㉢㠳㈰㝢愴㘱㐸扦捣〰愶愹挷㈹㌷ㄲ㑡攵改ㄱ㡣㉣㘰㝥㡣攵扥〹㈴ㄸ攲㍡㤷㍣攳㘶㌸㘶愳搵㜱㘳捥扤㠷捤㕥㙣晣㌵昸搵㙡㜳ぢ㌸㌵晡㘱㝣ㅣ扣㝡㔵ち㜵㠲㉤㌹昲づ㥥扣㈶㙡扦㌰㝡ㅢ昸㑡㔶挰攴㝦㡡㍥㌸愸㘰㙡㍥㕣愲㍢ㄷ愱㤶ㄵ摤昹ㅢ㜰㈷搷㥤㜷㌶搴㥤〵㠸㈳㤹㝦〶づ攸捥改昸ㄲ摤戹ㅤづ㕢㜷ㄲ改㝥㌳㤶づ㜷㐷扡㑤㌳㤲散㡢㈶挲㠹㔸㈲㤱ち昷昵㠱㠴慤㠴昱㜷ㄵ搱㜰㈴ㅡ改㡦㈶搲㔱ㄳ敦摡㥢挹㘴㈲搶ㄷ㠹㐶攳㠹㘸㑦捡敡㑢愵愲愱㌳㥣攴昵ㅤ㜰攸㍢㐱㐲ぢ㕤搶㕤㘴㝤㤶㉣慥戳㐵㜷㈸㈰愲㙡㌱㕣搴ㅦ㜵ㅥ慡挱戶㤵㐲摦挳昰㝢㐱㠲㈱慥㥦愵㡤晥㉦ㅣつ摡㐸戳㙢㙢昶㘶捤扥ㅢ敡〲㤹㐰㥤搷て昵ㄷㄸ㜸ㄲ昱敤㠶ぢ晦㍥晤㐵挷㈱愸昷挰㈳愸慦昰愰慥㠹㍡〷㐹㌵搴㄰㘰慥㤸㈵㥦慦挰〱㠰㈳昸ㄲ㠰ㅦ㠴挳〶搸㡡㜶㈷慣㜰㕦慣摦散敦㡢昴挶晢攳摤㤶搹ㄷ戵攲挹㈸㡥㌷㘲昱戰昱搵㡡㘸㈲ㄲ㑦㐵㝡搲㤱摥敥晥㔴愴户慦㈷ㄶ改改敥改づ㈷㝡慤㘴慦ㄵ㐹㐷㐳㕣㜷ぢ㜴て挱愱ㅦ〶〹㜱戹㉤慣㐷挸晡ㅡ㔹㕣㝣ぢ㡢〲㥡愲敡ㅣ㄰〱㌸敥〵昸㕢っ㝦ㄴ㈴ㄸ攲㝡㕡㉡㐲㠰㙢搱攴㍡㝢〲捤〵㠴敥㜱㡡捤㠷㑢扤つ㉥晣攳昲㤷攳㄰㌴〷攰ㄱ㌴捦昶愲挹昱㑦搰㕣搴㄰捤㐱〴㑢㍥㍦㠰〳㘸㉥挳㤷愰昹㌴ㅣ㌶㥡攱㘴㍣ㅣ㡤㔹㔶搸㡡愵㈳㘱㌳㙥愶㠰㔸㕦搸㡣㕡㝤戱㜴㌴摥㙦㍣㔳ㄱ㑤㐶㌱捥㐵晢㝢㉣戳㈷ち昰攲㘶㜷㜷㉡搶㘳㘲搴敢㡦㥢晤扤㘶㘸挸㐹㕥晦㄰づ晤㈳㤰搰㜲㤷昵㉦㘴晤㤸慣ㄵ㉥㡢〲㈲慡㔶挳㈵㘸㥥敡愰㈹昳挲㝥㠶㍦ぢㄲっつ㠳㑡㐵㙥㈶㡦攳㠷收㤰愱㌹㐶㠴搶㠰㑣愰戹㤸搰㉤㈲昹㈵昸㙡㉤〹㝤扦㜲ㅣ㠲收㝡㜸〴捤㘳扣㘸㔶㜴㜳㑥㐳㌴戹㔸㤶㝣㝥ぢ〷搰摣㠸㉦㐱昳㈵㌸㙣㌴㤳㐹㘸㕢摣ち昷愴愱㙢搱㘴㌸㡥㌹㈱摤摤㥦㠸昵㐶搰晢扢㔳挶换ㄵ㔱㈸㙦㕦㍣ㅥ㑦㕡㝤扤㝤搰搱ㅥ搳㡡昴昶愷㉤㌳搶㤷㐸昶攱㔵昴搰㜹㑥昲晡〰ㅣ晡ㄵ㤰搰㈶㤷昵㉡㔹扦㈳㙢挴㘵㔵愴搴㔶戰〴㑤敤愰㈹㠵㝥㡤㔱㝥てㄲっ㥤て㉡扣㐶扡㜹㠱ㅢ㈸攳㙢㉦愱㘳㉤㌵搷㐵敡㐲〴攲摦愷晤㘰搱㈱㘸㙥㠳㑢搰㝣晤昵㠹昱㜵愲愷晦〱摣晡㘹㤸ぢ㘴㈹㠴㠱愴㠰收挵昰ぢ㥡㉤愰㌶㥡㤱㔸摣敡敤戱㉣㉢㤱戴㈲㝤挹扥㐴ㄴ挳㘸㍣ㄲ㡦昴昶㘰㜱㤷ちㅢ慤ㄵ㔱㈰㡥〹㍡搶摢搳ㄷ㡢㐴㔲改㘴扣户搷敡敦敤㌳晢㤲摤攱敥㘴㌴ㅣ攲㌲㥢挹㙢晥捡㡡づ㠲㠴㉥㜱㔹㌳挸㙡㈳换㜴㔹ㄵ㈹捣愸づ㥡〷㔰㡤捡㔰捡㥦㘷搱戳㐰㠲㈱ぢ〲㤳愲㤹㜶〳〵㑤㕥搹搴挷㌳㉡㙦㠱慡ㅤ〸㈴㡡㐱昵㜳愴捤愵〲攱っ敡ㄳ㤹㉥㑣晥っ挲㈸㔲㙤㔸敦㙣挸攵摡㤸㘶扦㍥〹㤱ㄵ搷挶昸慦㠹㔹㜰戹愷㔰㠶㔹攱愳㉥㠵㑢㕡㙦扦户昵摥捤㜰㡥搳㍦㘹搸㝡㐵〴㑢愵㑦㐳㔲㘸扤㤲㠸〳挱戲敢攰㈲㤵㑦㘸㡦攳攸搸ぢ挷㥦挷㈰摤㠷㤴㘵挸戸〶づ捦慣㌵敥昲〷㔰㄰扤㄰㐵搵㍣㝤㔳敦〲ㅦ晦㍥㝤ㄶ㔸㡣挸㑦攸㜲戲昰㈸㔹搵挰㔱挱㥤〱㈱慥㘳愴捡㡢愵捡〱㥡攲攷㑥㝥ㄷ搰㘳敡㉥挲㠲慢敡㤵敡ㄵ㜸㐵㝡ㅣ愹昸㥡㜰捣㘸㥦㜱㌴晢捦㌹扣戴㘸挹戵㈱㈹㝥〲㑦愰戱晥〷改戰㥥ㄳ㉦㑦㌰挵㔳昰搱㕤㈸慡㝡ㅦ〲攷搰户㡤攴㈲ㄲ敡戴晡づ戲㙣昸ㄲ挰户㥤㠰摡㜷攷㐲搷扡㐰㐶〴㐸㐵㍢㥣㘰慡㝦㐶っ搶㐰㌲㡤㈲㌰昰㘱戰ㅢ㕥〱慡晤㥤ㄶ敦㙦搸㜰挱㜳㑣㙥戸㠴〵〹摥㝥摤㕣ㄸ慣晣㡥捥㉣㜷愱戲挸㝤昳㜶挱〴挷扤㙢攷㐶摢㔰慣挴挳㡢愴㔸慥㈱㘰ㄱ摦搳㍤㘶挲攷㌹㤸㍡㜱㠲㡢㍤㘴㕣昷戲㔲㙥㡡㈵慣摥㥢晤㑤慡昶昸㔶慥搲㌸慦㐹搲㤰㘷㙡㜸㜵㝥㌸㌵ㄳ㌵㌸戱挱㜹昲戲㑣㔹敥㘳昰㜰㔵㘹慥㔷㡣ㄸ㘱㕡㌲㝦挵晣摥挰㌷〱摤㈱㘷㠱戸㥥愶㘶㠶昶搸㜳づ摢晡〶㠴ㄲ㝡愵慦㘷ㅥ㙦戵昳ㄸ㥡摦慢ㅥ㐱ㅥ捣〷ㅣっ㔴㙦愳昰㡤㄰㜱㔹㡡㡢ㄹ㝡㤸㔸挷挷攰〹挰㔱戳〲㝤㤹㝤㤰捦㠰㔰摦㍣攷扢㜳愰㠳ぢ㠸慡ㄸ戵㔷戵敤ㄸ扦㔸㝡昷慡㘷㉦㥢㝢昷慢㑢搵㙤㠸㌱愱㤶㈵㠴摢㙡昹ㄵㄴ愲愱㕡㍥攰〴搴扥㥣ㄳ攲㤲㐱晡昷㜲搴慡扤㐹搱挴ㄷ戵晣ㄲ㘲㔴搴㜲㈵慢㝣〷㠲㙣㝣㘸昷ㅢ慢挱㤳㌶㠸愹捦㐳搶慤㝦㔰慦愱昰㥤ㄵ攱扦愳昰㕡㕢㜸㘸㝥㑣晤愳㈳っづ挰㕣㑦㘱㕡昵ㄵ㌰㘹摤扢㠹㜵摣〳㑦ㄵ㌴㌶ㄴ㔳㠰㜹㙦㙤㡣㕡㌰攳〷㑦扦收摡敢㠷〷ㅥ昹昷㠵摢㍥昴昰㠱愵敡ぢ㠸搱〸捣扢ㅤ捣敡敥戱晦扤ㄳ㔰晢愲㑦攸㡢㐸㐹挰摣㡣㕡〱捣慦挰㉦㘰摥㠵ㄸㄵ㌰户戲捡て㈱挸〶㤳㌶扥㜱〱㜸〲㘶㔴摤敥攰㘳㙢收㠵ㄴ愶〵㙥ぢ㝦㤵挲摢㙣攱愱昹㔱昵㘹㐷ㄸㅣ㠰㜹㌱㠵ㅦ㠱㐸〵捣慦㌹ㅥ搱捣㙦挱昳挶挰㝣戴㌶㐶㉤㤸㜶㜳捣㜵戶㥤㕦㔹慡ㅥ㐷㡣㐶㘰㝥挲挱慣づ捣㡦㍢〱戵㉦つ㠵扥㡦㤴〴捣ㄴ㙡〵㌰㘹捤ぢ㤸㝦㡤ㄸㄵ㌰搳慣㌲㉤㙦ㅢㅦ㥡昸挶づ昰〴捣ㅥ昵㔷づ㍥㌶㤸㍢㈹㑣〳摣ㄶ㝥㠶挲㔹㕢㜸㘸㝥㡦扡搱ㄱ〶〷㘰收㈹㑣〳扥〲㈶つ昹㡡㘶敥㠷攷㄰挰㙣ㅤ戰㈱ちつ㜴㍣敢挶戸㐸㥤㝡挳㘰㘰晦㔵つ挱扣晥收㠱㕥㍥愵㜵〳㡡戶㝣㈳㌰慦㜳㌰慢〳昳㠳㑥㐰敤ぢ㐸愱㕦㈱㈵〱戳㡣㕡〱㑣ㅡ昳〲收晢ㄱ愳〲收ㅥ㔶昹〰㠲㙣㝣㘸攱ㅢ晢挰〳㤸㐳昳㈳敡晦㔴攱㜳ㄹ㠵㕦愹〸搳挶㌷㉥户㠵㔷㐰昸㍤㡥戰㡤晣㤵ㄴ愶晤㕥〱㤳㜶㝣〵捣搷攰㌹〴㌰㍤㘳㈶㙤晡慡ㄸ戵㘰晥挹晡捦攷捤摢扥戱ㄴ攷〳㜸㕥㕥慡㘸〸㌷〲昳㑡〷戳㍡㌰慦㜰〲㙡㕦㘶ち㜱ㄹ㈰㘰㕥〳〷挰愴㉤㉦㘰扥ぢ㌱㉡㘰扥ㄷ㕣㐵㡢摡〶㤳〶扥昱㍥㄰〱戳㕦敤㜵昰〱〷捡㜶㉤扥㔴㄰挴ㄶ㙥㠵换昸〰㠸愸㜱扦㉡㌹挲㌶㤸搷㔱㤸收㝢〵捣㌶挷㈳摤㥣㔶㝡ㄵ㌴戶〶㑥㌱㘶搲愴慦㡡㔱ぢ收晣㌵挷㝦戱昵㜷ㅦ㤸ㄸ㌳㘹捥㌷〲㌳敦㘰㔶〷㘶捥〹愸㝢㌱㡡㘶㍦摡ㄲ㍢㠲㜰戰晣晣㈸戱攷挹㜵捤㔳〴晡㐲戴攰〵昸㡦挲〱攰㘹㠶ぢ昰ㄹ愴㕥〱晥㘳攰慡㠵㈰ㄳ〵㥣㌰摣㔲㤳ㄵ㌰改〴搴扥㥣ㄴ㍡ぢ㈹㐹愶㥦㠰㐳㝦㤲攴㔶㤰㘰㘰㌱攸㜴㜷挳㍣扦㥣搴㠱ㅡ〴搲摣ち㥣㤱戶搹㌴㘲攵㐵㤴慣散㠶户攱㌲㘵ㄱ扦㕤戴ㄶ昷㠳㜱㠵ㄲ扦㍤攸散㈷攳摥㌰慦昸戸搷昵戴昸ㄸ搹㐸㙦㈸攲晥㕥㑢㝡戸㠴㕢挸愹㔶晣㉡㐸ㄹ扦㈵㤵㍦ㅡづ愶㜰㍥搱っ㠰昰搸户挵ㅡㅥつ慣㐰㜰㐳攳㑤敥㔷㜷㑤攰攱㕥户昷昳づ收攱ㅤ㑢ㄹ户愱㌸ㅤ戰㘴攵昷㉡㍢昷搰戸㉤昹搵挵㘸㜷㔹愷㍦㜱敦搵〷愵扣ㄸ㈸昴愷㈱㉢收扥㤲㍡攰㉤㈴晤户㘴昱㔰㔹㠸㉦挰昵㐱㙤愵㜸㐸㐳㕢挹㔷昳搳㍢㌳㘶戰愶㈳㌷㝤㜱攰昵摥㡢〶ㄵ㤷〰搴ㅥ攳㜶㄰捦㘹㝤捡㜳攵慤㔹㕤攰㤶捣㜷戵㙦愲㘴㜷㈰㡡扣㡤㉣扤〶㈴愸敦㈲㙢愲㘴㡡㡢〸㤶捥㝤㥡㘹摥㑥㘵㔹戳换戵攴㐶㑤晥㘴㙢㙢㙥㌴㙢攵户㤷㜷㔴㝥愶ㄵ愷愱昸㙤ㄷ晤昷㐸㠴㠹昲愳㘸〳㌳㔵㝤㌷〸㌹晣㈸摡㤰㔲慦㝦㠰㘳搲㝡㙤㙣㔸慦㝢ㄱ愵愶㕥晦㐸㤶愷㕥㐴搶㕢㉦戵〶っ㈹挵攷攰挰扦㕤㡡昵㉥昷㍥㉦㤷㈶㤹㤴敤昳㜰㑣㕡戶搵つ换㜶㍦愲搴㤴敤㑢㘴㜹捡戶ㄵ晥慡戲㕤〸㠶㤴敤〱㌸昰㙦㤷㡤ㄶ㥡㜰扦攲攵搲挲㤱戲㍤〸㠷㝢捦愸㕡ㄹ〶ㅡㄶ散㈱挸搷ㄴ散ㄱ戲㍣〵㑢挳㕦㔵戰㥤㘰㐸ㄱ扥づ〷晥敤㠲攵㕤敥㌷扣㕣㕡ぢ㔲戰㙦挲㌱㈹㘸戱㠶㘵㝢ㄴ㔱㙡捡昶捦㘴㜹捡戶〷晥慡戲㕤〶㠶㤴敤摢㜰攰摦㉥摢㤵㉥昷㍢㕥㉥㈷㕦㈹摢㜷攱㤸戴㙣摤つ换昶㍤㐴愹㈹摢ㄳ㘴㜹捡昶㕥昸慢捡㜶㉤ㄸ㔲戶愷攰挰扦㕤戶敢㕣敥て㍣摣㄰攷㌲㤹㌳㥥㠶㐳㍦㐳昲㐳㤰愰晡㈸㈸ぢ慤㌹ㄸ昹搵〲户㜴㔵㠳捦㡦㈹挰㈹㙢㘲昰昹〹㔹㥥搲㜱㡥㘳改㉡㐳捡㈷攰㤱愹戰ㄳ㐹㜲㉡㝣㉢攲户晡つ挵〹㑢〲㑥㜱〲㤶㐸㠰㔲户扡〱㈷㍢〱㕣愰敡攷挰つ㜰昴㍢攴㘱㤹㤳昷㘱ㅥ愴㍦㡦㝣ㄴ挷㔵㌱〰㝥〶〷㙦挴昲愳㌸捣挹㈰晣㜳〶㜳㠴ㄳ㤹ㄷㅣ〷㍤ㅤㅣ㤱攸㘸ㄵ戳攷㙥慦㑦㜱㌸㤱昸扦㈰㥢㈳㠹挴晦愵攳㤰昸ㅣ㌵㈶攲摦攷昵㈹㜶㜹㠹晦㉢戲搹摢㈵晥慦ㅤ㠷挴㘷捦㥥㠸捦ㅥ㕤昱㈹昶㑣㠹晦㈲搹㡦㌸㘱晡㌷㡥㐳攲戳〳㔶㘲㜴戰攳㔵㝣㡡扤㐷攲晦㤶㙣㜶ㅣ㠶改㤷ㅣ㠷挴㘷㈷愹挴攸昸㡥搷愷愸攱ㄲ晦㘵戲愹摣ㄲ晦㠰攳㤰昸㔴攴㠹昸㔴攰㡡㑦㔱㜱㐵㙤㘶搶攸ㄳ㤵㔹〲摡㙢昴㠹ち㉥〱㙤㕥㝤晡㜷愶㑡㠵㤶挲晣〷㝤搴㘵㈹捣㝦挲攱㌶㜸挷㜳昰㥣㡦㉡晡昷愹攴㈵愹㑢㉥㜹慤愳戹昳㠴收ぢ〶摡㙥摡晦㑦㍦扤攱挹㙤㑢㕥昸攳㉤户㍣昹晣つ㡦晤昱换㠹㈵摦晣搴愷扥戶收㤳㡦晤㜴㜶晡㔶晦㝤慦慤扤昵昲昰慥换㉦㑤㙦㌹㙢搵攵敦搸㜹㕥㜸攳慣㐵㑤㑤㉤㉤㘷捣昹搶昱ぢ㐳㔷㕦晡〵昵搰て㡦换㉢㔱㌶㘲昸ㅡ㜲攲㈳户㝣愸㜴㝣㡦㑢晦ㅥづ晤㕦㈴㝦㈰昹㈳挹敢㈴㝦㈲㌹㐸㐲搳㔴㉢㤰昶ㄶ㈵㙡挹㜸㝥㉡㥦昳㠴愸㥥搲敦昱敥〴つ㔴㔱㍥〴㔶捣㔸ち㠶愸㠴㈲挵㥦搹㠶㤴愸㔸㥤ㄴ㔵㑤愴㕡㙣㈹㔱㈴㑡㔵攵㐸㠵ㄲ㈹晥㘲㍡搲ㄲ㜵愹㑢㡢㙡㈳㔲㌳㙣㈹㔱㡡㍡㈹㉡㠷㐸戵㡢㔴〷摢敥捦摡㈴愲づ㉣挶㑣㘴挸㐷㥡㠴㙡㈱㑤搲〱慥づ㤱捣㈲㤹㑤㌲㠷㘴㉥挹㌱㈴挷㤲ㅣ〷搲摥ㄲ㘲扢戲昸敤捤㡡㡤㈹扡昸ぢ晣㤸〲㐷挳㘵攰户攲搶ㅥㅢ㔸〲㕥㜰〲㈴愳ㄳ㤰㠰㘲戳㑢搰捦㥣㈰㌰㌱㘲㔳ㄱ㠴晤扣挳㥥㈵㙣慡㠶戰㥦㜳搸㜲攵㕤㔱㔹㠴晤㔳㠷㝤㥣㐸㔳㝤㠴晤慣挳㕥㈸㙣㉡㤴戰昷㍢散㌳㠵㑤ㄵㄳ昶扦㌹散㜷㤰ㅤ㜲摢ㅤ慦㕦㌸攱㍦㜱挲㤷㈱㥣戵愳㍥㐹挴㝦慤〹愰ち㐹挰㡦㙢〲愸㌵ㄲ昰㉦㌵〱㔴ㄴ〹昸㔱㑤〰㜵㐳〲㝥㔸ㅤ㄰㘲ㅢ㍡昰戳攱㐴收㤹㙡ㄹ挵挶㤴㠰愷㥤〰㠱晦㉣㜰ㄵ㥢㔸㠲㥥㜲㠲攰〷晣㙣㜴㘱㍦改戰㙤昸愹〶挲㝥挲㘱摢昰㔳㌱㠴晤㝤㠷㙤挳㑦㔵ㄱ昶昷ㅣ戶つ㍦㤵㐷搸㡦㍢㙣ㅢ㝥慡㤳戰扦敢戰〵㝥㐵㈵㤱㐱慣〷づ挵㌲㡢慦㤷㍥㘱愱扣㤵㝥㉥㘷㑣ㄲ攴攵㔲扤㘷晣㌷ち搴㔸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</si>
</sst>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E+00"/>
    <numFmt numFmtId="165" formatCode="0.0"/>
    <numFmt numFmtId="166" formatCode="0.000%"/>
    <numFmt numFmtId="167" formatCode="0.000"/>
    <numFmt numFmtId="168" formatCode="0.0000"/>
  </numFmts>
  <fonts count="14">
    <font>
      <sz val="11"/>
      <color theme="1"/>
      <name val="Calibri"/>
      <family val="2"/>
      <scheme val="minor"/>
    </font>
    <font>
      <b/>
      <sz val="11"/>
      <color theme="0"/>
      <name val="Calibri"/>
      <family val="2"/>
      <scheme val="minor"/>
    </font>
    <font>
      <b/>
      <sz val="11"/>
      <color theme="1"/>
      <name val="Calibri"/>
      <family val="2"/>
      <scheme val="minor"/>
    </font>
    <font>
      <sz val="11"/>
      <color rgb="FF00610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rgb="FF9C0006"/>
      <name val="Calibri"/>
      <family val="2"/>
      <scheme val="minor"/>
    </font>
    <font>
      <sz val="11"/>
      <color theme="1"/>
      <name val="Calibri"/>
      <family val="2"/>
      <scheme val="minor"/>
    </font>
    <font>
      <sz val="11"/>
      <color rgb="FF9C5700"/>
      <name val="Calibri"/>
      <family val="2"/>
      <scheme val="minor"/>
    </font>
    <font>
      <sz val="11"/>
      <color theme="1"/>
      <name val="Times New Roman"/>
      <family val="1"/>
    </font>
    <font>
      <b/>
      <sz val="11"/>
      <color theme="1"/>
      <name val="Times New Roman"/>
      <family val="1"/>
    </font>
    <font>
      <sz val="11"/>
      <color theme="0"/>
      <name val="Calibri"/>
      <family val="2"/>
      <scheme val="minor"/>
    </font>
    <font>
      <sz val="11"/>
      <color theme="0"/>
      <name val="Calibri"/>
      <family val="2"/>
      <charset val="134"/>
      <scheme val="minor"/>
    </font>
  </fonts>
  <fills count="13">
    <fill>
      <patternFill patternType="none"/>
    </fill>
    <fill>
      <patternFill patternType="gray125"/>
    </fill>
    <fill>
      <patternFill patternType="solid">
        <fgColor rgb="FFA5A5A5"/>
      </patternFill>
    </fill>
    <fill>
      <patternFill patternType="solid">
        <fgColor rgb="FFC6EFCE"/>
      </patternFill>
    </fill>
    <fill>
      <patternFill patternType="solid">
        <fgColor rgb="FFFFC7CE"/>
      </patternFill>
    </fill>
    <fill>
      <patternFill patternType="solid">
        <fgColor rgb="FF00FF00"/>
        <bgColor indexed="64"/>
      </patternFill>
    </fill>
    <fill>
      <patternFill patternType="solid">
        <fgColor rgb="FF00FFFF"/>
        <bgColor indexed="64"/>
      </patternFill>
    </fill>
    <fill>
      <patternFill patternType="solid">
        <fgColor rgb="FFFFEB9C"/>
      </patternFill>
    </fill>
    <fill>
      <patternFill patternType="solid">
        <fgColor theme="4"/>
      </patternFill>
    </fill>
    <fill>
      <patternFill patternType="solid">
        <fgColor theme="7"/>
      </patternFill>
    </fill>
    <fill>
      <patternFill patternType="solid">
        <fgColor theme="8"/>
      </patternFill>
    </fill>
    <fill>
      <patternFill patternType="solid">
        <fgColor theme="9"/>
      </patternFill>
    </fill>
    <fill>
      <patternFill patternType="solid">
        <fgColor theme="5"/>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7" fillId="4" borderId="0" applyNumberFormat="0" applyBorder="0" applyAlignment="0" applyProtection="0"/>
    <xf numFmtId="0" fontId="9"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cellStyleXfs>
  <cellXfs count="115">
    <xf numFmtId="0" fontId="0" fillId="0" borderId="0" xfId="0"/>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164" fontId="6" fillId="0" borderId="0" xfId="0" applyNumberFormat="1" applyFont="1" applyAlignment="1">
      <alignment horizontal="center" vertical="center"/>
    </xf>
    <xf numFmtId="0" fontId="6" fillId="0" borderId="0" xfId="0" applyFont="1" applyAlignment="1">
      <alignment horizontal="center"/>
    </xf>
    <xf numFmtId="0" fontId="2" fillId="0" borderId="0" xfId="0" applyFont="1"/>
    <xf numFmtId="0" fontId="0" fillId="0" borderId="0" xfId="0" quotePrefix="1"/>
    <xf numFmtId="0" fontId="7" fillId="4" borderId="0" xfId="3"/>
    <xf numFmtId="0" fontId="0" fillId="5" borderId="0" xfId="0" applyFill="1"/>
    <xf numFmtId="9" fontId="0" fillId="5" borderId="0" xfId="0" applyNumberFormat="1" applyFill="1"/>
    <xf numFmtId="10" fontId="0" fillId="5" borderId="0" xfId="0" applyNumberFormat="1" applyFill="1"/>
    <xf numFmtId="0" fontId="0" fillId="6" borderId="0" xfId="0" applyFill="1"/>
    <xf numFmtId="0" fontId="7" fillId="4" borderId="2" xfId="3" applyBorder="1" applyAlignment="1">
      <alignment horizontal="center" vertical="center"/>
    </xf>
    <xf numFmtId="0" fontId="3" fillId="3" borderId="2" xfId="2" applyBorder="1" applyAlignment="1">
      <alignment horizontal="center" vertical="center"/>
    </xf>
    <xf numFmtId="9" fontId="7" fillId="4" borderId="2" xfId="3" applyNumberFormat="1" applyBorder="1" applyAlignment="1">
      <alignment horizontal="center" vertical="center"/>
    </xf>
    <xf numFmtId="9" fontId="3" fillId="3" borderId="2" xfId="2" applyNumberFormat="1" applyBorder="1" applyAlignment="1">
      <alignment horizontal="center" vertical="center"/>
    </xf>
    <xf numFmtId="0" fontId="2" fillId="0" borderId="0" xfId="0" applyFont="1" applyAlignment="1">
      <alignment horizontal="center" vertical="center"/>
    </xf>
    <xf numFmtId="0" fontId="4" fillId="0" borderId="0" xfId="0" applyFont="1"/>
    <xf numFmtId="2" fontId="0" fillId="0" borderId="0" xfId="0" applyNumberFormat="1"/>
    <xf numFmtId="165" fontId="0" fillId="0" borderId="0" xfId="0" applyNumberFormat="1"/>
    <xf numFmtId="10" fontId="0" fillId="0" borderId="0" xfId="0" applyNumberFormat="1"/>
    <xf numFmtId="0" fontId="8" fillId="0" borderId="0" xfId="0" applyFont="1"/>
    <xf numFmtId="166" fontId="0" fillId="0" borderId="0" xfId="0" applyNumberFormat="1"/>
    <xf numFmtId="0" fontId="1" fillId="2" borderId="1" xfId="1"/>
    <xf numFmtId="168" fontId="3" fillId="3" borderId="2" xfId="2" applyNumberFormat="1" applyBorder="1"/>
    <xf numFmtId="0" fontId="9" fillId="7" borderId="2" xfId="4" applyBorder="1"/>
    <xf numFmtId="167" fontId="7" fillId="4" borderId="2" xfId="3" applyNumberFormat="1" applyBorder="1"/>
    <xf numFmtId="167" fontId="3" fillId="3" borderId="2" xfId="2" applyNumberFormat="1" applyBorder="1"/>
    <xf numFmtId="9" fontId="3" fillId="3" borderId="2" xfId="2" applyNumberFormat="1" applyBorder="1"/>
    <xf numFmtId="9" fontId="9" fillId="7" borderId="2" xfId="4" applyNumberFormat="1" applyBorder="1"/>
    <xf numFmtId="0" fontId="7" fillId="4" borderId="2" xfId="3" applyBorder="1"/>
    <xf numFmtId="0" fontId="3" fillId="3" borderId="2" xfId="2" applyBorder="1"/>
    <xf numFmtId="9" fontId="7" fillId="4" borderId="0" xfId="3" applyNumberFormat="1"/>
    <xf numFmtId="0" fontId="2" fillId="0" borderId="0" xfId="0" applyFont="1" applyAlignment="1">
      <alignment horizontal="center"/>
    </xf>
    <xf numFmtId="0" fontId="0" fillId="0" borderId="0" xfId="0" applyAlignment="1">
      <alignment horizontal="left" vertical="center"/>
    </xf>
    <xf numFmtId="0" fontId="0" fillId="0" borderId="0" xfId="0"/>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vertical="center"/>
    </xf>
    <xf numFmtId="164" fontId="0" fillId="0" borderId="0" xfId="0" applyNumberFormat="1"/>
    <xf numFmtId="1" fontId="0" fillId="0" borderId="0" xfId="0" applyNumberFormat="1" applyAlignment="1">
      <alignment horizontal="center" vertical="center"/>
    </xf>
    <xf numFmtId="0" fontId="2" fillId="0" borderId="0" xfId="0" applyFont="1" applyAlignment="1">
      <alignment horizontal="center" vertical="center"/>
    </xf>
    <xf numFmtId="0" fontId="12" fillId="8" borderId="0" xfId="5" applyAlignment="1">
      <alignment vertical="center"/>
    </xf>
    <xf numFmtId="164" fontId="12" fillId="8" borderId="0" xfId="5" applyNumberFormat="1" applyAlignment="1">
      <alignment vertical="center"/>
    </xf>
    <xf numFmtId="164" fontId="12" fillId="8" borderId="0" xfId="5" applyNumberFormat="1" applyAlignment="1">
      <alignment horizontal="center" vertical="center"/>
    </xf>
    <xf numFmtId="0" fontId="12" fillId="8" borderId="0" xfId="5" applyAlignment="1">
      <alignment horizontal="center" vertical="center"/>
    </xf>
    <xf numFmtId="0" fontId="12" fillId="10" borderId="0" xfId="7" applyAlignment="1">
      <alignment vertical="center"/>
    </xf>
    <xf numFmtId="0" fontId="12" fillId="10" borderId="0" xfId="7" applyAlignment="1">
      <alignment horizontal="center" vertical="center"/>
    </xf>
    <xf numFmtId="0" fontId="12" fillId="11" borderId="0" xfId="8" applyAlignment="1">
      <alignment horizontal="center" vertical="center"/>
    </xf>
    <xf numFmtId="164" fontId="0" fillId="0" borderId="0" xfId="0" applyNumberFormat="1" applyAlignment="1">
      <alignment horizontal="center" vertical="center"/>
    </xf>
    <xf numFmtId="164" fontId="12" fillId="10" borderId="0" xfId="7" applyNumberFormat="1" applyAlignment="1">
      <alignment horizontal="center" vertical="center"/>
    </xf>
    <xf numFmtId="164" fontId="12" fillId="11" borderId="0" xfId="8" applyNumberFormat="1" applyAlignment="1">
      <alignment horizontal="center" vertical="center"/>
    </xf>
    <xf numFmtId="1" fontId="12" fillId="10" borderId="0" xfId="7" applyNumberFormat="1" applyAlignment="1">
      <alignment horizontal="center" vertical="center"/>
    </xf>
    <xf numFmtId="1" fontId="12" fillId="11" borderId="0" xfId="8" applyNumberFormat="1" applyAlignment="1">
      <alignment horizontal="center" vertical="center"/>
    </xf>
    <xf numFmtId="1" fontId="0" fillId="0" borderId="0" xfId="0" applyNumberFormat="1"/>
    <xf numFmtId="167" fontId="0" fillId="0" borderId="0" xfId="0" applyNumberFormat="1" applyAlignment="1">
      <alignment horizontal="center"/>
    </xf>
    <xf numFmtId="167" fontId="0" fillId="0" borderId="0" xfId="0" applyNumberFormat="1" applyAlignment="1">
      <alignment horizontal="center" vertical="center"/>
    </xf>
    <xf numFmtId="0" fontId="4" fillId="0" borderId="0" xfId="0" applyFont="1" applyAlignment="1">
      <alignment horizontal="center" vertical="center"/>
    </xf>
    <xf numFmtId="164" fontId="0" fillId="0" borderId="3" xfId="0" applyNumberFormat="1" applyBorder="1" applyAlignment="1">
      <alignment horizontal="left" vertical="center"/>
    </xf>
    <xf numFmtId="164" fontId="4" fillId="0" borderId="6" xfId="0" applyNumberFormat="1" applyFont="1" applyBorder="1" applyAlignment="1">
      <alignment horizontal="left" vertical="center"/>
    </xf>
    <xf numFmtId="164" fontId="12" fillId="10" borderId="9" xfId="7" applyNumberFormat="1" applyBorder="1" applyAlignment="1">
      <alignment horizontal="left" vertical="center"/>
    </xf>
    <xf numFmtId="164" fontId="4" fillId="0" borderId="9" xfId="0" applyNumberFormat="1" applyFont="1" applyBorder="1" applyAlignment="1">
      <alignment horizontal="left" vertical="center"/>
    </xf>
    <xf numFmtId="164" fontId="12" fillId="10" borderId="6" xfId="7" applyNumberFormat="1" applyBorder="1" applyAlignment="1">
      <alignment horizontal="left" vertical="center"/>
    </xf>
    <xf numFmtId="164" fontId="5" fillId="0" borderId="3" xfId="0" applyNumberFormat="1" applyFont="1" applyBorder="1" applyAlignment="1">
      <alignment horizontal="left" vertical="center"/>
    </xf>
    <xf numFmtId="164" fontId="0" fillId="0" borderId="4" xfId="0" applyNumberFormat="1" applyBorder="1" applyAlignment="1">
      <alignment horizontal="right" vertical="center"/>
    </xf>
    <xf numFmtId="3" fontId="0" fillId="0" borderId="4" xfId="0" applyNumberFormat="1" applyBorder="1" applyAlignment="1">
      <alignment horizontal="right" vertical="center"/>
    </xf>
    <xf numFmtId="164" fontId="0" fillId="0" borderId="7" xfId="0" applyNumberFormat="1" applyBorder="1" applyAlignment="1">
      <alignment horizontal="right" vertical="center"/>
    </xf>
    <xf numFmtId="3" fontId="0" fillId="0" borderId="7" xfId="0" applyNumberFormat="1" applyBorder="1" applyAlignment="1">
      <alignment horizontal="right" vertical="center"/>
    </xf>
    <xf numFmtId="164" fontId="12" fillId="10" borderId="0" xfId="7" applyNumberFormat="1" applyBorder="1" applyAlignment="1">
      <alignment horizontal="right"/>
    </xf>
    <xf numFmtId="3" fontId="12" fillId="10" borderId="0" xfId="7" applyNumberFormat="1" applyBorder="1" applyAlignment="1">
      <alignment horizontal="right" vertical="center"/>
    </xf>
    <xf numFmtId="164" fontId="12" fillId="10" borderId="0" xfId="7" applyNumberFormat="1" applyBorder="1" applyAlignment="1">
      <alignment horizontal="right" vertical="center"/>
    </xf>
    <xf numFmtId="164" fontId="0" fillId="0" borderId="7" xfId="0" applyNumberFormat="1" applyBorder="1" applyAlignment="1">
      <alignment horizontal="right"/>
    </xf>
    <xf numFmtId="164" fontId="0" fillId="0" borderId="4" xfId="0" applyNumberFormat="1" applyBorder="1" applyAlignment="1">
      <alignment horizontal="right"/>
    </xf>
    <xf numFmtId="164" fontId="0" fillId="0" borderId="0" xfId="0" applyNumberFormat="1" applyBorder="1" applyAlignment="1">
      <alignment horizontal="right"/>
    </xf>
    <xf numFmtId="3" fontId="0" fillId="0" borderId="0" xfId="0" applyNumberFormat="1" applyBorder="1" applyAlignment="1">
      <alignment horizontal="right" vertical="center"/>
    </xf>
    <xf numFmtId="164" fontId="0" fillId="0" borderId="0" xfId="0" applyNumberFormat="1" applyBorder="1" applyAlignment="1">
      <alignment horizontal="right" vertical="center"/>
    </xf>
    <xf numFmtId="164" fontId="12" fillId="10" borderId="7" xfId="7" applyNumberFormat="1" applyBorder="1" applyAlignment="1">
      <alignment horizontal="right"/>
    </xf>
    <xf numFmtId="3" fontId="12" fillId="10" borderId="7" xfId="7" applyNumberFormat="1" applyBorder="1" applyAlignment="1">
      <alignment horizontal="right" vertical="center"/>
    </xf>
    <xf numFmtId="164" fontId="12" fillId="10" borderId="7" xfId="7" applyNumberFormat="1" applyBorder="1" applyAlignment="1">
      <alignment horizontal="right" vertical="center"/>
    </xf>
    <xf numFmtId="0" fontId="0" fillId="0" borderId="0" xfId="0" applyAlignment="1">
      <alignment horizontal="right"/>
    </xf>
    <xf numFmtId="0" fontId="0" fillId="0" borderId="0" xfId="0" applyAlignment="1">
      <alignment horizontal="left"/>
    </xf>
    <xf numFmtId="164" fontId="2" fillId="0" borderId="0" xfId="0" applyNumberFormat="1" applyFont="1" applyAlignment="1">
      <alignment horizontal="center" vertical="center"/>
    </xf>
    <xf numFmtId="167" fontId="2" fillId="0" borderId="0" xfId="0" applyNumberFormat="1" applyFont="1" applyAlignment="1">
      <alignment horizontal="center" vertical="center"/>
    </xf>
    <xf numFmtId="164" fontId="0" fillId="0" borderId="0" xfId="0" applyNumberFormat="1" applyAlignment="1">
      <alignment horizontal="left" vertical="center"/>
    </xf>
    <xf numFmtId="167" fontId="0" fillId="0" borderId="0" xfId="0" applyNumberFormat="1" applyAlignment="1">
      <alignment horizontal="left" vertical="center"/>
    </xf>
    <xf numFmtId="0" fontId="4" fillId="0" borderId="0" xfId="0" applyFont="1" applyAlignment="1">
      <alignment horizontal="left" vertical="center"/>
    </xf>
    <xf numFmtId="0" fontId="12" fillId="8" borderId="0" xfId="5"/>
    <xf numFmtId="0" fontId="12" fillId="10" borderId="0" xfId="7"/>
    <xf numFmtId="0" fontId="12" fillId="11" borderId="0" xfId="8"/>
    <xf numFmtId="0" fontId="12" fillId="9" borderId="0" xfId="6"/>
    <xf numFmtId="1" fontId="0" fillId="0" borderId="0" xfId="0" applyNumberForma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3" fillId="12" borderId="0" xfId="9"/>
    <xf numFmtId="0" fontId="12" fillId="10" borderId="0" xfId="7" applyAlignment="1">
      <alignment horizontal="center" vertical="center"/>
    </xf>
    <xf numFmtId="164" fontId="12" fillId="10" borderId="0" xfId="7" applyNumberFormat="1" applyAlignment="1">
      <alignment horizontal="center" vertical="center"/>
    </xf>
    <xf numFmtId="1" fontId="0" fillId="0" borderId="0" xfId="0" applyNumberForma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6" fillId="0" borderId="0" xfId="0" applyFont="1" applyAlignment="1">
      <alignment horizontal="center" vertical="center"/>
    </xf>
    <xf numFmtId="164" fontId="6" fillId="0" borderId="0" xfId="0" applyNumberFormat="1" applyFont="1" applyAlignment="1">
      <alignment horizontal="center" vertical="center"/>
    </xf>
    <xf numFmtId="0" fontId="6" fillId="0" borderId="0" xfId="0" applyFont="1" applyAlignment="1">
      <alignment horizontal="center"/>
    </xf>
    <xf numFmtId="0" fontId="2" fillId="0" borderId="0" xfId="0" applyFont="1" applyAlignment="1">
      <alignment horizontal="center"/>
    </xf>
    <xf numFmtId="9" fontId="0" fillId="0" borderId="0" xfId="0" applyNumberFormat="1" applyAlignment="1">
      <alignment horizontal="center"/>
    </xf>
    <xf numFmtId="0" fontId="0" fillId="0" borderId="0" xfId="0" applyAlignment="1">
      <alignment horizontal="center"/>
    </xf>
    <xf numFmtId="164" fontId="0" fillId="0" borderId="5" xfId="0" applyNumberFormat="1" applyBorder="1" applyAlignment="1">
      <alignment horizontal="right"/>
    </xf>
    <xf numFmtId="164" fontId="0" fillId="0" borderId="8" xfId="0" applyNumberFormat="1" applyBorder="1" applyAlignment="1">
      <alignment horizontal="right"/>
    </xf>
    <xf numFmtId="164" fontId="12" fillId="10" borderId="10" xfId="7" applyNumberFormat="1" applyBorder="1" applyAlignment="1">
      <alignment horizontal="right"/>
    </xf>
    <xf numFmtId="164" fontId="0" fillId="0" borderId="10" xfId="0" applyNumberFormat="1" applyBorder="1" applyAlignment="1">
      <alignment horizontal="right"/>
    </xf>
    <xf numFmtId="164" fontId="12" fillId="10" borderId="8" xfId="7" applyNumberFormat="1" applyBorder="1" applyAlignment="1">
      <alignment horizontal="right"/>
    </xf>
    <xf numFmtId="164" fontId="0" fillId="0" borderId="0" xfId="0" applyNumberFormat="1" applyAlignment="1">
      <alignment horizontal="right"/>
    </xf>
  </cellXfs>
  <cellStyles count="10">
    <cellStyle name="Accent1" xfId="5" builtinId="29"/>
    <cellStyle name="Accent2 2" xfId="9" xr:uid="{0ACC7D09-8F9E-4EF8-A436-7E1EDB982130}"/>
    <cellStyle name="Accent4" xfId="6" builtinId="41"/>
    <cellStyle name="Accent5" xfId="7" builtinId="45"/>
    <cellStyle name="Accent6" xfId="8" builtinId="49"/>
    <cellStyle name="Bad" xfId="3" builtinId="27"/>
    <cellStyle name="Check Cell" xfId="1" builtinId="23"/>
    <cellStyle name="Good" xfId="2" builtinId="26"/>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results!$A$2</c:f>
              <c:strCache>
                <c:ptCount val="1"/>
                <c:pt idx="0">
                  <c:v>FTO glass</c:v>
                </c:pt>
              </c:strCache>
            </c:strRef>
          </c:tx>
          <c:spPr>
            <a:solidFill>
              <a:schemeClr val="accent2"/>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results!$D$2:$X$2</c:f>
              <c:numCache>
                <c:formatCode>General</c:formatCode>
                <c:ptCount val="21"/>
                <c:pt idx="0">
                  <c:v>6.2012667171672007</c:v>
                </c:pt>
                <c:pt idx="1">
                  <c:v>3.5862291309599996</c:v>
                </c:pt>
                <c:pt idx="2">
                  <c:v>0.83657114503199992</c:v>
                </c:pt>
                <c:pt idx="3">
                  <c:v>9.6806916922641872E-2</c:v>
                </c:pt>
                <c:pt idx="4">
                  <c:v>2.0273180159735998E-3</c:v>
                </c:pt>
                <c:pt idx="5">
                  <c:v>124.88415725309692</c:v>
                </c:pt>
                <c:pt idx="6">
                  <c:v>0.21998732374079996</c:v>
                </c:pt>
                <c:pt idx="7">
                  <c:v>88.426822169151336</c:v>
                </c:pt>
                <c:pt idx="8">
                  <c:v>1.0613301240527999E-2</c:v>
                </c:pt>
                <c:pt idx="9">
                  <c:v>37.727846160631195</c:v>
                </c:pt>
                <c:pt idx="10">
                  <c:v>2.6633363931215996E-3</c:v>
                </c:pt>
                <c:pt idx="11">
                  <c:v>2.2588717898879995E-7</c:v>
                </c:pt>
                <c:pt idx="12">
                  <c:v>3.1256384650847999E-2</c:v>
                </c:pt>
                <c:pt idx="13">
                  <c:v>4.8130512783804966E-2</c:v>
                </c:pt>
                <c:pt idx="14">
                  <c:v>6.2621029628639996E-2</c:v>
                </c:pt>
                <c:pt idx="15">
                  <c:v>7.4279348593848408E-3</c:v>
                </c:pt>
                <c:pt idx="16">
                  <c:v>0.14772324234023998</c:v>
                </c:pt>
                <c:pt idx="17">
                  <c:v>7.7349191552639985E-3</c:v>
                </c:pt>
                <c:pt idx="18">
                  <c:v>0.50998414695703564</c:v>
                </c:pt>
                <c:pt idx="19">
                  <c:v>1.0265223189718116</c:v>
                </c:pt>
                <c:pt idx="20">
                  <c:v>1.8519365587967997</c:v>
                </c:pt>
              </c:numCache>
            </c:numRef>
          </c:val>
          <c:extLst>
            <c:ext xmlns:c16="http://schemas.microsoft.com/office/drawing/2014/chart" uri="{C3380CC4-5D6E-409C-BE32-E72D297353CC}">
              <c16:uniqueId val="{00000000-40D9-485F-B86B-D9356F9DBE16}"/>
            </c:ext>
          </c:extLst>
        </c:ser>
        <c:ser>
          <c:idx val="1"/>
          <c:order val="1"/>
          <c:tx>
            <c:strRef>
              <c:f>results!$A$3</c:f>
              <c:strCache>
                <c:ptCount val="1"/>
                <c:pt idx="0">
                  <c:v>BL-TiO₂ ink</c:v>
                </c:pt>
              </c:strCache>
            </c:strRef>
          </c:tx>
          <c:spPr>
            <a:solidFill>
              <a:schemeClr val="accent4"/>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results!$D$3:$X$3</c:f>
              <c:numCache>
                <c:formatCode>General</c:formatCode>
                <c:ptCount val="21"/>
                <c:pt idx="0">
                  <c:v>1.293199433448129E-2</c:v>
                </c:pt>
                <c:pt idx="1">
                  <c:v>1.9695817554351288E-2</c:v>
                </c:pt>
                <c:pt idx="2">
                  <c:v>7.0744935330554022E-3</c:v>
                </c:pt>
                <c:pt idx="3">
                  <c:v>4.5729244499394381E-4</c:v>
                </c:pt>
                <c:pt idx="4">
                  <c:v>8.4917838143480997E-6</c:v>
                </c:pt>
                <c:pt idx="5">
                  <c:v>0.27776640399273711</c:v>
                </c:pt>
                <c:pt idx="6">
                  <c:v>1.3782653163698427E-3</c:v>
                </c:pt>
                <c:pt idx="7">
                  <c:v>0.22877280080022183</c:v>
                </c:pt>
                <c:pt idx="8">
                  <c:v>7.6318507950416941E-5</c:v>
                </c:pt>
                <c:pt idx="9">
                  <c:v>8.6460236902545723E-4</c:v>
                </c:pt>
                <c:pt idx="10">
                  <c:v>1.3390051863348496E-5</c:v>
                </c:pt>
                <c:pt idx="11">
                  <c:v>1.799284917773163E-9</c:v>
                </c:pt>
                <c:pt idx="12">
                  <c:v>5.7320391638240616E-5</c:v>
                </c:pt>
                <c:pt idx="13">
                  <c:v>7.2599651487083072E-5</c:v>
                </c:pt>
                <c:pt idx="14">
                  <c:v>1.7736710634835449E-4</c:v>
                </c:pt>
                <c:pt idx="15">
                  <c:v>9.6960437372414321E-5</c:v>
                </c:pt>
                <c:pt idx="16">
                  <c:v>7.4044005221490523E-4</c:v>
                </c:pt>
                <c:pt idx="17">
                  <c:v>4.2819083358078408E-3</c:v>
                </c:pt>
                <c:pt idx="18">
                  <c:v>4.1223709611176275E-3</c:v>
                </c:pt>
                <c:pt idx="19">
                  <c:v>2.7034988925174943E-3</c:v>
                </c:pt>
                <c:pt idx="20">
                  <c:v>8.9747570352761215E-4</c:v>
                </c:pt>
              </c:numCache>
            </c:numRef>
          </c:val>
          <c:extLst>
            <c:ext xmlns:c16="http://schemas.microsoft.com/office/drawing/2014/chart" uri="{C3380CC4-5D6E-409C-BE32-E72D297353CC}">
              <c16:uniqueId val="{00000001-40D9-485F-B86B-D9356F9DBE16}"/>
            </c:ext>
          </c:extLst>
        </c:ser>
        <c:ser>
          <c:idx val="2"/>
          <c:order val="2"/>
          <c:tx>
            <c:strRef>
              <c:f>results!$A$4</c:f>
              <c:strCache>
                <c:ptCount val="1"/>
                <c:pt idx="0">
                  <c:v>MP-TiO₂</c:v>
                </c:pt>
              </c:strCache>
            </c:strRef>
          </c:tx>
          <c:spPr>
            <a:solidFill>
              <a:schemeClr val="accent6"/>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results!$D$4:$X$4</c:f>
              <c:numCache>
                <c:formatCode>General</c:formatCode>
                <c:ptCount val="21"/>
                <c:pt idx="0">
                  <c:v>1.8693385199999998E-4</c:v>
                </c:pt>
                <c:pt idx="1">
                  <c:v>3.7708588799999997E-3</c:v>
                </c:pt>
                <c:pt idx="2">
                  <c:v>9.2951711999999988E-4</c:v>
                </c:pt>
                <c:pt idx="3">
                  <c:v>6.6916907999999998E-5</c:v>
                </c:pt>
                <c:pt idx="4">
                  <c:v>1.7321342399999998E-6</c:v>
                </c:pt>
                <c:pt idx="5">
                  <c:v>6.1632791999999999E-2</c:v>
                </c:pt>
                <c:pt idx="6">
                  <c:v>2.3518123199999999E-4</c:v>
                </c:pt>
                <c:pt idx="7">
                  <c:v>7.7231339999999996E-2</c:v>
                </c:pt>
                <c:pt idx="8">
                  <c:v>4.0176032400000002E-6</c:v>
                </c:pt>
                <c:pt idx="9">
                  <c:v>1.1684951999999999E-4</c:v>
                </c:pt>
                <c:pt idx="10">
                  <c:v>8.735796E-7</c:v>
                </c:pt>
                <c:pt idx="11">
                  <c:v>3.8645618399999995E-10</c:v>
                </c:pt>
                <c:pt idx="12">
                  <c:v>1.00372824E-5</c:v>
                </c:pt>
                <c:pt idx="13">
                  <c:v>1.47747132E-5</c:v>
                </c:pt>
                <c:pt idx="14">
                  <c:v>2.0841040799999998E-5</c:v>
                </c:pt>
                <c:pt idx="15">
                  <c:v>2.1978064799999997E-6</c:v>
                </c:pt>
                <c:pt idx="16">
                  <c:v>5.7308039999999997E-5</c:v>
                </c:pt>
                <c:pt idx="17">
                  <c:v>4.0110552000000004E-5</c:v>
                </c:pt>
                <c:pt idx="18">
                  <c:v>1.66624776E-4</c:v>
                </c:pt>
                <c:pt idx="19">
                  <c:v>5.7089771999999995E-4</c:v>
                </c:pt>
                <c:pt idx="20">
                  <c:v>1.2806240400000001E-4</c:v>
                </c:pt>
              </c:numCache>
            </c:numRef>
          </c:val>
          <c:extLst>
            <c:ext xmlns:c16="http://schemas.microsoft.com/office/drawing/2014/chart" uri="{C3380CC4-5D6E-409C-BE32-E72D297353CC}">
              <c16:uniqueId val="{00000002-40D9-485F-B86B-D9356F9DBE16}"/>
            </c:ext>
          </c:extLst>
        </c:ser>
        <c:ser>
          <c:idx val="3"/>
          <c:order val="3"/>
          <c:tx>
            <c:strRef>
              <c:f>results!$A$5</c:f>
              <c:strCache>
                <c:ptCount val="1"/>
                <c:pt idx="0">
                  <c:v>2-methoxyethanol</c:v>
                </c:pt>
              </c:strCache>
            </c:strRef>
          </c:tx>
          <c:spPr>
            <a:solidFill>
              <a:schemeClr val="accent2">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results!$D$5:$X$5</c:f>
              <c:numCache>
                <c:formatCode>General</c:formatCode>
                <c:ptCount val="21"/>
                <c:pt idx="0">
                  <c:v>1.9657773170999996E-4</c:v>
                </c:pt>
                <c:pt idx="1">
                  <c:v>5.0901100109999996E-3</c:v>
                </c:pt>
                <c:pt idx="2">
                  <c:v>3.5721144449999995E-3</c:v>
                </c:pt>
                <c:pt idx="3">
                  <c:v>4.4562648149999991E-5</c:v>
                </c:pt>
                <c:pt idx="4">
                  <c:v>1.9132916039999996E-6</c:v>
                </c:pt>
                <c:pt idx="5">
                  <c:v>6.7344827489999995E-2</c:v>
                </c:pt>
                <c:pt idx="6">
                  <c:v>2.9852933129999993E-4</c:v>
                </c:pt>
                <c:pt idx="7">
                  <c:v>5.2916767019999998E-2</c:v>
                </c:pt>
                <c:pt idx="8">
                  <c:v>4.1481592289999997E-6</c:v>
                </c:pt>
                <c:pt idx="9">
                  <c:v>2.5143179219999997E-4</c:v>
                </c:pt>
                <c:pt idx="10">
                  <c:v>4.1106869279999992E-7</c:v>
                </c:pt>
                <c:pt idx="11">
                  <c:v>1.8822606200999996E-10</c:v>
                </c:pt>
                <c:pt idx="12">
                  <c:v>9.5782140359999989E-6</c:v>
                </c:pt>
                <c:pt idx="13">
                  <c:v>1.9728309266999998E-5</c:v>
                </c:pt>
                <c:pt idx="14">
                  <c:v>2.0768226848999995E-5</c:v>
                </c:pt>
                <c:pt idx="15">
                  <c:v>2.3957291105999993E-6</c:v>
                </c:pt>
                <c:pt idx="16">
                  <c:v>2.9909264039999996E-5</c:v>
                </c:pt>
                <c:pt idx="17">
                  <c:v>1.0812350798999997E-5</c:v>
                </c:pt>
                <c:pt idx="18">
                  <c:v>1.9518170480999997E-4</c:v>
                </c:pt>
                <c:pt idx="19">
                  <c:v>6.5890020509999983E-4</c:v>
                </c:pt>
                <c:pt idx="20">
                  <c:v>4.4001788219999991E-4</c:v>
                </c:pt>
              </c:numCache>
            </c:numRef>
          </c:val>
          <c:extLst>
            <c:ext xmlns:c16="http://schemas.microsoft.com/office/drawing/2014/chart" uri="{C3380CC4-5D6E-409C-BE32-E72D297353CC}">
              <c16:uniqueId val="{00000003-40D9-485F-B86B-D9356F9DBE16}"/>
            </c:ext>
          </c:extLst>
        </c:ser>
        <c:ser>
          <c:idx val="4"/>
          <c:order val="4"/>
          <c:tx>
            <c:strRef>
              <c:f>results!$A$6</c:f>
              <c:strCache>
                <c:ptCount val="1"/>
                <c:pt idx="0">
                  <c:v>PbI₂</c:v>
                </c:pt>
              </c:strCache>
            </c:strRef>
          </c:tx>
          <c:spPr>
            <a:solidFill>
              <a:schemeClr val="accent4">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results!$D$6:$X$6</c:f>
              <c:numCache>
                <c:formatCode>General</c:formatCode>
                <c:ptCount val="21"/>
                <c:pt idx="0">
                  <c:v>8.0315919509735658E-4</c:v>
                </c:pt>
                <c:pt idx="1">
                  <c:v>2.9905093719598446E-3</c:v>
                </c:pt>
                <c:pt idx="2">
                  <c:v>7.9376205007695207E-4</c:v>
                </c:pt>
                <c:pt idx="3">
                  <c:v>5.4673540733933863E-5</c:v>
                </c:pt>
                <c:pt idx="4">
                  <c:v>1.5179014444515991E-6</c:v>
                </c:pt>
                <c:pt idx="5">
                  <c:v>0.11963359576839162</c:v>
                </c:pt>
                <c:pt idx="6">
                  <c:v>1.4699736015628701E-4</c:v>
                </c:pt>
                <c:pt idx="7">
                  <c:v>5.9997222638626599E-2</c:v>
                </c:pt>
                <c:pt idx="8">
                  <c:v>3.9576161819112662E-6</c:v>
                </c:pt>
                <c:pt idx="9">
                  <c:v>4.8502748767224153E-4</c:v>
                </c:pt>
                <c:pt idx="10">
                  <c:v>5.0873998665882582E-7</c:v>
                </c:pt>
                <c:pt idx="11">
                  <c:v>3.423710611539992E-10</c:v>
                </c:pt>
                <c:pt idx="12">
                  <c:v>8.4754639927782855E-6</c:v>
                </c:pt>
                <c:pt idx="13">
                  <c:v>1.1929587231566769E-5</c:v>
                </c:pt>
                <c:pt idx="14">
                  <c:v>2.397741249812619E-5</c:v>
                </c:pt>
                <c:pt idx="15">
                  <c:v>4.1249692244903267E-6</c:v>
                </c:pt>
                <c:pt idx="16">
                  <c:v>3.0844687943231479E-5</c:v>
                </c:pt>
                <c:pt idx="17">
                  <c:v>9.0068282191990196E-6</c:v>
                </c:pt>
                <c:pt idx="18">
                  <c:v>1.4667782600579719E-4</c:v>
                </c:pt>
                <c:pt idx="19">
                  <c:v>9.3640214573677001E-4</c:v>
                </c:pt>
                <c:pt idx="20">
                  <c:v>1.176927835741781E-4</c:v>
                </c:pt>
              </c:numCache>
            </c:numRef>
          </c:val>
          <c:extLst>
            <c:ext xmlns:c16="http://schemas.microsoft.com/office/drawing/2014/chart" uri="{C3380CC4-5D6E-409C-BE32-E72D297353CC}">
              <c16:uniqueId val="{00000000-6813-4582-852E-CA920C39DEDC}"/>
            </c:ext>
          </c:extLst>
        </c:ser>
        <c:ser>
          <c:idx val="5"/>
          <c:order val="5"/>
          <c:tx>
            <c:strRef>
              <c:f>results!$A$7</c:f>
              <c:strCache>
                <c:ptCount val="1"/>
                <c:pt idx="0">
                  <c:v>PbBr₂</c:v>
                </c:pt>
              </c:strCache>
            </c:strRef>
          </c:tx>
          <c:spPr>
            <a:solidFill>
              <a:schemeClr val="accent6">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results!$D$7:$X$7</c:f>
              <c:numCache>
                <c:formatCode>General</c:formatCode>
                <c:ptCount val="21"/>
                <c:pt idx="0">
                  <c:v>1.787536424718461E-5</c:v>
                </c:pt>
                <c:pt idx="1">
                  <c:v>5.5387418860085569E-5</c:v>
                </c:pt>
                <c:pt idx="2">
                  <c:v>1.4335309932108604E-5</c:v>
                </c:pt>
                <c:pt idx="3">
                  <c:v>1.3650662462844921E-6</c:v>
                </c:pt>
                <c:pt idx="4">
                  <c:v>4.0820407658993643E-8</c:v>
                </c:pt>
                <c:pt idx="5">
                  <c:v>3.6829831424864158E-3</c:v>
                </c:pt>
                <c:pt idx="6">
                  <c:v>3.1893711547178592E-6</c:v>
                </c:pt>
                <c:pt idx="7">
                  <c:v>1.5845976687352324E-3</c:v>
                </c:pt>
                <c:pt idx="8">
                  <c:v>1.1188486671891073E-7</c:v>
                </c:pt>
                <c:pt idx="9">
                  <c:v>1.743929250096639E-5</c:v>
                </c:pt>
                <c:pt idx="10">
                  <c:v>9.0359824228299086E-9</c:v>
                </c:pt>
                <c:pt idx="11">
                  <c:v>5.4919543399528897E-12</c:v>
                </c:pt>
                <c:pt idx="12">
                  <c:v>3.0468485467940722E-7</c:v>
                </c:pt>
                <c:pt idx="13">
                  <c:v>7.6670125720519565E-7</c:v>
                </c:pt>
                <c:pt idx="14">
                  <c:v>9.331060616620476E-7</c:v>
                </c:pt>
                <c:pt idx="15">
                  <c:v>7.9564572968540095E-8</c:v>
                </c:pt>
                <c:pt idx="16">
                  <c:v>6.8207202674132785E-7</c:v>
                </c:pt>
                <c:pt idx="17">
                  <c:v>2.9174225954603977E-7</c:v>
                </c:pt>
                <c:pt idx="18">
                  <c:v>3.056169212646908E-6</c:v>
                </c:pt>
                <c:pt idx="19">
                  <c:v>2.77309347596421E-5</c:v>
                </c:pt>
                <c:pt idx="20">
                  <c:v>2.5285314408568824E-6</c:v>
                </c:pt>
              </c:numCache>
            </c:numRef>
          </c:val>
          <c:extLst>
            <c:ext xmlns:c16="http://schemas.microsoft.com/office/drawing/2014/chart" uri="{C3380CC4-5D6E-409C-BE32-E72D297353CC}">
              <c16:uniqueId val="{00000001-6813-4582-852E-CA920C39DEDC}"/>
            </c:ext>
          </c:extLst>
        </c:ser>
        <c:ser>
          <c:idx val="6"/>
          <c:order val="6"/>
          <c:tx>
            <c:strRef>
              <c:f>results!$A$8</c:f>
              <c:strCache>
                <c:ptCount val="1"/>
                <c:pt idx="0">
                  <c:v>FAI</c:v>
                </c:pt>
              </c:strCache>
            </c:strRef>
          </c:tx>
          <c:spPr>
            <a:solidFill>
              <a:schemeClr val="accent2">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results!$D$8:$X$8</c:f>
              <c:numCache>
                <c:formatCode>General</c:formatCode>
                <c:ptCount val="21"/>
                <c:pt idx="0">
                  <c:v>3.3724328029935353E-4</c:v>
                </c:pt>
                <c:pt idx="1">
                  <c:v>1.8893218006153331E-2</c:v>
                </c:pt>
                <c:pt idx="2">
                  <c:v>8.2663717912582445E-3</c:v>
                </c:pt>
                <c:pt idx="3">
                  <c:v>8.7607107756067093E-5</c:v>
                </c:pt>
                <c:pt idx="4">
                  <c:v>6.6612200222894416E-7</c:v>
                </c:pt>
                <c:pt idx="5">
                  <c:v>0.15755410985478696</c:v>
                </c:pt>
                <c:pt idx="6">
                  <c:v>1.5380847879207469E-4</c:v>
                </c:pt>
                <c:pt idx="7">
                  <c:v>5.4143526470466163E-2</c:v>
                </c:pt>
                <c:pt idx="8">
                  <c:v>1.8620177183795496E-5</c:v>
                </c:pt>
                <c:pt idx="9">
                  <c:v>1.0631882345536246E-4</c:v>
                </c:pt>
                <c:pt idx="10">
                  <c:v>3.3223284784395848E-6</c:v>
                </c:pt>
                <c:pt idx="11">
                  <c:v>3.6408292331235422E-8</c:v>
                </c:pt>
                <c:pt idx="12">
                  <c:v>2.2074361746497299E-5</c:v>
                </c:pt>
                <c:pt idx="13">
                  <c:v>6.945563910145705E-5</c:v>
                </c:pt>
                <c:pt idx="14">
                  <c:v>8.3806690793325662E-5</c:v>
                </c:pt>
                <c:pt idx="15">
                  <c:v>3.7417686853794654E-6</c:v>
                </c:pt>
                <c:pt idx="16">
                  <c:v>2.6285211569953851E-5</c:v>
                </c:pt>
                <c:pt idx="17">
                  <c:v>9.5967936906898659E-5</c:v>
                </c:pt>
                <c:pt idx="18">
                  <c:v>6.340999703515509E-4</c:v>
                </c:pt>
                <c:pt idx="19">
                  <c:v>1.7796963954646E-3</c:v>
                </c:pt>
                <c:pt idx="20">
                  <c:v>9.9616632314630436E-4</c:v>
                </c:pt>
              </c:numCache>
            </c:numRef>
          </c:val>
          <c:extLst>
            <c:ext xmlns:c16="http://schemas.microsoft.com/office/drawing/2014/chart" uri="{C3380CC4-5D6E-409C-BE32-E72D297353CC}">
              <c16:uniqueId val="{00000002-6813-4582-852E-CA920C39DEDC}"/>
            </c:ext>
          </c:extLst>
        </c:ser>
        <c:ser>
          <c:idx val="7"/>
          <c:order val="7"/>
          <c:tx>
            <c:strRef>
              <c:f>results!$A$9</c:f>
              <c:strCache>
                <c:ptCount val="1"/>
                <c:pt idx="0">
                  <c:v>MABr</c:v>
                </c:pt>
              </c:strCache>
            </c:strRef>
          </c:tx>
          <c:spPr>
            <a:solidFill>
              <a:schemeClr val="accent4">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results!$D$9:$X$9</c:f>
              <c:numCache>
                <c:formatCode>General</c:formatCode>
                <c:ptCount val="21"/>
                <c:pt idx="0">
                  <c:v>9.8029983179979681E-4</c:v>
                </c:pt>
                <c:pt idx="1">
                  <c:v>0.10515728209198488</c:v>
                </c:pt>
                <c:pt idx="2">
                  <c:v>4.6331785855829137E-2</c:v>
                </c:pt>
                <c:pt idx="3">
                  <c:v>4.6095212396454613E-4</c:v>
                </c:pt>
                <c:pt idx="4">
                  <c:v>3.0538241433977869E-6</c:v>
                </c:pt>
                <c:pt idx="5">
                  <c:v>0.87681745824645263</c:v>
                </c:pt>
                <c:pt idx="6">
                  <c:v>7.1559855215042143E-4</c:v>
                </c:pt>
                <c:pt idx="7">
                  <c:v>0.2953084274281812</c:v>
                </c:pt>
                <c:pt idx="8">
                  <c:v>9.6610321320667934E-5</c:v>
                </c:pt>
                <c:pt idx="9">
                  <c:v>4.988499028441214E-4</c:v>
                </c:pt>
                <c:pt idx="10">
                  <c:v>1.733125216280493E-5</c:v>
                </c:pt>
                <c:pt idx="11">
                  <c:v>9.3714347177340703E-9</c:v>
                </c:pt>
                <c:pt idx="12">
                  <c:v>1.1857680738805008E-4</c:v>
                </c:pt>
                <c:pt idx="13">
                  <c:v>3.1603291954213937E-4</c:v>
                </c:pt>
                <c:pt idx="14">
                  <c:v>4.5615883652045123E-4</c:v>
                </c:pt>
                <c:pt idx="15">
                  <c:v>1.0079444650216779E-5</c:v>
                </c:pt>
                <c:pt idx="16">
                  <c:v>6.714422923361849E-5</c:v>
                </c:pt>
                <c:pt idx="17">
                  <c:v>1.514563120098777E-5</c:v>
                </c:pt>
                <c:pt idx="18">
                  <c:v>3.1193811546776284E-3</c:v>
                </c:pt>
                <c:pt idx="19">
                  <c:v>9.8876382210624815E-3</c:v>
                </c:pt>
                <c:pt idx="20">
                  <c:v>5.5788624212909982E-3</c:v>
                </c:pt>
              </c:numCache>
            </c:numRef>
          </c:val>
          <c:extLst>
            <c:ext xmlns:c16="http://schemas.microsoft.com/office/drawing/2014/chart" uri="{C3380CC4-5D6E-409C-BE32-E72D297353CC}">
              <c16:uniqueId val="{00000003-6813-4582-852E-CA920C39DEDC}"/>
            </c:ext>
          </c:extLst>
        </c:ser>
        <c:ser>
          <c:idx val="8"/>
          <c:order val="8"/>
          <c:tx>
            <c:strRef>
              <c:f>results!$A$10</c:f>
              <c:strCache>
                <c:ptCount val="1"/>
                <c:pt idx="0">
                  <c:v>DMF</c:v>
                </c:pt>
              </c:strCache>
            </c:strRef>
          </c:tx>
          <c:spPr>
            <a:solidFill>
              <a:schemeClr val="accent6">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results!$D$10:$X$10</c:f>
              <c:numCache>
                <c:formatCode>General</c:formatCode>
                <c:ptCount val="21"/>
                <c:pt idx="0">
                  <c:v>1.130588562520065E-4</c:v>
                </c:pt>
                <c:pt idx="1">
                  <c:v>2.5143823608539837E-3</c:v>
                </c:pt>
                <c:pt idx="2">
                  <c:v>1.6907857291787833E-3</c:v>
                </c:pt>
                <c:pt idx="3">
                  <c:v>3.5379800606950359E-5</c:v>
                </c:pt>
                <c:pt idx="4">
                  <c:v>9.5442257310893093E-7</c:v>
                </c:pt>
                <c:pt idx="5">
                  <c:v>5.7632346637830463E-2</c:v>
                </c:pt>
                <c:pt idx="6">
                  <c:v>2.4885569802073255E-4</c:v>
                </c:pt>
                <c:pt idx="7">
                  <c:v>3.7440005784852959E-2</c:v>
                </c:pt>
                <c:pt idx="8">
                  <c:v>1.2133074509071062E-5</c:v>
                </c:pt>
                <c:pt idx="9">
                  <c:v>1.6190377731717135E-4</c:v>
                </c:pt>
                <c:pt idx="10">
                  <c:v>1.0616561555308639E-6</c:v>
                </c:pt>
                <c:pt idx="11">
                  <c:v>5.0529396081027726E-10</c:v>
                </c:pt>
                <c:pt idx="12">
                  <c:v>7.0077073296810455E-6</c:v>
                </c:pt>
                <c:pt idx="13">
                  <c:v>8.5003366607401689E-6</c:v>
                </c:pt>
                <c:pt idx="14">
                  <c:v>1.7854464289174749E-5</c:v>
                </c:pt>
                <c:pt idx="15">
                  <c:v>1.7854464289174749E-5</c:v>
                </c:pt>
                <c:pt idx="16">
                  <c:v>2.1457396153075101E-5</c:v>
                </c:pt>
                <c:pt idx="17">
                  <c:v>7.510040109627702E-6</c:v>
                </c:pt>
                <c:pt idx="18">
                  <c:v>1.1187438390655826E-4</c:v>
                </c:pt>
                <c:pt idx="19">
                  <c:v>4.9684731375667095E-4</c:v>
                </c:pt>
                <c:pt idx="20">
                  <c:v>2.1023413252734642E-4</c:v>
                </c:pt>
              </c:numCache>
            </c:numRef>
          </c:val>
          <c:extLst>
            <c:ext xmlns:c16="http://schemas.microsoft.com/office/drawing/2014/chart" uri="{C3380CC4-5D6E-409C-BE32-E72D297353CC}">
              <c16:uniqueId val="{00000004-6813-4582-852E-CA920C39DEDC}"/>
            </c:ext>
          </c:extLst>
        </c:ser>
        <c:ser>
          <c:idx val="9"/>
          <c:order val="9"/>
          <c:tx>
            <c:strRef>
              <c:f>results!$A$11</c:f>
              <c:strCache>
                <c:ptCount val="1"/>
                <c:pt idx="0">
                  <c:v>DMSO</c:v>
                </c:pt>
              </c:strCache>
            </c:strRef>
          </c:tx>
          <c:spPr>
            <a:solidFill>
              <a:schemeClr val="accent2">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results!$D$11:$X$11</c:f>
              <c:numCache>
                <c:formatCode>General</c:formatCode>
                <c:ptCount val="21"/>
                <c:pt idx="0">
                  <c:v>1.5253169211464288E-5</c:v>
                </c:pt>
                <c:pt idx="1">
                  <c:v>3.046183980339329E-4</c:v>
                </c:pt>
                <c:pt idx="2">
                  <c:v>3.6708544748282929E-4</c:v>
                </c:pt>
                <c:pt idx="3">
                  <c:v>6.4047032079231407E-6</c:v>
                </c:pt>
                <c:pt idx="4">
                  <c:v>1.4246035898437896E-7</c:v>
                </c:pt>
                <c:pt idx="5">
                  <c:v>9.4700384928725918E-3</c:v>
                </c:pt>
                <c:pt idx="6">
                  <c:v>5.2161957747655995E-5</c:v>
                </c:pt>
                <c:pt idx="7">
                  <c:v>5.5336004849951131E-3</c:v>
                </c:pt>
                <c:pt idx="8">
                  <c:v>2.8007093171307721E-7</c:v>
                </c:pt>
                <c:pt idx="9">
                  <c:v>3.0681516532744684E-5</c:v>
                </c:pt>
                <c:pt idx="10">
                  <c:v>1.6001759912254039E-7</c:v>
                </c:pt>
                <c:pt idx="11">
                  <c:v>8.9073281015340216E-11</c:v>
                </c:pt>
                <c:pt idx="12">
                  <c:v>4.8458433400257489E-7</c:v>
                </c:pt>
                <c:pt idx="13">
                  <c:v>1.1099870842560434E-6</c:v>
                </c:pt>
                <c:pt idx="14">
                  <c:v>1.4473598459099341E-6</c:v>
                </c:pt>
                <c:pt idx="15">
                  <c:v>2.7437060222324104E-7</c:v>
                </c:pt>
                <c:pt idx="16">
                  <c:v>2.6970106354036136E-6</c:v>
                </c:pt>
                <c:pt idx="17">
                  <c:v>1.0823021836211176E-6</c:v>
                </c:pt>
                <c:pt idx="18">
                  <c:v>1.4003828222486361E-5</c:v>
                </c:pt>
                <c:pt idx="19">
                  <c:v>7.6137701298533141E-5</c:v>
                </c:pt>
                <c:pt idx="20">
                  <c:v>4.5439286555838333E-5</c:v>
                </c:pt>
              </c:numCache>
            </c:numRef>
          </c:val>
          <c:extLst>
            <c:ext xmlns:c16="http://schemas.microsoft.com/office/drawing/2014/chart" uri="{C3380CC4-5D6E-409C-BE32-E72D297353CC}">
              <c16:uniqueId val="{00000005-6813-4582-852E-CA920C39DEDC}"/>
            </c:ext>
          </c:extLst>
        </c:ser>
        <c:ser>
          <c:idx val="10"/>
          <c:order val="10"/>
          <c:tx>
            <c:strRef>
              <c:f>results!$A$12</c:f>
              <c:strCache>
                <c:ptCount val="1"/>
                <c:pt idx="0">
                  <c:v>Isopropanol</c:v>
                </c:pt>
              </c:strCache>
            </c:strRef>
          </c:tx>
          <c:spPr>
            <a:solidFill>
              <a:schemeClr val="accent4">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results!$D$12:$X$12</c:f>
              <c:numCache>
                <c:formatCode>General</c:formatCode>
                <c:ptCount val="21"/>
                <c:pt idx="0">
                  <c:v>1.9815706048313128E-3</c:v>
                </c:pt>
                <c:pt idx="1">
                  <c:v>8.5850252764932564E-2</c:v>
                </c:pt>
                <c:pt idx="2">
                  <c:v>7.4545646885452135E-2</c:v>
                </c:pt>
                <c:pt idx="3">
                  <c:v>5.0053233478787834E-4</c:v>
                </c:pt>
                <c:pt idx="4">
                  <c:v>1.4179051489026607E-5</c:v>
                </c:pt>
                <c:pt idx="5">
                  <c:v>0.82493944957277754</c:v>
                </c:pt>
                <c:pt idx="6">
                  <c:v>1.9897185546537545E-3</c:v>
                </c:pt>
                <c:pt idx="7">
                  <c:v>0.61422591277387006</c:v>
                </c:pt>
                <c:pt idx="8">
                  <c:v>6.0359580605187662E-5</c:v>
                </c:pt>
                <c:pt idx="9">
                  <c:v>3.4854339263641039E-3</c:v>
                </c:pt>
                <c:pt idx="10">
                  <c:v>7.9369664859798433E-6</c:v>
                </c:pt>
                <c:pt idx="11">
                  <c:v>3.4922868378041706E-9</c:v>
                </c:pt>
                <c:pt idx="12">
                  <c:v>1.3004883355673412E-4</c:v>
                </c:pt>
                <c:pt idx="13">
                  <c:v>4.2438407790423735E-4</c:v>
                </c:pt>
                <c:pt idx="14">
                  <c:v>3.6490944019367249E-4</c:v>
                </c:pt>
                <c:pt idx="15">
                  <c:v>2.827878187713275E-5</c:v>
                </c:pt>
                <c:pt idx="16">
                  <c:v>2.8099634900904236E-4</c:v>
                </c:pt>
                <c:pt idx="17">
                  <c:v>2.2805625913621056E-4</c:v>
                </c:pt>
                <c:pt idx="18">
                  <c:v>2.960619621906697E-3</c:v>
                </c:pt>
                <c:pt idx="19">
                  <c:v>8.9390024343423812E-3</c:v>
                </c:pt>
                <c:pt idx="20">
                  <c:v>9.1003426328132471E-3</c:v>
                </c:pt>
              </c:numCache>
            </c:numRef>
          </c:val>
          <c:extLst>
            <c:ext xmlns:c16="http://schemas.microsoft.com/office/drawing/2014/chart" uri="{C3380CC4-5D6E-409C-BE32-E72D297353CC}">
              <c16:uniqueId val="{00000006-6813-4582-852E-CA920C39DEDC}"/>
            </c:ext>
          </c:extLst>
        </c:ser>
        <c:ser>
          <c:idx val="11"/>
          <c:order val="11"/>
          <c:tx>
            <c:strRef>
              <c:f>results!$A$13</c:f>
              <c:strCache>
                <c:ptCount val="1"/>
                <c:pt idx="0">
                  <c:v>PTAA solution</c:v>
                </c:pt>
              </c:strCache>
            </c:strRef>
          </c:tx>
          <c:spPr>
            <a:solidFill>
              <a:schemeClr val="accent6">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results!$D$13:$X$13</c:f>
              <c:numCache>
                <c:formatCode>General</c:formatCode>
                <c:ptCount val="21"/>
                <c:pt idx="0">
                  <c:v>6.8642195268754365E-4</c:v>
                </c:pt>
                <c:pt idx="1">
                  <c:v>3.9364253554828414E-2</c:v>
                </c:pt>
                <c:pt idx="2">
                  <c:v>1.8329659623102422E-2</c:v>
                </c:pt>
                <c:pt idx="3">
                  <c:v>4.3583377608497721E-4</c:v>
                </c:pt>
                <c:pt idx="4">
                  <c:v>5.407938883513064E-6</c:v>
                </c:pt>
                <c:pt idx="5">
                  <c:v>0.71234192691182507</c:v>
                </c:pt>
                <c:pt idx="6">
                  <c:v>6.8896466473247189E-4</c:v>
                </c:pt>
                <c:pt idx="7">
                  <c:v>0.34733884222527062</c:v>
                </c:pt>
                <c:pt idx="8">
                  <c:v>3.8598570396987373E-5</c:v>
                </c:pt>
                <c:pt idx="9">
                  <c:v>4.5224011222769461E-3</c:v>
                </c:pt>
                <c:pt idx="10">
                  <c:v>6.1913063347356005E-6</c:v>
                </c:pt>
                <c:pt idx="11">
                  <c:v>3.5904134791905033E-9</c:v>
                </c:pt>
                <c:pt idx="12">
                  <c:v>1.6044419532427895E-4</c:v>
                </c:pt>
                <c:pt idx="13">
                  <c:v>1.6589163623841811E-4</c:v>
                </c:pt>
                <c:pt idx="14">
                  <c:v>6.9771284358260141E-4</c:v>
                </c:pt>
                <c:pt idx="15">
                  <c:v>2.99872377651063E-4</c:v>
                </c:pt>
                <c:pt idx="16">
                  <c:v>8.0971261112950388E-5</c:v>
                </c:pt>
                <c:pt idx="17">
                  <c:v>3.8207534940145927E-5</c:v>
                </c:pt>
                <c:pt idx="18">
                  <c:v>1.3557704922337629E-3</c:v>
                </c:pt>
                <c:pt idx="19">
                  <c:v>6.6190553912701504E-3</c:v>
                </c:pt>
                <c:pt idx="20">
                  <c:v>2.3819254845185789E-3</c:v>
                </c:pt>
              </c:numCache>
            </c:numRef>
          </c:val>
          <c:extLst>
            <c:ext xmlns:c16="http://schemas.microsoft.com/office/drawing/2014/chart" uri="{C3380CC4-5D6E-409C-BE32-E72D297353CC}">
              <c16:uniqueId val="{00000007-6813-4582-852E-CA920C39DEDC}"/>
            </c:ext>
          </c:extLst>
        </c:ser>
        <c:ser>
          <c:idx val="12"/>
          <c:order val="12"/>
          <c:tx>
            <c:strRef>
              <c:f>results!$A$14</c:f>
              <c:strCache>
                <c:ptCount val="1"/>
                <c:pt idx="0">
                  <c:v>Cu</c:v>
                </c:pt>
              </c:strCache>
            </c:strRef>
          </c:tx>
          <c:spPr>
            <a:solidFill>
              <a:schemeClr val="accent2">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results!$D$14:$X$14</c:f>
              <c:numCache>
                <c:formatCode>General</c:formatCode>
                <c:ptCount val="21"/>
                <c:pt idx="0">
                  <c:v>5.2869734399999999E-4</c:v>
                </c:pt>
                <c:pt idx="1">
                  <c:v>6.5984307199999995E-3</c:v>
                </c:pt>
                <c:pt idx="2">
                  <c:v>1.9158630399999999E-3</c:v>
                </c:pt>
                <c:pt idx="3">
                  <c:v>7.1140966399999995E-3</c:v>
                </c:pt>
                <c:pt idx="4">
                  <c:v>2.0959231999999998E-4</c:v>
                </c:pt>
                <c:pt idx="5">
                  <c:v>17.904230399999999</c:v>
                </c:pt>
                <c:pt idx="6">
                  <c:v>6.6877440000000005E-4</c:v>
                </c:pt>
                <c:pt idx="7">
                  <c:v>9.36155136</c:v>
                </c:pt>
                <c:pt idx="8">
                  <c:v>4.3071078400000001E-5</c:v>
                </c:pt>
                <c:pt idx="9">
                  <c:v>6.8633600000000003E-2</c:v>
                </c:pt>
                <c:pt idx="10">
                  <c:v>2.8534374399999995E-6</c:v>
                </c:pt>
                <c:pt idx="11">
                  <c:v>4.3019468800000001E-10</c:v>
                </c:pt>
                <c:pt idx="12">
                  <c:v>2.0845977599999999E-4</c:v>
                </c:pt>
                <c:pt idx="13">
                  <c:v>1.3396848639999999E-4</c:v>
                </c:pt>
                <c:pt idx="14">
                  <c:v>6.9865062399999999E-4</c:v>
                </c:pt>
                <c:pt idx="15">
                  <c:v>8.8196505599999996E-4</c:v>
                </c:pt>
                <c:pt idx="16">
                  <c:v>6.2549401599999992E-4</c:v>
                </c:pt>
                <c:pt idx="17">
                  <c:v>2.3164108799999999E-4</c:v>
                </c:pt>
                <c:pt idx="18">
                  <c:v>3.3034444799999998E-3</c:v>
                </c:pt>
                <c:pt idx="19">
                  <c:v>0.12301148159999999</c:v>
                </c:pt>
                <c:pt idx="20">
                  <c:v>3.4155519999999997E-3</c:v>
                </c:pt>
              </c:numCache>
            </c:numRef>
          </c:val>
          <c:extLst>
            <c:ext xmlns:c16="http://schemas.microsoft.com/office/drawing/2014/chart" uri="{C3380CC4-5D6E-409C-BE32-E72D297353CC}">
              <c16:uniqueId val="{00000008-6813-4582-852E-CA920C39DEDC}"/>
            </c:ext>
          </c:extLst>
        </c:ser>
        <c:ser>
          <c:idx val="13"/>
          <c:order val="13"/>
          <c:tx>
            <c:strRef>
              <c:f>results!$A$15</c:f>
              <c:strCache>
                <c:ptCount val="1"/>
                <c:pt idx="0">
                  <c:v>Ar</c:v>
                </c:pt>
              </c:strCache>
            </c:strRef>
          </c:tx>
          <c:spPr>
            <a:solidFill>
              <a:schemeClr val="accent4">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results!$D$15:$X$15</c:f>
              <c:numCache>
                <c:formatCode>General</c:formatCode>
                <c:ptCount val="21"/>
                <c:pt idx="0">
                  <c:v>1.5204004848484845E-2</c:v>
                </c:pt>
                <c:pt idx="1">
                  <c:v>0.26877852121212115</c:v>
                </c:pt>
                <c:pt idx="2">
                  <c:v>7.7184489696969685E-2</c:v>
                </c:pt>
                <c:pt idx="3">
                  <c:v>3.8203549090909082E-3</c:v>
                </c:pt>
                <c:pt idx="4">
                  <c:v>1.5748935757575755E-4</c:v>
                </c:pt>
                <c:pt idx="5">
                  <c:v>5.0588833939393929</c:v>
                </c:pt>
                <c:pt idx="6">
                  <c:v>4.4774075151515144E-2</c:v>
                </c:pt>
                <c:pt idx="7">
                  <c:v>4.3602041212121208</c:v>
                </c:pt>
                <c:pt idx="8">
                  <c:v>2.6226962424242417E-4</c:v>
                </c:pt>
                <c:pt idx="9">
                  <c:v>3.5047490909090903E-3</c:v>
                </c:pt>
                <c:pt idx="10">
                  <c:v>3.1948736969696965E-5</c:v>
                </c:pt>
                <c:pt idx="11">
                  <c:v>1.6083030303030301E-8</c:v>
                </c:pt>
                <c:pt idx="12">
                  <c:v>9.0081187878787868E-4</c:v>
                </c:pt>
                <c:pt idx="13">
                  <c:v>7.1664901818181801E-4</c:v>
                </c:pt>
                <c:pt idx="14">
                  <c:v>1.4193071515151512E-3</c:v>
                </c:pt>
                <c:pt idx="15">
                  <c:v>9.7240974545454532E-5</c:v>
                </c:pt>
                <c:pt idx="16">
                  <c:v>1.7287500606060604E-3</c:v>
                </c:pt>
                <c:pt idx="17">
                  <c:v>1.1379757575757574E-3</c:v>
                </c:pt>
                <c:pt idx="18">
                  <c:v>1.1503015757575756E-2</c:v>
                </c:pt>
                <c:pt idx="19">
                  <c:v>4.5996926060606055E-2</c:v>
                </c:pt>
                <c:pt idx="20">
                  <c:v>9.4180063030303018E-3</c:v>
                </c:pt>
              </c:numCache>
            </c:numRef>
          </c:val>
          <c:extLst>
            <c:ext xmlns:c16="http://schemas.microsoft.com/office/drawing/2014/chart" uri="{C3380CC4-5D6E-409C-BE32-E72D297353CC}">
              <c16:uniqueId val="{00000009-6813-4582-852E-CA920C39DEDC}"/>
            </c:ext>
          </c:extLst>
        </c:ser>
        <c:ser>
          <c:idx val="14"/>
          <c:order val="14"/>
          <c:tx>
            <c:strRef>
              <c:f>results!$A$16</c:f>
              <c:strCache>
                <c:ptCount val="1"/>
                <c:pt idx="0">
                  <c:v>O₂</c:v>
                </c:pt>
              </c:strCache>
            </c:strRef>
          </c:tx>
          <c:spPr>
            <a:solidFill>
              <a:schemeClr val="accent6">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results!$D$16:$X$16</c:f>
              <c:numCache>
                <c:formatCode>General</c:formatCode>
                <c:ptCount val="21"/>
                <c:pt idx="0">
                  <c:v>5.0365023030303021E-6</c:v>
                </c:pt>
                <c:pt idx="1">
                  <c:v>1.1821973333333331E-4</c:v>
                </c:pt>
                <c:pt idx="2">
                  <c:v>3.3462433939393932E-5</c:v>
                </c:pt>
                <c:pt idx="3">
                  <c:v>1.5462414545454542E-6</c:v>
                </c:pt>
                <c:pt idx="4">
                  <c:v>6.2809774545454535E-8</c:v>
                </c:pt>
                <c:pt idx="5">
                  <c:v>2.0907398787878783E-3</c:v>
                </c:pt>
                <c:pt idx="6">
                  <c:v>1.3000494545454543E-5</c:v>
                </c:pt>
                <c:pt idx="7">
                  <c:v>1.7876761212121208E-3</c:v>
                </c:pt>
                <c:pt idx="8">
                  <c:v>1.1685740606060604E-7</c:v>
                </c:pt>
                <c:pt idx="9">
                  <c:v>1.3077260606060604E-6</c:v>
                </c:pt>
                <c:pt idx="10">
                  <c:v>1.3889250909090907E-8</c:v>
                </c:pt>
                <c:pt idx="11">
                  <c:v>5.8068659393939386E-12</c:v>
                </c:pt>
                <c:pt idx="12">
                  <c:v>4.3156581818181813E-7</c:v>
                </c:pt>
                <c:pt idx="13">
                  <c:v>3.2327161212121209E-7</c:v>
                </c:pt>
                <c:pt idx="14">
                  <c:v>6.3258477575757571E-7</c:v>
                </c:pt>
                <c:pt idx="15">
                  <c:v>4.0537886060606053E-8</c:v>
                </c:pt>
                <c:pt idx="16">
                  <c:v>7.6982303030303019E-7</c:v>
                </c:pt>
                <c:pt idx="17">
                  <c:v>4.6972179393939389E-7</c:v>
                </c:pt>
                <c:pt idx="18">
                  <c:v>4.8958366060606059E-6</c:v>
                </c:pt>
                <c:pt idx="19">
                  <c:v>1.9418569696969696E-5</c:v>
                </c:pt>
                <c:pt idx="20">
                  <c:v>4.0733585454545447E-6</c:v>
                </c:pt>
              </c:numCache>
            </c:numRef>
          </c:val>
          <c:extLst>
            <c:ext xmlns:c16="http://schemas.microsoft.com/office/drawing/2014/chart" uri="{C3380CC4-5D6E-409C-BE32-E72D297353CC}">
              <c16:uniqueId val="{0000000A-6813-4582-852E-CA920C39DEDC}"/>
            </c:ext>
          </c:extLst>
        </c:ser>
        <c:ser>
          <c:idx val="15"/>
          <c:order val="15"/>
          <c:tx>
            <c:strRef>
              <c:f>results!$A$17</c:f>
              <c:strCache>
                <c:ptCount val="1"/>
                <c:pt idx="0">
                  <c:v>Adhesive</c:v>
                </c:pt>
              </c:strCache>
            </c:strRef>
          </c:tx>
          <c:spPr>
            <a:solidFill>
              <a:schemeClr val="accent2">
                <a:lumMod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results!$D$17:$X$17</c:f>
              <c:numCache>
                <c:formatCode>General</c:formatCode>
                <c:ptCount val="21"/>
                <c:pt idx="0">
                  <c:v>1.9549964000000002E-3</c:v>
                </c:pt>
                <c:pt idx="1">
                  <c:v>5.3267399999999999E-2</c:v>
                </c:pt>
                <c:pt idx="2">
                  <c:v>2.4177380000000002E-2</c:v>
                </c:pt>
                <c:pt idx="3">
                  <c:v>6.0432339999999995E-4</c:v>
                </c:pt>
                <c:pt idx="4">
                  <c:v>1.9439469999999997E-5</c:v>
                </c:pt>
                <c:pt idx="5">
                  <c:v>0.90098060000000002</c:v>
                </c:pt>
                <c:pt idx="6">
                  <c:v>3.5624719999999997E-3</c:v>
                </c:pt>
                <c:pt idx="7">
                  <c:v>0.69086020000000004</c:v>
                </c:pt>
                <c:pt idx="8">
                  <c:v>4.7078119999999994E-5</c:v>
                </c:pt>
                <c:pt idx="9">
                  <c:v>3.4358179999999998E-3</c:v>
                </c:pt>
                <c:pt idx="10">
                  <c:v>6.1276699999999994E-6</c:v>
                </c:pt>
                <c:pt idx="11">
                  <c:v>5.7868959999999999E-9</c:v>
                </c:pt>
                <c:pt idx="12">
                  <c:v>1.0165448000000001E-4</c:v>
                </c:pt>
                <c:pt idx="13">
                  <c:v>2.0535319999999998E-4</c:v>
                </c:pt>
                <c:pt idx="14">
                  <c:v>2.0896899999999998E-4</c:v>
                </c:pt>
                <c:pt idx="15">
                  <c:v>4.8904199999999998E-5</c:v>
                </c:pt>
                <c:pt idx="16">
                  <c:v>5.1992780000000005E-4</c:v>
                </c:pt>
                <c:pt idx="17">
                  <c:v>1.6944567999999999E-4</c:v>
                </c:pt>
                <c:pt idx="18">
                  <c:v>2.2575519999999999E-3</c:v>
                </c:pt>
                <c:pt idx="19">
                  <c:v>8.1579719999999994E-3</c:v>
                </c:pt>
                <c:pt idx="20">
                  <c:v>3.0584819999999995E-3</c:v>
                </c:pt>
              </c:numCache>
            </c:numRef>
          </c:val>
          <c:extLst>
            <c:ext xmlns:c16="http://schemas.microsoft.com/office/drawing/2014/chart" uri="{C3380CC4-5D6E-409C-BE32-E72D297353CC}">
              <c16:uniqueId val="{0000000B-6813-4582-852E-CA920C39DEDC}"/>
            </c:ext>
          </c:extLst>
        </c:ser>
        <c:ser>
          <c:idx val="16"/>
          <c:order val="16"/>
          <c:tx>
            <c:strRef>
              <c:f>results!$A$18</c:f>
              <c:strCache>
                <c:ptCount val="1"/>
                <c:pt idx="0">
                  <c:v>PET</c:v>
                </c:pt>
              </c:strCache>
            </c:strRef>
          </c:tx>
          <c:spPr>
            <a:solidFill>
              <a:schemeClr val="accent4">
                <a:lumMod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results!$D$18:$X$18</c:f>
              <c:numCache>
                <c:formatCode>General</c:formatCode>
                <c:ptCount val="21"/>
                <c:pt idx="0">
                  <c:v>6.1952969999999998E-3</c:v>
                </c:pt>
                <c:pt idx="1">
                  <c:v>0.17387676999999999</c:v>
                </c:pt>
                <c:pt idx="2">
                  <c:v>0.10758629</c:v>
                </c:pt>
                <c:pt idx="3">
                  <c:v>1.6921225000000001E-3</c:v>
                </c:pt>
                <c:pt idx="4">
                  <c:v>5.3572875999999998E-5</c:v>
                </c:pt>
                <c:pt idx="5">
                  <c:v>2.6013953999999999</c:v>
                </c:pt>
                <c:pt idx="6">
                  <c:v>1.0938793E-2</c:v>
                </c:pt>
                <c:pt idx="7">
                  <c:v>2.0643585999999998</c:v>
                </c:pt>
                <c:pt idx="8">
                  <c:v>1.5557654999999999E-4</c:v>
                </c:pt>
                <c:pt idx="9">
                  <c:v>8.7410389999999991E-3</c:v>
                </c:pt>
                <c:pt idx="10">
                  <c:v>1.8848732999999998E-5</c:v>
                </c:pt>
                <c:pt idx="11">
                  <c:v>8.897757E-9</c:v>
                </c:pt>
                <c:pt idx="12">
                  <c:v>3.1222667999999997E-4</c:v>
                </c:pt>
                <c:pt idx="13">
                  <c:v>5.844594199999999E-4</c:v>
                </c:pt>
                <c:pt idx="14">
                  <c:v>7.4009149999999997E-4</c:v>
                </c:pt>
                <c:pt idx="15">
                  <c:v>1.9091831E-4</c:v>
                </c:pt>
                <c:pt idx="16">
                  <c:v>1.3298200999999998E-3</c:v>
                </c:pt>
                <c:pt idx="17">
                  <c:v>3.5293016999999997E-4</c:v>
                </c:pt>
                <c:pt idx="18">
                  <c:v>6.9066979999999993E-3</c:v>
                </c:pt>
                <c:pt idx="19">
                  <c:v>2.4245015000000002E-2</c:v>
                </c:pt>
                <c:pt idx="20">
                  <c:v>1.3306221999999999E-2</c:v>
                </c:pt>
              </c:numCache>
            </c:numRef>
          </c:val>
          <c:extLst>
            <c:ext xmlns:c16="http://schemas.microsoft.com/office/drawing/2014/chart" uri="{C3380CC4-5D6E-409C-BE32-E72D297353CC}">
              <c16:uniqueId val="{0000000C-6813-4582-852E-CA920C39DEDC}"/>
            </c:ext>
          </c:extLst>
        </c:ser>
        <c:ser>
          <c:idx val="17"/>
          <c:order val="17"/>
          <c:tx>
            <c:strRef>
              <c:f>results!$A$19</c:f>
              <c:strCache>
                <c:ptCount val="1"/>
                <c:pt idx="0">
                  <c:v>Spray pyrolysis</c:v>
                </c:pt>
              </c:strCache>
            </c:strRef>
          </c:tx>
          <c:spPr>
            <a:solidFill>
              <a:schemeClr val="accent6">
                <a:lumMod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results!$D$19:$X$19</c:f>
              <c:numCache>
                <c:formatCode>General</c:formatCode>
                <c:ptCount val="21"/>
                <c:pt idx="0">
                  <c:v>4.6616715302939246E-7</c:v>
                </c:pt>
                <c:pt idx="1">
                  <c:v>3.8427517115317085E-4</c:v>
                </c:pt>
                <c:pt idx="2">
                  <c:v>1.697145078944809E-4</c:v>
                </c:pt>
                <c:pt idx="3">
                  <c:v>1.4631352133789144E-6</c:v>
                </c:pt>
                <c:pt idx="4">
                  <c:v>7.1401686677201515E-9</c:v>
                </c:pt>
                <c:pt idx="5">
                  <c:v>2.9930894202343647E-3</c:v>
                </c:pt>
                <c:pt idx="6">
                  <c:v>2.4221168193254235E-6</c:v>
                </c:pt>
                <c:pt idx="7">
                  <c:v>9.0013500739979154E-4</c:v>
                </c:pt>
                <c:pt idx="8">
                  <c:v>3.5259207072704332E-7</c:v>
                </c:pt>
                <c:pt idx="9">
                  <c:v>1.7200872226277398E-6</c:v>
                </c:pt>
                <c:pt idx="10">
                  <c:v>6.3291638885285464E-8</c:v>
                </c:pt>
                <c:pt idx="11">
                  <c:v>3.4008286688392534E-11</c:v>
                </c:pt>
                <c:pt idx="12">
                  <c:v>4.2937369009789216E-7</c:v>
                </c:pt>
                <c:pt idx="13">
                  <c:v>1.1549075129987385E-6</c:v>
                </c:pt>
                <c:pt idx="14">
                  <c:v>1.6633054170124858E-6</c:v>
                </c:pt>
                <c:pt idx="15">
                  <c:v>2.9769152089378988E-8</c:v>
                </c:pt>
                <c:pt idx="16">
                  <c:v>1.836002403585748E-7</c:v>
                </c:pt>
                <c:pt idx="17">
                  <c:v>4.5990968333987309E-8</c:v>
                </c:pt>
                <c:pt idx="18">
                  <c:v>1.1249680154925137E-5</c:v>
                </c:pt>
                <c:pt idx="19">
                  <c:v>3.4689668355775576E-5</c:v>
                </c:pt>
                <c:pt idx="20">
                  <c:v>2.0430552503241989E-5</c:v>
                </c:pt>
              </c:numCache>
            </c:numRef>
          </c:val>
          <c:extLst>
            <c:ext xmlns:c16="http://schemas.microsoft.com/office/drawing/2014/chart" uri="{C3380CC4-5D6E-409C-BE32-E72D297353CC}">
              <c16:uniqueId val="{0000000D-6813-4582-852E-CA920C39DEDC}"/>
            </c:ext>
          </c:extLst>
        </c:ser>
        <c:ser>
          <c:idx val="18"/>
          <c:order val="18"/>
          <c:tx>
            <c:strRef>
              <c:f>results!$A$20</c:f>
              <c:strCache>
                <c:ptCount val="1"/>
                <c:pt idx="0">
                  <c:v>ETL slot-die coating</c:v>
                </c:pt>
              </c:strCache>
            </c:strRef>
          </c:tx>
          <c:spPr>
            <a:solidFill>
              <a:schemeClr val="accent2">
                <a:lumMod val="70000"/>
                <a:lumOff val="3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results!$D$20:$X$20</c:f>
              <c:numCache>
                <c:formatCode>General</c:formatCode>
                <c:ptCount val="21"/>
                <c:pt idx="0">
                  <c:v>1.6932708346879497E-5</c:v>
                </c:pt>
                <c:pt idx="1">
                  <c:v>1.3958125011166497E-2</c:v>
                </c:pt>
                <c:pt idx="2">
                  <c:v>6.1645833382649989E-3</c:v>
                </c:pt>
                <c:pt idx="3">
                  <c:v>5.3145833375849992E-5</c:v>
                </c:pt>
                <c:pt idx="4">
                  <c:v>2.5935416687414999E-7</c:v>
                </c:pt>
                <c:pt idx="5">
                  <c:v>0.10871875008697497</c:v>
                </c:pt>
                <c:pt idx="6">
                  <c:v>8.7979166737049995E-5</c:v>
                </c:pt>
                <c:pt idx="7">
                  <c:v>3.2695833359489994E-2</c:v>
                </c:pt>
                <c:pt idx="8">
                  <c:v>1.2807291676912498E-5</c:v>
                </c:pt>
                <c:pt idx="9">
                  <c:v>6.2479166716649989E-5</c:v>
                </c:pt>
                <c:pt idx="10">
                  <c:v>2.2989583351724996E-6</c:v>
                </c:pt>
                <c:pt idx="11">
                  <c:v>1.2352916676548999E-9</c:v>
                </c:pt>
                <c:pt idx="12">
                  <c:v>1.5596250012476997E-5</c:v>
                </c:pt>
                <c:pt idx="13">
                  <c:v>4.1950000033559991E-5</c:v>
                </c:pt>
                <c:pt idx="14">
                  <c:v>6.0416666714999987E-5</c:v>
                </c:pt>
                <c:pt idx="15">
                  <c:v>1.0813125008650499E-6</c:v>
                </c:pt>
                <c:pt idx="16">
                  <c:v>6.6689583386684999E-6</c:v>
                </c:pt>
                <c:pt idx="17">
                  <c:v>1.6705416680030996E-6</c:v>
                </c:pt>
                <c:pt idx="18">
                  <c:v>4.0862500032689994E-4</c:v>
                </c:pt>
                <c:pt idx="19">
                  <c:v>1.2600416676746998E-3</c:v>
                </c:pt>
                <c:pt idx="20">
                  <c:v>7.4210416726034993E-4</c:v>
                </c:pt>
              </c:numCache>
            </c:numRef>
          </c:val>
          <c:extLst>
            <c:ext xmlns:c16="http://schemas.microsoft.com/office/drawing/2014/chart" uri="{C3380CC4-5D6E-409C-BE32-E72D297353CC}">
              <c16:uniqueId val="{0000000E-6813-4582-852E-CA920C39DEDC}"/>
            </c:ext>
          </c:extLst>
        </c:ser>
        <c:ser>
          <c:idx val="19"/>
          <c:order val="19"/>
          <c:tx>
            <c:strRef>
              <c:f>results!$A$21</c:f>
              <c:strCache>
                <c:ptCount val="1"/>
                <c:pt idx="0">
                  <c:v>ETL calcining</c:v>
                </c:pt>
              </c:strCache>
            </c:strRef>
          </c:tx>
          <c:spPr>
            <a:solidFill>
              <a:schemeClr val="accent4">
                <a:lumMod val="70000"/>
                <a:lumOff val="3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results!$D$21:$X$21</c:f>
              <c:numCache>
                <c:formatCode>General</c:formatCode>
                <c:ptCount val="21"/>
                <c:pt idx="0">
                  <c:v>3.4833000027866393E-2</c:v>
                </c:pt>
                <c:pt idx="1">
                  <c:v>28.713857165828223</c:v>
                </c:pt>
                <c:pt idx="2">
                  <c:v>12.681428581573712</c:v>
                </c:pt>
                <c:pt idx="3">
                  <c:v>0.10932857151603427</c:v>
                </c:pt>
                <c:pt idx="4">
                  <c:v>5.3352857185539422E-4</c:v>
                </c:pt>
                <c:pt idx="5">
                  <c:v>223.65000017891995</c:v>
                </c:pt>
                <c:pt idx="6">
                  <c:v>0.18098571443050285</c:v>
                </c:pt>
                <c:pt idx="7">
                  <c:v>67.260000053807985</c:v>
                </c:pt>
                <c:pt idx="8">
                  <c:v>2.6346428592505709E-2</c:v>
                </c:pt>
                <c:pt idx="9">
                  <c:v>0.12852857153139427</c:v>
                </c:pt>
                <c:pt idx="10">
                  <c:v>4.7292857180691421E-3</c:v>
                </c:pt>
                <c:pt idx="11">
                  <c:v>2.5411714306043655E-6</c:v>
                </c:pt>
                <c:pt idx="12">
                  <c:v>3.2083714311381253E-2</c:v>
                </c:pt>
                <c:pt idx="13">
                  <c:v>8.6297142926180556E-2</c:v>
                </c:pt>
                <c:pt idx="14">
                  <c:v>0.12428571438514284</c:v>
                </c:pt>
                <c:pt idx="15">
                  <c:v>2.224414287493817E-3</c:v>
                </c:pt>
                <c:pt idx="16">
                  <c:v>1.3719000010975198E-2</c:v>
                </c:pt>
                <c:pt idx="17">
                  <c:v>3.4365428598920906E-3</c:v>
                </c:pt>
                <c:pt idx="18">
                  <c:v>0.84060000067247986</c:v>
                </c:pt>
                <c:pt idx="19">
                  <c:v>2.5920857163593825</c:v>
                </c:pt>
                <c:pt idx="20">
                  <c:v>1.526614286935577</c:v>
                </c:pt>
              </c:numCache>
            </c:numRef>
          </c:val>
          <c:extLst>
            <c:ext xmlns:c16="http://schemas.microsoft.com/office/drawing/2014/chart" uri="{C3380CC4-5D6E-409C-BE32-E72D297353CC}">
              <c16:uniqueId val="{0000000F-6813-4582-852E-CA920C39DEDC}"/>
            </c:ext>
          </c:extLst>
        </c:ser>
        <c:ser>
          <c:idx val="20"/>
          <c:order val="20"/>
          <c:tx>
            <c:strRef>
              <c:f>results!$A$22</c:f>
              <c:strCache>
                <c:ptCount val="1"/>
                <c:pt idx="0">
                  <c:v>PL 1st-step slot-die coating</c:v>
                </c:pt>
              </c:strCache>
            </c:strRef>
          </c:tx>
          <c:spPr>
            <a:solidFill>
              <a:schemeClr val="accent6">
                <a:lumMod val="70000"/>
                <a:lumOff val="3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results!$D$22:$X$22</c:f>
              <c:numCache>
                <c:formatCode>General</c:formatCode>
                <c:ptCount val="21"/>
                <c:pt idx="0">
                  <c:v>2.4189583352684997E-5</c:v>
                </c:pt>
                <c:pt idx="1">
                  <c:v>1.9940178587380709E-2</c:v>
                </c:pt>
                <c:pt idx="2">
                  <c:v>8.806547626092856E-3</c:v>
                </c:pt>
                <c:pt idx="3">
                  <c:v>7.5922619108357133E-5</c:v>
                </c:pt>
                <c:pt idx="4">
                  <c:v>3.7050595267735709E-7</c:v>
                </c:pt>
                <c:pt idx="5">
                  <c:v>0.15531250012424996</c:v>
                </c:pt>
                <c:pt idx="6">
                  <c:v>1.2568452391007142E-4</c:v>
                </c:pt>
                <c:pt idx="7">
                  <c:v>4.6708333370699989E-2</c:v>
                </c:pt>
                <c:pt idx="8">
                  <c:v>1.8296130967017852E-5</c:v>
                </c:pt>
                <c:pt idx="9">
                  <c:v>8.9255952452357121E-5</c:v>
                </c:pt>
                <c:pt idx="10">
                  <c:v>3.2842261931035708E-6</c:v>
                </c:pt>
                <c:pt idx="11">
                  <c:v>1.7647023823641425E-9</c:v>
                </c:pt>
                <c:pt idx="12">
                  <c:v>2.2280357160681425E-5</c:v>
                </c:pt>
                <c:pt idx="13">
                  <c:v>5.9928571476514276E-5</c:v>
                </c:pt>
                <c:pt idx="14">
                  <c:v>8.6309523878571413E-5</c:v>
                </c:pt>
                <c:pt idx="15">
                  <c:v>1.5447321440929283E-6</c:v>
                </c:pt>
                <c:pt idx="16">
                  <c:v>9.5270833409549991E-6</c:v>
                </c:pt>
                <c:pt idx="17">
                  <c:v>2.3864880971472853E-6</c:v>
                </c:pt>
                <c:pt idx="18">
                  <c:v>5.8375000046699988E-4</c:v>
                </c:pt>
                <c:pt idx="19">
                  <c:v>1.8000595252495712E-3</c:v>
                </c:pt>
                <c:pt idx="20">
                  <c:v>1.0601488103719283E-3</c:v>
                </c:pt>
              </c:numCache>
            </c:numRef>
          </c:val>
          <c:extLst>
            <c:ext xmlns:c16="http://schemas.microsoft.com/office/drawing/2014/chart" uri="{C3380CC4-5D6E-409C-BE32-E72D297353CC}">
              <c16:uniqueId val="{00000010-6813-4582-852E-CA920C39DEDC}"/>
            </c:ext>
          </c:extLst>
        </c:ser>
        <c:ser>
          <c:idx val="21"/>
          <c:order val="21"/>
          <c:tx>
            <c:strRef>
              <c:f>results!$A$23</c:f>
              <c:strCache>
                <c:ptCount val="1"/>
                <c:pt idx="0">
                  <c:v>PL 2nd-step slot-die coating</c:v>
                </c:pt>
              </c:strCache>
            </c:strRef>
          </c:tx>
          <c:spPr>
            <a:solidFill>
              <a:schemeClr val="accent2">
                <a:lumMod val="7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results!$D$23:$X$23</c:f>
              <c:numCache>
                <c:formatCode>General</c:formatCode>
                <c:ptCount val="21"/>
                <c:pt idx="0">
                  <c:v>2.4189583352684997E-5</c:v>
                </c:pt>
                <c:pt idx="1">
                  <c:v>1.9940178587380709E-2</c:v>
                </c:pt>
                <c:pt idx="2">
                  <c:v>8.806547626092856E-3</c:v>
                </c:pt>
                <c:pt idx="3">
                  <c:v>7.5922619108357133E-5</c:v>
                </c:pt>
                <c:pt idx="4">
                  <c:v>3.7050595267735709E-7</c:v>
                </c:pt>
                <c:pt idx="5">
                  <c:v>0.15531250012424996</c:v>
                </c:pt>
                <c:pt idx="6">
                  <c:v>1.2568452391007142E-4</c:v>
                </c:pt>
                <c:pt idx="7">
                  <c:v>4.6708333370699989E-2</c:v>
                </c:pt>
                <c:pt idx="8">
                  <c:v>1.8296130967017852E-5</c:v>
                </c:pt>
                <c:pt idx="9">
                  <c:v>8.9255952452357121E-5</c:v>
                </c:pt>
                <c:pt idx="10">
                  <c:v>3.2842261931035708E-6</c:v>
                </c:pt>
                <c:pt idx="11">
                  <c:v>1.7647023823641425E-9</c:v>
                </c:pt>
                <c:pt idx="12">
                  <c:v>2.2280357160681425E-5</c:v>
                </c:pt>
                <c:pt idx="13">
                  <c:v>5.9928571476514276E-5</c:v>
                </c:pt>
                <c:pt idx="14">
                  <c:v>8.6309523878571413E-5</c:v>
                </c:pt>
                <c:pt idx="15">
                  <c:v>1.5447321440929283E-6</c:v>
                </c:pt>
                <c:pt idx="16">
                  <c:v>9.5270833409549991E-6</c:v>
                </c:pt>
                <c:pt idx="17">
                  <c:v>2.3864880971472853E-6</c:v>
                </c:pt>
                <c:pt idx="18">
                  <c:v>5.8375000046699988E-4</c:v>
                </c:pt>
                <c:pt idx="19">
                  <c:v>1.8000595252495712E-3</c:v>
                </c:pt>
                <c:pt idx="20">
                  <c:v>1.0601488103719283E-3</c:v>
                </c:pt>
              </c:numCache>
            </c:numRef>
          </c:val>
          <c:extLst>
            <c:ext xmlns:c16="http://schemas.microsoft.com/office/drawing/2014/chart" uri="{C3380CC4-5D6E-409C-BE32-E72D297353CC}">
              <c16:uniqueId val="{00000011-6813-4582-852E-CA920C39DEDC}"/>
            </c:ext>
          </c:extLst>
        </c:ser>
        <c:ser>
          <c:idx val="22"/>
          <c:order val="22"/>
          <c:tx>
            <c:strRef>
              <c:f>results!$A$24</c:f>
              <c:strCache>
                <c:ptCount val="1"/>
                <c:pt idx="0">
                  <c:v>PL 1st-step drying</c:v>
                </c:pt>
              </c:strCache>
            </c:strRef>
          </c:tx>
          <c:spPr>
            <a:solidFill>
              <a:schemeClr val="accent4">
                <a:lumMod val="7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results!$D$24:$X$24</c:f>
              <c:numCache>
                <c:formatCode>General</c:formatCode>
                <c:ptCount val="21"/>
                <c:pt idx="0">
                  <c:v>3.4833000027866389E-3</c:v>
                </c:pt>
                <c:pt idx="1">
                  <c:v>2.871385716582822</c:v>
                </c:pt>
                <c:pt idx="2">
                  <c:v>1.268142858157371</c:v>
                </c:pt>
                <c:pt idx="3">
                  <c:v>1.0932857151603425E-2</c:v>
                </c:pt>
                <c:pt idx="4">
                  <c:v>5.3352857185539414E-5</c:v>
                </c:pt>
                <c:pt idx="5">
                  <c:v>22.365000017891994</c:v>
                </c:pt>
                <c:pt idx="6">
                  <c:v>1.8098571443050281E-2</c:v>
                </c:pt>
                <c:pt idx="7">
                  <c:v>6.726000005380798</c:v>
                </c:pt>
                <c:pt idx="8">
                  <c:v>2.6346428592505704E-3</c:v>
                </c:pt>
                <c:pt idx="9">
                  <c:v>1.2852857153139425E-2</c:v>
                </c:pt>
                <c:pt idx="10">
                  <c:v>4.7292857180691416E-4</c:v>
                </c:pt>
                <c:pt idx="11">
                  <c:v>2.541171430604365E-7</c:v>
                </c:pt>
                <c:pt idx="12">
                  <c:v>3.2083714311381246E-3</c:v>
                </c:pt>
                <c:pt idx="13">
                  <c:v>8.6297142926180549E-3</c:v>
                </c:pt>
                <c:pt idx="14">
                  <c:v>1.2428571438514282E-2</c:v>
                </c:pt>
                <c:pt idx="15">
                  <c:v>2.2244142874938165E-4</c:v>
                </c:pt>
                <c:pt idx="16">
                  <c:v>1.3719000010975198E-3</c:v>
                </c:pt>
                <c:pt idx="17">
                  <c:v>3.4365428598920903E-4</c:v>
                </c:pt>
                <c:pt idx="18">
                  <c:v>8.4060000067247967E-2</c:v>
                </c:pt>
                <c:pt idx="19">
                  <c:v>0.25920857163593819</c:v>
                </c:pt>
                <c:pt idx="20">
                  <c:v>0.15266142869355767</c:v>
                </c:pt>
              </c:numCache>
            </c:numRef>
          </c:val>
          <c:extLst>
            <c:ext xmlns:c16="http://schemas.microsoft.com/office/drawing/2014/chart" uri="{C3380CC4-5D6E-409C-BE32-E72D297353CC}">
              <c16:uniqueId val="{00000012-6813-4582-852E-CA920C39DEDC}"/>
            </c:ext>
          </c:extLst>
        </c:ser>
        <c:ser>
          <c:idx val="23"/>
          <c:order val="23"/>
          <c:tx>
            <c:strRef>
              <c:f>results!$A$25</c:f>
              <c:strCache>
                <c:ptCount val="1"/>
                <c:pt idx="0">
                  <c:v>PL 2nd-step drying</c:v>
                </c:pt>
              </c:strCache>
            </c:strRef>
          </c:tx>
          <c:spPr>
            <a:solidFill>
              <a:schemeClr val="accent6">
                <a:lumMod val="7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results!$D$25:$X$25</c:f>
              <c:numCache>
                <c:formatCode>General</c:formatCode>
                <c:ptCount val="21"/>
                <c:pt idx="0">
                  <c:v>5.2249500041799592E-3</c:v>
                </c:pt>
                <c:pt idx="1">
                  <c:v>4.3070785748742333</c:v>
                </c:pt>
                <c:pt idx="2">
                  <c:v>1.9022142872360568</c:v>
                </c:pt>
                <c:pt idx="3">
                  <c:v>1.6399285727405139E-2</c:v>
                </c:pt>
                <c:pt idx="4">
                  <c:v>8.0029285778309141E-5</c:v>
                </c:pt>
                <c:pt idx="5">
                  <c:v>33.547500026837994</c:v>
                </c:pt>
                <c:pt idx="6">
                  <c:v>2.7147857164575427E-2</c:v>
                </c:pt>
                <c:pt idx="7">
                  <c:v>10.089000008071197</c:v>
                </c:pt>
                <c:pt idx="8">
                  <c:v>3.951964288875856E-3</c:v>
                </c:pt>
                <c:pt idx="9">
                  <c:v>1.9279285729709141E-2</c:v>
                </c:pt>
                <c:pt idx="10">
                  <c:v>7.0939285771037136E-4</c:v>
                </c:pt>
                <c:pt idx="11">
                  <c:v>3.8117571459065481E-7</c:v>
                </c:pt>
                <c:pt idx="12">
                  <c:v>4.8125571467071875E-3</c:v>
                </c:pt>
                <c:pt idx="13">
                  <c:v>1.2944571438927084E-2</c:v>
                </c:pt>
                <c:pt idx="14">
                  <c:v>1.8642857157771423E-2</c:v>
                </c:pt>
                <c:pt idx="15">
                  <c:v>3.3366214312407252E-4</c:v>
                </c:pt>
                <c:pt idx="16">
                  <c:v>2.0578500016462799E-3</c:v>
                </c:pt>
                <c:pt idx="17">
                  <c:v>5.1548142898381357E-4</c:v>
                </c:pt>
                <c:pt idx="18">
                  <c:v>0.12609000010087199</c:v>
                </c:pt>
                <c:pt idx="19">
                  <c:v>0.38881285745390737</c:v>
                </c:pt>
                <c:pt idx="20">
                  <c:v>0.22899214304033655</c:v>
                </c:pt>
              </c:numCache>
            </c:numRef>
          </c:val>
          <c:extLst>
            <c:ext xmlns:c16="http://schemas.microsoft.com/office/drawing/2014/chart" uri="{C3380CC4-5D6E-409C-BE32-E72D297353CC}">
              <c16:uniqueId val="{00000013-6813-4582-852E-CA920C39DEDC}"/>
            </c:ext>
          </c:extLst>
        </c:ser>
        <c:ser>
          <c:idx val="24"/>
          <c:order val="24"/>
          <c:tx>
            <c:strRef>
              <c:f>results!$A$26</c:f>
              <c:strCache>
                <c:ptCount val="1"/>
                <c:pt idx="0">
                  <c:v>PL annealing</c:v>
                </c:pt>
              </c:strCache>
            </c:strRef>
          </c:tx>
          <c:spPr>
            <a:solidFill>
              <a:schemeClr val="accent2">
                <a:lumMod val="50000"/>
                <a:lumOff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results!$D$26:$X$26</c:f>
              <c:numCache>
                <c:formatCode>General</c:formatCode>
                <c:ptCount val="21"/>
                <c:pt idx="0">
                  <c:v>3.4833000027866389E-3</c:v>
                </c:pt>
                <c:pt idx="1">
                  <c:v>2.871385716582822</c:v>
                </c:pt>
                <c:pt idx="2">
                  <c:v>1.268142858157371</c:v>
                </c:pt>
                <c:pt idx="3">
                  <c:v>1.0932857151603425E-2</c:v>
                </c:pt>
                <c:pt idx="4">
                  <c:v>5.3352857185539414E-5</c:v>
                </c:pt>
                <c:pt idx="5">
                  <c:v>22.365000017891994</c:v>
                </c:pt>
                <c:pt idx="6">
                  <c:v>1.8098571443050281E-2</c:v>
                </c:pt>
                <c:pt idx="7">
                  <c:v>6.726000005380798</c:v>
                </c:pt>
                <c:pt idx="8">
                  <c:v>2.6346428592505704E-3</c:v>
                </c:pt>
                <c:pt idx="9">
                  <c:v>1.2852857153139425E-2</c:v>
                </c:pt>
                <c:pt idx="10">
                  <c:v>4.7292857180691416E-4</c:v>
                </c:pt>
                <c:pt idx="11">
                  <c:v>2.541171430604365E-7</c:v>
                </c:pt>
                <c:pt idx="12">
                  <c:v>3.2083714311381246E-3</c:v>
                </c:pt>
                <c:pt idx="13">
                  <c:v>8.6297142926180549E-3</c:v>
                </c:pt>
                <c:pt idx="14">
                  <c:v>1.2428571438514282E-2</c:v>
                </c:pt>
                <c:pt idx="15">
                  <c:v>2.2244142874938165E-4</c:v>
                </c:pt>
                <c:pt idx="16">
                  <c:v>1.3719000010975198E-3</c:v>
                </c:pt>
                <c:pt idx="17">
                  <c:v>3.4365428598920903E-4</c:v>
                </c:pt>
                <c:pt idx="18">
                  <c:v>8.4060000067247967E-2</c:v>
                </c:pt>
                <c:pt idx="19">
                  <c:v>0.25920857163593819</c:v>
                </c:pt>
                <c:pt idx="20">
                  <c:v>0.15266142869355767</c:v>
                </c:pt>
              </c:numCache>
            </c:numRef>
          </c:val>
          <c:extLst>
            <c:ext xmlns:c16="http://schemas.microsoft.com/office/drawing/2014/chart" uri="{C3380CC4-5D6E-409C-BE32-E72D297353CC}">
              <c16:uniqueId val="{00000014-6813-4582-852E-CA920C39DEDC}"/>
            </c:ext>
          </c:extLst>
        </c:ser>
        <c:ser>
          <c:idx val="25"/>
          <c:order val="25"/>
          <c:tx>
            <c:strRef>
              <c:f>results!$A$27</c:f>
              <c:strCache>
                <c:ptCount val="1"/>
                <c:pt idx="0">
                  <c:v>HTL slot-die coating</c:v>
                </c:pt>
              </c:strCache>
            </c:strRef>
          </c:tx>
          <c:spPr>
            <a:solidFill>
              <a:schemeClr val="accent4">
                <a:lumMod val="50000"/>
                <a:lumOff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results!$D$27:$X$27</c:f>
              <c:numCache>
                <c:formatCode>General</c:formatCode>
                <c:ptCount val="21"/>
                <c:pt idx="0">
                  <c:v>1.1288472231252999E-4</c:v>
                </c:pt>
                <c:pt idx="1">
                  <c:v>9.3054166741109987E-2</c:v>
                </c:pt>
                <c:pt idx="2">
                  <c:v>4.1097222255099992E-2</c:v>
                </c:pt>
                <c:pt idx="3">
                  <c:v>3.5430555583899995E-4</c:v>
                </c:pt>
                <c:pt idx="4">
                  <c:v>1.729027779161E-6</c:v>
                </c:pt>
                <c:pt idx="5">
                  <c:v>0.7247916672464999</c:v>
                </c:pt>
                <c:pt idx="6">
                  <c:v>5.8652777824699993E-4</c:v>
                </c:pt>
                <c:pt idx="7">
                  <c:v>0.21797222239659997</c:v>
                </c:pt>
                <c:pt idx="8">
                  <c:v>8.5381944512749982E-5</c:v>
                </c:pt>
                <c:pt idx="9">
                  <c:v>4.1652777811099993E-4</c:v>
                </c:pt>
                <c:pt idx="10">
                  <c:v>1.5326388901149997E-5</c:v>
                </c:pt>
                <c:pt idx="11">
                  <c:v>8.2352777843660001E-9</c:v>
                </c:pt>
                <c:pt idx="12">
                  <c:v>1.0397500008317998E-4</c:v>
                </c:pt>
                <c:pt idx="13">
                  <c:v>2.7966666689039997E-4</c:v>
                </c:pt>
                <c:pt idx="14">
                  <c:v>4.0277777809999996E-4</c:v>
                </c:pt>
                <c:pt idx="15">
                  <c:v>7.2087500057669995E-6</c:v>
                </c:pt>
                <c:pt idx="16">
                  <c:v>4.4459722257790003E-5</c:v>
                </c:pt>
                <c:pt idx="17">
                  <c:v>1.1136944453353999E-5</c:v>
                </c:pt>
                <c:pt idx="18">
                  <c:v>2.7241666688459995E-3</c:v>
                </c:pt>
                <c:pt idx="19">
                  <c:v>8.4002777844979989E-3</c:v>
                </c:pt>
                <c:pt idx="20">
                  <c:v>4.9473611150689994E-3</c:v>
                </c:pt>
              </c:numCache>
            </c:numRef>
          </c:val>
          <c:extLst>
            <c:ext xmlns:c16="http://schemas.microsoft.com/office/drawing/2014/chart" uri="{C3380CC4-5D6E-409C-BE32-E72D297353CC}">
              <c16:uniqueId val="{00000015-6813-4582-852E-CA920C39DEDC}"/>
            </c:ext>
          </c:extLst>
        </c:ser>
        <c:ser>
          <c:idx val="26"/>
          <c:order val="26"/>
          <c:tx>
            <c:strRef>
              <c:f>results!$A$28</c:f>
              <c:strCache>
                <c:ptCount val="1"/>
                <c:pt idx="0">
                  <c:v>Electrode sputtering</c:v>
                </c:pt>
              </c:strCache>
            </c:strRef>
          </c:tx>
          <c:spPr>
            <a:solidFill>
              <a:schemeClr val="accent6">
                <a:lumMod val="50000"/>
                <a:lumOff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results!$D$28:$X$28</c:f>
              <c:numCache>
                <c:formatCode>General</c:formatCode>
                <c:ptCount val="21"/>
                <c:pt idx="0">
                  <c:v>6.3215444495016799E-3</c:v>
                </c:pt>
                <c:pt idx="1">
                  <c:v>5.2110333375021591</c:v>
                </c:pt>
                <c:pt idx="2">
                  <c:v>2.3014444462855996</c:v>
                </c:pt>
                <c:pt idx="3">
                  <c:v>1.9841111126983998E-2</c:v>
                </c:pt>
                <c:pt idx="4">
                  <c:v>9.6825555633015992E-5</c:v>
                </c:pt>
                <c:pt idx="5">
                  <c:v>40.588333365803997</c:v>
                </c:pt>
                <c:pt idx="6">
                  <c:v>3.2845555581831998E-2</c:v>
                </c:pt>
                <c:pt idx="7">
                  <c:v>12.206444454209599</c:v>
                </c:pt>
                <c:pt idx="8">
                  <c:v>4.7813888927139992E-3</c:v>
                </c:pt>
                <c:pt idx="9">
                  <c:v>2.3325555574215999E-2</c:v>
                </c:pt>
                <c:pt idx="10">
                  <c:v>8.5827777846439999E-4</c:v>
                </c:pt>
                <c:pt idx="11">
                  <c:v>4.6117555592449599E-7</c:v>
                </c:pt>
                <c:pt idx="12">
                  <c:v>5.8226000046580793E-3</c:v>
                </c:pt>
                <c:pt idx="13">
                  <c:v>1.5661333345862397E-2</c:v>
                </c:pt>
                <c:pt idx="14">
                  <c:v>2.2555555573599999E-2</c:v>
                </c:pt>
                <c:pt idx="15">
                  <c:v>4.0369000032295196E-4</c:v>
                </c:pt>
                <c:pt idx="16">
                  <c:v>2.4897444464362399E-3</c:v>
                </c:pt>
                <c:pt idx="17">
                  <c:v>6.2366888938782388E-4</c:v>
                </c:pt>
                <c:pt idx="18">
                  <c:v>0.152553333455376</c:v>
                </c:pt>
                <c:pt idx="19">
                  <c:v>0.470415555931888</c:v>
                </c:pt>
                <c:pt idx="20">
                  <c:v>0.27705222244386396</c:v>
                </c:pt>
              </c:numCache>
            </c:numRef>
          </c:val>
          <c:extLst>
            <c:ext xmlns:c16="http://schemas.microsoft.com/office/drawing/2014/chart" uri="{C3380CC4-5D6E-409C-BE32-E72D297353CC}">
              <c16:uniqueId val="{00000016-6813-4582-852E-CA920C39DEDC}"/>
            </c:ext>
          </c:extLst>
        </c:ser>
        <c:ser>
          <c:idx val="27"/>
          <c:order val="27"/>
          <c:tx>
            <c:strRef>
              <c:f>results!$A$29</c:f>
              <c:strCache>
                <c:ptCount val="1"/>
                <c:pt idx="0">
                  <c:v>Lamination</c:v>
                </c:pt>
              </c:strCache>
            </c:strRef>
          </c:tx>
          <c:spPr>
            <a:solidFill>
              <a:schemeClr val="accent2"/>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results!$D$29:$X$29</c:f>
              <c:numCache>
                <c:formatCode>General</c:formatCode>
                <c:ptCount val="21"/>
                <c:pt idx="0">
                  <c:v>1.0159625008127698E-5</c:v>
                </c:pt>
                <c:pt idx="1">
                  <c:v>8.374875006699898E-3</c:v>
                </c:pt>
                <c:pt idx="2">
                  <c:v>3.6987500029589996E-3</c:v>
                </c:pt>
                <c:pt idx="3">
                  <c:v>3.1887500025509992E-5</c:v>
                </c:pt>
                <c:pt idx="4">
                  <c:v>1.5561250012448999E-7</c:v>
                </c:pt>
                <c:pt idx="5">
                  <c:v>6.5231250052184983E-2</c:v>
                </c:pt>
                <c:pt idx="6">
                  <c:v>5.2787500042229995E-5</c:v>
                </c:pt>
                <c:pt idx="7">
                  <c:v>1.9617500015693994E-2</c:v>
                </c:pt>
                <c:pt idx="8">
                  <c:v>7.6843750061474979E-6</c:v>
                </c:pt>
                <c:pt idx="9">
                  <c:v>3.7487500029989991E-5</c:v>
                </c:pt>
                <c:pt idx="10">
                  <c:v>1.3793750011034997E-6</c:v>
                </c:pt>
                <c:pt idx="11">
                  <c:v>7.4117500059293989E-10</c:v>
                </c:pt>
                <c:pt idx="12">
                  <c:v>9.3577500074861978E-6</c:v>
                </c:pt>
                <c:pt idx="13">
                  <c:v>2.5170000020135994E-5</c:v>
                </c:pt>
                <c:pt idx="14">
                  <c:v>3.6250000028999989E-5</c:v>
                </c:pt>
                <c:pt idx="15">
                  <c:v>6.4878750051902993E-7</c:v>
                </c:pt>
                <c:pt idx="16">
                  <c:v>4.0013750032010996E-6</c:v>
                </c:pt>
                <c:pt idx="17">
                  <c:v>1.0023250008018598E-6</c:v>
                </c:pt>
                <c:pt idx="18">
                  <c:v>2.4517500019613996E-4</c:v>
                </c:pt>
                <c:pt idx="19">
                  <c:v>7.5602500060481992E-4</c:v>
                </c:pt>
                <c:pt idx="20">
                  <c:v>4.4526250035620995E-4</c:v>
                </c:pt>
              </c:numCache>
            </c:numRef>
          </c:val>
          <c:extLst>
            <c:ext xmlns:c16="http://schemas.microsoft.com/office/drawing/2014/chart" uri="{C3380CC4-5D6E-409C-BE32-E72D297353CC}">
              <c16:uniqueId val="{00000017-6813-4582-852E-CA920C39DEDC}"/>
            </c:ext>
          </c:extLst>
        </c:ser>
        <c:ser>
          <c:idx val="28"/>
          <c:order val="28"/>
          <c:tx>
            <c:strRef>
              <c:f>results!$A$30</c:f>
              <c:strCache>
                <c:ptCount val="1"/>
                <c:pt idx="0">
                  <c:v>Direct emissions</c:v>
                </c:pt>
              </c:strCache>
            </c:strRef>
          </c:tx>
          <c:spPr>
            <a:solidFill>
              <a:schemeClr val="accent4"/>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results!$D$30:$X$30</c:f>
              <c:numCache>
                <c:formatCode>General</c:formatCode>
                <c:ptCount val="21"/>
                <c:pt idx="0">
                  <c:v>0</c:v>
                </c:pt>
                <c:pt idx="1">
                  <c:v>0</c:v>
                </c:pt>
                <c:pt idx="2">
                  <c:v>0</c:v>
                </c:pt>
                <c:pt idx="3">
                  <c:v>2.8761011380081667E-2</c:v>
                </c:pt>
                <c:pt idx="4">
                  <c:v>0</c:v>
                </c:pt>
                <c:pt idx="5">
                  <c:v>4.3858442124377395E-2</c:v>
                </c:pt>
                <c:pt idx="6">
                  <c:v>0</c:v>
                </c:pt>
                <c:pt idx="7">
                  <c:v>65.577504360439931</c:v>
                </c:pt>
                <c:pt idx="8">
                  <c:v>0</c:v>
                </c:pt>
                <c:pt idx="9">
                  <c:v>0</c:v>
                </c:pt>
                <c:pt idx="10">
                  <c:v>0</c:v>
                </c:pt>
                <c:pt idx="11">
                  <c:v>0</c:v>
                </c:pt>
                <c:pt idx="12">
                  <c:v>0</c:v>
                </c:pt>
                <c:pt idx="13">
                  <c:v>2.0050884227609559E-3</c:v>
                </c:pt>
                <c:pt idx="14">
                  <c:v>0</c:v>
                </c:pt>
                <c:pt idx="15">
                  <c:v>0.3011390954760253</c:v>
                </c:pt>
                <c:pt idx="16">
                  <c:v>0</c:v>
                </c:pt>
                <c:pt idx="17">
                  <c:v>0</c:v>
                </c:pt>
                <c:pt idx="18">
                  <c:v>8.2794118469419198E-2</c:v>
                </c:pt>
                <c:pt idx="19">
                  <c:v>2.6163181429858452E-4</c:v>
                </c:pt>
                <c:pt idx="20">
                  <c:v>0</c:v>
                </c:pt>
              </c:numCache>
            </c:numRef>
          </c:val>
          <c:extLst>
            <c:ext xmlns:c16="http://schemas.microsoft.com/office/drawing/2014/chart" uri="{C3380CC4-5D6E-409C-BE32-E72D297353CC}">
              <c16:uniqueId val="{00000018-6813-4582-852E-CA920C39DEDC}"/>
            </c:ext>
          </c:extLst>
        </c:ser>
        <c:ser>
          <c:idx val="29"/>
          <c:order val="29"/>
          <c:tx>
            <c:strRef>
              <c:f>results!$A$31</c:f>
              <c:strCache>
                <c:ptCount val="1"/>
                <c:pt idx="0">
                  <c:v>Treatment</c:v>
                </c:pt>
              </c:strCache>
            </c:strRef>
          </c:tx>
          <c:spPr>
            <a:solidFill>
              <a:schemeClr val="accent6"/>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results!$D$31:$X$31</c:f>
              <c:numCache>
                <c:formatCode>General</c:formatCode>
                <c:ptCount val="21"/>
                <c:pt idx="0">
                  <c:v>4.5807721199999999E-6</c:v>
                </c:pt>
                <c:pt idx="1">
                  <c:v>1.1673294600000001E-4</c:v>
                </c:pt>
                <c:pt idx="2">
                  <c:v>2.0171209800000002E-5</c:v>
                </c:pt>
                <c:pt idx="3">
                  <c:v>1.7836447800000002E-6</c:v>
                </c:pt>
                <c:pt idx="4">
                  <c:v>7.2485856000000006E-7</c:v>
                </c:pt>
                <c:pt idx="5">
                  <c:v>1.6467545400000001E-3</c:v>
                </c:pt>
                <c:pt idx="6">
                  <c:v>8.1773364000000004E-6</c:v>
                </c:pt>
                <c:pt idx="7">
                  <c:v>1.6016055E-3</c:v>
                </c:pt>
                <c:pt idx="8">
                  <c:v>6.7182390000000003E-6</c:v>
                </c:pt>
                <c:pt idx="9">
                  <c:v>9.001976400000002E-6</c:v>
                </c:pt>
                <c:pt idx="10">
                  <c:v>9.3617256000000016E-9</c:v>
                </c:pt>
                <c:pt idx="11">
                  <c:v>9.4591362000000011E-12</c:v>
                </c:pt>
                <c:pt idx="12">
                  <c:v>2.6064808800000005E-7</c:v>
                </c:pt>
                <c:pt idx="13">
                  <c:v>3.0646199400000004E-7</c:v>
                </c:pt>
                <c:pt idx="14">
                  <c:v>5.3446980000000006E-7</c:v>
                </c:pt>
                <c:pt idx="15">
                  <c:v>7.1202510000000002E-8</c:v>
                </c:pt>
                <c:pt idx="16">
                  <c:v>1.2040259400000001E-6</c:v>
                </c:pt>
                <c:pt idx="17">
                  <c:v>5.488494600000001E-7</c:v>
                </c:pt>
                <c:pt idx="18">
                  <c:v>5.2287330000000007E-6</c:v>
                </c:pt>
                <c:pt idx="19">
                  <c:v>1.58258724E-5</c:v>
                </c:pt>
                <c:pt idx="20">
                  <c:v>2.8364008200000001E-6</c:v>
                </c:pt>
              </c:numCache>
            </c:numRef>
          </c:val>
          <c:extLst>
            <c:ext xmlns:c16="http://schemas.microsoft.com/office/drawing/2014/chart" uri="{C3380CC4-5D6E-409C-BE32-E72D297353CC}">
              <c16:uniqueId val="{00000019-6813-4582-852E-CA920C39DEDC}"/>
            </c:ext>
          </c:extLst>
        </c:ser>
        <c:ser>
          <c:idx val="30"/>
          <c:order val="30"/>
          <c:tx>
            <c:strRef>
              <c:f>results!$A$32</c:f>
              <c:strCache>
                <c:ptCount val="1"/>
                <c:pt idx="0">
                  <c:v>End of life</c:v>
                </c:pt>
              </c:strCache>
            </c:strRef>
          </c:tx>
          <c:spPr>
            <a:solidFill>
              <a:schemeClr val="accent2">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results!$D$32:$X$32</c:f>
              <c:numCache>
                <c:formatCode>General</c:formatCode>
                <c:ptCount val="21"/>
                <c:pt idx="0">
                  <c:v>1.4404227840610886E-3</c:v>
                </c:pt>
                <c:pt idx="1">
                  <c:v>2.6219473905506673E-2</c:v>
                </c:pt>
                <c:pt idx="2">
                  <c:v>2.0784255322415762E-2</c:v>
                </c:pt>
                <c:pt idx="3">
                  <c:v>1.282937518172191E-4</c:v>
                </c:pt>
                <c:pt idx="4">
                  <c:v>3.090141278511205E-6</c:v>
                </c:pt>
                <c:pt idx="5">
                  <c:v>0.19763964408424109</c:v>
                </c:pt>
                <c:pt idx="6">
                  <c:v>3.8128687377176726E-3</c:v>
                </c:pt>
                <c:pt idx="7">
                  <c:v>0.14018602034668395</c:v>
                </c:pt>
                <c:pt idx="8">
                  <c:v>8.8765823000370891E-5</c:v>
                </c:pt>
                <c:pt idx="9">
                  <c:v>1.0816007957886345E-3</c:v>
                </c:pt>
                <c:pt idx="10">
                  <c:v>-2.0439708164243439E-4</c:v>
                </c:pt>
                <c:pt idx="11">
                  <c:v>9.7972574931860742E-9</c:v>
                </c:pt>
                <c:pt idx="12">
                  <c:v>9.3777418028331914E-5</c:v>
                </c:pt>
                <c:pt idx="13">
                  <c:v>2.835761752194414E-4</c:v>
                </c:pt>
                <c:pt idx="14">
                  <c:v>2.3723946053468711E-4</c:v>
                </c:pt>
                <c:pt idx="15">
                  <c:v>2.8601008509982408E-5</c:v>
                </c:pt>
                <c:pt idx="16">
                  <c:v>5.249337701930883E-3</c:v>
                </c:pt>
                <c:pt idx="17">
                  <c:v>3.7909430094703429E-5</c:v>
                </c:pt>
                <c:pt idx="18">
                  <c:v>2.134908672925563E-3</c:v>
                </c:pt>
                <c:pt idx="19">
                  <c:v>2.4661052705725762E-3</c:v>
                </c:pt>
                <c:pt idx="20">
                  <c:v>2.5425629037348096E-3</c:v>
                </c:pt>
              </c:numCache>
            </c:numRef>
          </c:val>
          <c:extLst>
            <c:ext xmlns:c16="http://schemas.microsoft.com/office/drawing/2014/chart" uri="{C3380CC4-5D6E-409C-BE32-E72D297353CC}">
              <c16:uniqueId val="{0000001A-6813-4582-852E-CA920C39DEDC}"/>
            </c:ext>
          </c:extLst>
        </c:ser>
        <c:dLbls>
          <c:showLegendKey val="0"/>
          <c:showVal val="0"/>
          <c:showCatName val="0"/>
          <c:showSerName val="0"/>
          <c:showPercent val="0"/>
          <c:showBubbleSize val="0"/>
        </c:dLbls>
        <c:gapWidth val="150"/>
        <c:overlap val="100"/>
        <c:axId val="1595515343"/>
        <c:axId val="1555299615"/>
      </c:barChart>
      <c:catAx>
        <c:axId val="159551534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99615"/>
        <c:crosses val="autoZero"/>
        <c:auto val="1"/>
        <c:lblAlgn val="ctr"/>
        <c:lblOffset val="100"/>
        <c:noMultiLvlLbl val="0"/>
      </c:catAx>
      <c:valAx>
        <c:axId val="1555299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515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sensitivity!$L$12:$L$17</c:f>
              <c:strCache>
                <c:ptCount val="6"/>
                <c:pt idx="0">
                  <c:v>Energy consumption of PL slot-die coating, kWh (0.05)</c:v>
                </c:pt>
                <c:pt idx="1">
                  <c:v>Energy consumption of PL annealing, kWh (0.266)</c:v>
                </c:pt>
                <c:pt idx="2">
                  <c:v>Energy consumption of PL drying, kWh (0.710)</c:v>
                </c:pt>
                <c:pt idx="3">
                  <c:v>Utilization efficiency of gold (100%)</c:v>
                </c:pt>
                <c:pt idx="4">
                  <c:v>Recycling level of substrate (100%)</c:v>
                </c:pt>
                <c:pt idx="5">
                  <c:v>Recycling level of gold (100%)</c:v>
                </c:pt>
              </c:strCache>
            </c:strRef>
          </c:cat>
          <c:val>
            <c:numRef>
              <c:f>sensitivity!$N$12:$N$17</c:f>
              <c:numCache>
                <c:formatCode>General</c:formatCode>
                <c:ptCount val="6"/>
                <c:pt idx="0">
                  <c:v>167.85653951431115</c:v>
                </c:pt>
                <c:pt idx="1">
                  <c:v>167.31599725292131</c:v>
                </c:pt>
                <c:pt idx="2">
                  <c:v>166.20690010503506</c:v>
                </c:pt>
                <c:pt idx="3">
                  <c:v>200.40205508237307</c:v>
                </c:pt>
                <c:pt idx="4">
                  <c:v>206.47723227218171</c:v>
                </c:pt>
                <c:pt idx="5">
                  <c:v>232.82265462309306</c:v>
                </c:pt>
              </c:numCache>
            </c:numRef>
          </c:val>
          <c:extLst>
            <c:ext xmlns:c16="http://schemas.microsoft.com/office/drawing/2014/chart" uri="{C3380CC4-5D6E-409C-BE32-E72D297353CC}">
              <c16:uniqueId val="{00000000-7070-4EB0-AF03-4FA3DF2E86A3}"/>
            </c:ext>
          </c:extLst>
        </c:ser>
        <c:dLbls>
          <c:showLegendKey val="0"/>
          <c:showVal val="0"/>
          <c:showCatName val="0"/>
          <c:showSerName val="0"/>
          <c:showPercent val="0"/>
          <c:showBubbleSize val="0"/>
        </c:dLbls>
        <c:gapWidth val="182"/>
        <c:axId val="226197807"/>
        <c:axId val="1519138671"/>
      </c:barChart>
      <c:barChart>
        <c:barDir val="bar"/>
        <c:grouping val="clustered"/>
        <c:varyColors val="0"/>
        <c:ser>
          <c:idx val="1"/>
          <c:order val="1"/>
          <c:spPr>
            <a:solidFill>
              <a:schemeClr val="accent2"/>
            </a:solidFill>
            <a:ln>
              <a:noFill/>
            </a:ln>
            <a:effectLst/>
          </c:spPr>
          <c:invertIfNegative val="0"/>
          <c:cat>
            <c:strRef>
              <c:f>sensitivity!$L$12:$L$17</c:f>
              <c:strCache>
                <c:ptCount val="6"/>
                <c:pt idx="0">
                  <c:v>Energy consumption of PL slot-die coating, kWh (0.05)</c:v>
                </c:pt>
                <c:pt idx="1">
                  <c:v>Energy consumption of PL annealing, kWh (0.266)</c:v>
                </c:pt>
                <c:pt idx="2">
                  <c:v>Energy consumption of PL drying, kWh (0.710)</c:v>
                </c:pt>
                <c:pt idx="3">
                  <c:v>Utilization efficiency of gold (100%)</c:v>
                </c:pt>
                <c:pt idx="4">
                  <c:v>Recycling level of substrate (100%)</c:v>
                </c:pt>
                <c:pt idx="5">
                  <c:v>Recycling level of gold (100%)</c:v>
                </c:pt>
              </c:strCache>
            </c:strRef>
          </c:cat>
          <c:val>
            <c:numRef>
              <c:f>sensitivity!$R$12:$R$17</c:f>
              <c:numCache>
                <c:formatCode>General</c:formatCode>
                <c:ptCount val="6"/>
                <c:pt idx="0">
                  <c:v>168.106371568995</c:v>
                </c:pt>
                <c:pt idx="1">
                  <c:v>168.64691383038485</c:v>
                </c:pt>
                <c:pt idx="2">
                  <c:v>169.75601097827109</c:v>
                </c:pt>
                <c:pt idx="3">
                  <c:v>167.98145554165308</c:v>
                </c:pt>
                <c:pt idx="4">
                  <c:v>167.98145554165308</c:v>
                </c:pt>
                <c:pt idx="5">
                  <c:v>167.98145554165308</c:v>
                </c:pt>
              </c:numCache>
            </c:numRef>
          </c:val>
          <c:extLst>
            <c:ext xmlns:c16="http://schemas.microsoft.com/office/drawing/2014/chart" uri="{C3380CC4-5D6E-409C-BE32-E72D297353CC}">
              <c16:uniqueId val="{00000002-7070-4EB0-AF03-4FA3DF2E86A3}"/>
            </c:ext>
          </c:extLst>
        </c:ser>
        <c:dLbls>
          <c:showLegendKey val="0"/>
          <c:showVal val="0"/>
          <c:showCatName val="0"/>
          <c:showSerName val="0"/>
          <c:showPercent val="0"/>
          <c:showBubbleSize val="0"/>
        </c:dLbls>
        <c:gapWidth val="182"/>
        <c:axId val="305125567"/>
        <c:axId val="230180911"/>
      </c:barChart>
      <c:catAx>
        <c:axId val="226197807"/>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138671"/>
        <c:crossesAt val="167.98145550000001"/>
        <c:auto val="1"/>
        <c:lblAlgn val="ctr"/>
        <c:lblOffset val="100"/>
        <c:noMultiLvlLbl val="0"/>
      </c:catAx>
      <c:valAx>
        <c:axId val="1519138671"/>
        <c:scaling>
          <c:orientation val="minMax"/>
          <c:max val="235"/>
          <c:min val="16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97807"/>
        <c:crosses val="autoZero"/>
        <c:crossBetween val="between"/>
      </c:valAx>
      <c:valAx>
        <c:axId val="230180911"/>
        <c:scaling>
          <c:orientation val="minMax"/>
          <c:max val="235"/>
          <c:min val="160"/>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25567"/>
        <c:crosses val="max"/>
        <c:crossBetween val="between"/>
      </c:valAx>
      <c:catAx>
        <c:axId val="305125567"/>
        <c:scaling>
          <c:orientation val="minMax"/>
        </c:scaling>
        <c:delete val="1"/>
        <c:axPos val="l"/>
        <c:numFmt formatCode="General" sourceLinked="1"/>
        <c:majorTickMark val="out"/>
        <c:minorTickMark val="none"/>
        <c:tickLblPos val="nextTo"/>
        <c:crossAx val="230180911"/>
        <c:crossesAt val="167.98145550000001"/>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'results (2)'!$A$2</c:f>
              <c:strCache>
                <c:ptCount val="1"/>
                <c:pt idx="0">
                  <c:v>FTO glass</c:v>
                </c:pt>
              </c:strCache>
            </c:strRef>
          </c:tx>
          <c:spPr>
            <a:solidFill>
              <a:schemeClr val="accent2"/>
            </a:solidFill>
            <a:ln>
              <a:noFill/>
            </a:ln>
            <a:effectLst/>
          </c:spPr>
          <c:invertIfNegative val="0"/>
          <c:cat>
            <c:strRef>
              <c:f>'results (2)'!$D$1:$X$1</c:f>
              <c:strCache>
                <c:ptCount val="5"/>
                <c:pt idx="3">
                  <c:v>Carbon footprint</c:v>
                </c:pt>
                <c:pt idx="4">
                  <c:v>Primary energy consumption</c:v>
                </c:pt>
              </c:strCache>
            </c:strRef>
          </c:cat>
          <c:val>
            <c:numRef>
              <c:f>'results (2)'!$D$2:$X$2</c:f>
              <c:numCache>
                <c:formatCode>General</c:formatCode>
                <c:ptCount val="21"/>
                <c:pt idx="3">
                  <c:v>0.34780676817599987</c:v>
                </c:pt>
                <c:pt idx="4">
                  <c:v>8.5029036949120105</c:v>
                </c:pt>
              </c:numCache>
            </c:numRef>
          </c:val>
          <c:extLst>
            <c:ext xmlns:c16="http://schemas.microsoft.com/office/drawing/2014/chart" uri="{C3380CC4-5D6E-409C-BE32-E72D297353CC}">
              <c16:uniqueId val="{00000000-5F47-45B0-851F-B5F638E30AC2}"/>
            </c:ext>
          </c:extLst>
        </c:ser>
        <c:ser>
          <c:idx val="1"/>
          <c:order val="1"/>
          <c:tx>
            <c:strRef>
              <c:f>'results (2)'!$A$3</c:f>
              <c:strCache>
                <c:ptCount val="1"/>
                <c:pt idx="0">
                  <c:v>BL-TiO₂ ink</c:v>
                </c:pt>
              </c:strCache>
            </c:strRef>
          </c:tx>
          <c:spPr>
            <a:solidFill>
              <a:schemeClr val="accent4"/>
            </a:solidFill>
            <a:ln>
              <a:noFill/>
            </a:ln>
            <a:effectLst/>
          </c:spPr>
          <c:invertIfNegative val="0"/>
          <c:cat>
            <c:strRef>
              <c:f>'results (2)'!$D$1:$X$1</c:f>
              <c:strCache>
                <c:ptCount val="5"/>
                <c:pt idx="3">
                  <c:v>Carbon footprint</c:v>
                </c:pt>
                <c:pt idx="4">
                  <c:v>Primary energy consumption</c:v>
                </c:pt>
              </c:strCache>
            </c:strRef>
          </c:cat>
          <c:val>
            <c:numRef>
              <c:f>'results (2)'!$D$3:$X$3</c:f>
              <c:numCache>
                <c:formatCode>General</c:formatCode>
                <c:ptCount val="21"/>
                <c:pt idx="3">
                  <c:v>2.2765392121238096E-3</c:v>
                </c:pt>
                <c:pt idx="4">
                  <c:v>6.1700956254785687E-2</c:v>
                </c:pt>
              </c:numCache>
            </c:numRef>
          </c:val>
          <c:extLst>
            <c:ext xmlns:c16="http://schemas.microsoft.com/office/drawing/2014/chart" uri="{C3380CC4-5D6E-409C-BE32-E72D297353CC}">
              <c16:uniqueId val="{00000001-5F47-45B0-851F-B5F638E30AC2}"/>
            </c:ext>
          </c:extLst>
        </c:ser>
        <c:ser>
          <c:idx val="2"/>
          <c:order val="2"/>
          <c:tx>
            <c:strRef>
              <c:f>'results (2)'!$A$4</c:f>
              <c:strCache>
                <c:ptCount val="1"/>
                <c:pt idx="0">
                  <c:v>MP-TiO₂</c:v>
                </c:pt>
              </c:strCache>
            </c:strRef>
          </c:tx>
          <c:spPr>
            <a:solidFill>
              <a:schemeClr val="accent6"/>
            </a:solidFill>
            <a:ln>
              <a:noFill/>
            </a:ln>
            <a:effectLst/>
          </c:spPr>
          <c:invertIfNegative val="0"/>
          <c:cat>
            <c:strRef>
              <c:f>'results (2)'!$D$1:$X$1</c:f>
              <c:strCache>
                <c:ptCount val="5"/>
                <c:pt idx="3">
                  <c:v>Carbon footprint</c:v>
                </c:pt>
                <c:pt idx="4">
                  <c:v>Primary energy consumption</c:v>
                </c:pt>
              </c:strCache>
            </c:strRef>
          </c:cat>
          <c:val>
            <c:numRef>
              <c:f>'results (2)'!$D$4:$X$4</c:f>
              <c:numCache>
                <c:formatCode>General</c:formatCode>
                <c:ptCount val="21"/>
                <c:pt idx="3">
                  <c:v>4.364040239999999E-4</c:v>
                </c:pt>
                <c:pt idx="4">
                  <c:v>4.6809738838835997E-3</c:v>
                </c:pt>
              </c:numCache>
            </c:numRef>
          </c:val>
          <c:extLst>
            <c:ext xmlns:c16="http://schemas.microsoft.com/office/drawing/2014/chart" uri="{C3380CC4-5D6E-409C-BE32-E72D297353CC}">
              <c16:uniqueId val="{00000002-5F47-45B0-851F-B5F638E30AC2}"/>
            </c:ext>
          </c:extLst>
        </c:ser>
        <c:ser>
          <c:idx val="3"/>
          <c:order val="3"/>
          <c:tx>
            <c:strRef>
              <c:f>'results (2)'!$A$5</c:f>
              <c:strCache>
                <c:ptCount val="1"/>
                <c:pt idx="0">
                  <c:v>2-methoxyethanol</c:v>
                </c:pt>
              </c:strCache>
            </c:strRef>
          </c:tx>
          <c:spPr>
            <a:solidFill>
              <a:schemeClr val="accent2">
                <a:lumMod val="60000"/>
              </a:schemeClr>
            </a:solidFill>
            <a:ln>
              <a:noFill/>
            </a:ln>
            <a:effectLst/>
          </c:spPr>
          <c:invertIfNegative val="0"/>
          <c:cat>
            <c:strRef>
              <c:f>'results (2)'!$D$1:$X$1</c:f>
              <c:strCache>
                <c:ptCount val="5"/>
                <c:pt idx="3">
                  <c:v>Carbon footprint</c:v>
                </c:pt>
                <c:pt idx="4">
                  <c:v>Primary energy consumption</c:v>
                </c:pt>
              </c:strCache>
            </c:strRef>
          </c:cat>
          <c:val>
            <c:numRef>
              <c:f>'results (2)'!$D$5:$X$5</c:f>
              <c:numCache>
                <c:formatCode>General</c:formatCode>
                <c:ptCount val="21"/>
                <c:pt idx="3">
                  <c:v>5.7271391279999984E-4</c:v>
                </c:pt>
                <c:pt idx="4">
                  <c:v>1.6125322627587774E-2</c:v>
                </c:pt>
              </c:numCache>
            </c:numRef>
          </c:val>
          <c:extLst>
            <c:ext xmlns:c16="http://schemas.microsoft.com/office/drawing/2014/chart" uri="{C3380CC4-5D6E-409C-BE32-E72D297353CC}">
              <c16:uniqueId val="{00000003-5F47-45B0-851F-B5F638E30AC2}"/>
            </c:ext>
          </c:extLst>
        </c:ser>
        <c:ser>
          <c:idx val="4"/>
          <c:order val="4"/>
          <c:tx>
            <c:strRef>
              <c:f>'results (2)'!$A$6</c:f>
              <c:strCache>
                <c:ptCount val="1"/>
                <c:pt idx="0">
                  <c:v>PbI₂</c:v>
                </c:pt>
              </c:strCache>
            </c:strRef>
          </c:tx>
          <c:spPr>
            <a:solidFill>
              <a:schemeClr val="accent4">
                <a:lumMod val="60000"/>
              </a:schemeClr>
            </a:solidFill>
            <a:ln>
              <a:noFill/>
            </a:ln>
            <a:effectLst/>
          </c:spPr>
          <c:invertIfNegative val="0"/>
          <c:cat>
            <c:strRef>
              <c:f>'results (2)'!$D$1:$X$1</c:f>
              <c:strCache>
                <c:ptCount val="5"/>
                <c:pt idx="3">
                  <c:v>Carbon footprint</c:v>
                </c:pt>
                <c:pt idx="4">
                  <c:v>Primary energy consumption</c:v>
                </c:pt>
              </c:strCache>
            </c:strRef>
          </c:cat>
          <c:val>
            <c:numRef>
              <c:f>'results (2)'!$D$6:$X$6</c:f>
              <c:numCache>
                <c:formatCode>General</c:formatCode>
                <c:ptCount val="21"/>
                <c:pt idx="3">
                  <c:v>3.5016340047384839E-3</c:v>
                </c:pt>
                <c:pt idx="4">
                  <c:v>4.1638537323627607E-2</c:v>
                </c:pt>
              </c:numCache>
            </c:numRef>
          </c:val>
          <c:extLst>
            <c:ext xmlns:c16="http://schemas.microsoft.com/office/drawing/2014/chart" uri="{C3380CC4-5D6E-409C-BE32-E72D297353CC}">
              <c16:uniqueId val="{00000004-5F47-45B0-851F-B5F638E30AC2}"/>
            </c:ext>
          </c:extLst>
        </c:ser>
        <c:ser>
          <c:idx val="5"/>
          <c:order val="5"/>
          <c:tx>
            <c:strRef>
              <c:f>'results (2)'!$A$7</c:f>
              <c:strCache>
                <c:ptCount val="1"/>
                <c:pt idx="0">
                  <c:v>PbBr₂</c:v>
                </c:pt>
              </c:strCache>
            </c:strRef>
          </c:tx>
          <c:spPr>
            <a:solidFill>
              <a:schemeClr val="accent6">
                <a:lumMod val="60000"/>
              </a:schemeClr>
            </a:solidFill>
            <a:ln>
              <a:noFill/>
            </a:ln>
            <a:effectLst/>
          </c:spPr>
          <c:invertIfNegative val="0"/>
          <c:cat>
            <c:strRef>
              <c:f>'results (2)'!$D$1:$X$1</c:f>
              <c:strCache>
                <c:ptCount val="5"/>
                <c:pt idx="3">
                  <c:v>Carbon footprint</c:v>
                </c:pt>
                <c:pt idx="4">
                  <c:v>Primary energy consumption</c:v>
                </c:pt>
              </c:strCache>
            </c:strRef>
          </c:cat>
          <c:val>
            <c:numRef>
              <c:f>'results (2)'!$D$7:$X$7</c:f>
              <c:numCache>
                <c:formatCode>General</c:formatCode>
                <c:ptCount val="21"/>
                <c:pt idx="3">
                  <c:v>6.0294176243999574E-5</c:v>
                </c:pt>
                <c:pt idx="4">
                  <c:v>7.9057775962192297E-4</c:v>
                </c:pt>
              </c:numCache>
            </c:numRef>
          </c:val>
          <c:extLst>
            <c:ext xmlns:c16="http://schemas.microsoft.com/office/drawing/2014/chart" uri="{C3380CC4-5D6E-409C-BE32-E72D297353CC}">
              <c16:uniqueId val="{00000005-5F47-45B0-851F-B5F638E30AC2}"/>
            </c:ext>
          </c:extLst>
        </c:ser>
        <c:ser>
          <c:idx val="6"/>
          <c:order val="6"/>
          <c:tx>
            <c:strRef>
              <c:f>'results (2)'!$A$8</c:f>
              <c:strCache>
                <c:ptCount val="1"/>
                <c:pt idx="0">
                  <c:v>FAI</c:v>
                </c:pt>
              </c:strCache>
            </c:strRef>
          </c:tx>
          <c:spPr>
            <a:solidFill>
              <a:schemeClr val="accent2">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(2)'!$D$8:$X$8</c:f>
              <c:numCache>
                <c:formatCode>General</c:formatCode>
                <c:ptCount val="21"/>
                <c:pt idx="3">
                  <c:v>2.0114480946874777E-2</c:v>
                </c:pt>
                <c:pt idx="4">
                  <c:v>0.35631319119228022</c:v>
                </c:pt>
              </c:numCache>
            </c:numRef>
          </c:val>
          <c:extLst>
            <c:ext xmlns:c16="http://schemas.microsoft.com/office/drawing/2014/chart" uri="{C3380CC4-5D6E-409C-BE32-E72D297353CC}">
              <c16:uniqueId val="{00000006-5F47-45B0-851F-B5F638E30AC2}"/>
            </c:ext>
          </c:extLst>
        </c:ser>
        <c:ser>
          <c:idx val="7"/>
          <c:order val="7"/>
          <c:tx>
            <c:strRef>
              <c:f>'results (2)'!$A$9</c:f>
              <c:strCache>
                <c:ptCount val="1"/>
                <c:pt idx="0">
                  <c:v>MABr</c:v>
                </c:pt>
              </c:strCache>
            </c:strRef>
          </c:tx>
          <c:spPr>
            <a:solidFill>
              <a:schemeClr val="accent4">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(2)'!$D$9:$X$9</c:f>
              <c:numCache>
                <c:formatCode>General</c:formatCode>
                <c:ptCount val="21"/>
                <c:pt idx="3">
                  <c:v>0.1114344024570799</c:v>
                </c:pt>
                <c:pt idx="4">
                  <c:v>1.9630136677403471</c:v>
                </c:pt>
              </c:numCache>
            </c:numRef>
          </c:val>
          <c:extLst>
            <c:ext xmlns:c16="http://schemas.microsoft.com/office/drawing/2014/chart" uri="{C3380CC4-5D6E-409C-BE32-E72D297353CC}">
              <c16:uniqueId val="{00000007-5F47-45B0-851F-B5F638E30AC2}"/>
            </c:ext>
          </c:extLst>
        </c:ser>
        <c:ser>
          <c:idx val="8"/>
          <c:order val="8"/>
          <c:tx>
            <c:strRef>
              <c:f>'results (2)'!$A$10</c:f>
              <c:strCache>
                <c:ptCount val="1"/>
                <c:pt idx="0">
                  <c:v>DMF</c:v>
                </c:pt>
              </c:strCache>
            </c:strRef>
          </c:tx>
          <c:spPr>
            <a:solidFill>
              <a:schemeClr val="accent6">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(2)'!$D$10:$X$10</c:f>
              <c:numCache>
                <c:formatCode>General</c:formatCode>
                <c:ptCount val="21"/>
                <c:pt idx="3">
                  <c:v>2.7778789137676346E-3</c:v>
                </c:pt>
                <c:pt idx="4">
                  <c:v>7.5556306550594685E-2</c:v>
                </c:pt>
              </c:numCache>
            </c:numRef>
          </c:val>
          <c:extLst>
            <c:ext xmlns:c16="http://schemas.microsoft.com/office/drawing/2014/chart" uri="{C3380CC4-5D6E-409C-BE32-E72D297353CC}">
              <c16:uniqueId val="{00000008-5F47-45B0-851F-B5F638E30AC2}"/>
            </c:ext>
          </c:extLst>
        </c:ser>
        <c:ser>
          <c:idx val="9"/>
          <c:order val="9"/>
          <c:tx>
            <c:strRef>
              <c:f>'results (2)'!$A$11</c:f>
              <c:strCache>
                <c:ptCount val="1"/>
                <c:pt idx="0">
                  <c:v>DMSO</c:v>
                </c:pt>
              </c:strCache>
            </c:strRef>
          </c:tx>
          <c:spPr>
            <a:solidFill>
              <a:schemeClr val="accent2">
                <a:lumMod val="80000"/>
              </a:schemeClr>
            </a:solidFill>
            <a:ln>
              <a:noFill/>
            </a:ln>
            <a:effectLst/>
          </c:spPr>
          <c:invertIfNegative val="0"/>
          <c:cat>
            <c:strRef>
              <c:f>'results (2)'!$D$1:$X$1</c:f>
              <c:strCache>
                <c:ptCount val="5"/>
                <c:pt idx="3">
                  <c:v>Carbon footprint</c:v>
                </c:pt>
                <c:pt idx="4">
                  <c:v>Primary energy consumption</c:v>
                </c:pt>
              </c:strCache>
            </c:strRef>
          </c:cat>
          <c:val>
            <c:numRef>
              <c:f>'results (2)'!$D$11:$X$11</c:f>
              <c:numCache>
                <c:formatCode>General</c:formatCode>
                <c:ptCount val="21"/>
                <c:pt idx="3">
                  <c:v>3.5756612254426892E-4</c:v>
                </c:pt>
                <c:pt idx="4">
                  <c:v>1.6499999309507574E-2</c:v>
                </c:pt>
              </c:numCache>
            </c:numRef>
          </c:val>
          <c:extLst>
            <c:ext xmlns:c16="http://schemas.microsoft.com/office/drawing/2014/chart" uri="{C3380CC4-5D6E-409C-BE32-E72D297353CC}">
              <c16:uniqueId val="{00000009-5F47-45B0-851F-B5F638E30AC2}"/>
            </c:ext>
          </c:extLst>
        </c:ser>
        <c:ser>
          <c:idx val="10"/>
          <c:order val="10"/>
          <c:tx>
            <c:strRef>
              <c:f>'results (2)'!$A$12</c:f>
              <c:strCache>
                <c:ptCount val="1"/>
                <c:pt idx="0">
                  <c:v>Isopropanol</c:v>
                </c:pt>
              </c:strCache>
            </c:strRef>
          </c:tx>
          <c:spPr>
            <a:solidFill>
              <a:schemeClr val="accent4">
                <a:lumMod val="80000"/>
              </a:schemeClr>
            </a:solidFill>
            <a:ln>
              <a:noFill/>
            </a:ln>
            <a:effectLst/>
          </c:spPr>
          <c:invertIfNegative val="0"/>
          <c:cat>
            <c:strRef>
              <c:f>'results (2)'!$D$1:$X$1</c:f>
              <c:strCache>
                <c:ptCount val="5"/>
                <c:pt idx="3">
                  <c:v>Carbon footprint</c:v>
                </c:pt>
                <c:pt idx="4">
                  <c:v>Primary energy consumption</c:v>
                </c:pt>
              </c:strCache>
            </c:strRef>
          </c:cat>
          <c:val>
            <c:numRef>
              <c:f>'results (2)'!$D$12:$X$12</c:f>
              <c:numCache>
                <c:formatCode>General</c:formatCode>
                <c:ptCount val="21"/>
                <c:pt idx="3">
                  <c:v>9.8536232918946171E-2</c:v>
                </c:pt>
                <c:pt idx="4">
                  <c:v>3.2570821583550118</c:v>
                </c:pt>
              </c:numCache>
            </c:numRef>
          </c:val>
          <c:extLst>
            <c:ext xmlns:c16="http://schemas.microsoft.com/office/drawing/2014/chart" uri="{C3380CC4-5D6E-409C-BE32-E72D297353CC}">
              <c16:uniqueId val="{0000000A-5F47-45B0-851F-B5F638E30AC2}"/>
            </c:ext>
          </c:extLst>
        </c:ser>
        <c:ser>
          <c:idx val="11"/>
          <c:order val="11"/>
          <c:tx>
            <c:strRef>
              <c:f>'results (2)'!$A$13</c:f>
              <c:strCache>
                <c:ptCount val="1"/>
                <c:pt idx="0">
                  <c:v>PTAA solution</c:v>
                </c:pt>
              </c:strCache>
            </c:strRef>
          </c:tx>
          <c:spPr>
            <a:solidFill>
              <a:schemeClr val="accent6">
                <a:lumMod val="80000"/>
              </a:schemeClr>
            </a:solidFill>
            <a:ln>
              <a:noFill/>
            </a:ln>
            <a:effectLst/>
          </c:spPr>
          <c:invertIfNegative val="0"/>
          <c:cat>
            <c:strRef>
              <c:f>'results (2)'!$D$1:$X$1</c:f>
              <c:strCache>
                <c:ptCount val="5"/>
                <c:pt idx="3">
                  <c:v>Carbon footprint</c:v>
                </c:pt>
                <c:pt idx="4">
                  <c:v>Primary energy consumption</c:v>
                </c:pt>
              </c:strCache>
            </c:strRef>
          </c:cat>
          <c:val>
            <c:numRef>
              <c:f>'results (2)'!$D$13:$X$13</c:f>
              <c:numCache>
                <c:formatCode>General</c:formatCode>
                <c:ptCount val="21"/>
                <c:pt idx="3">
                  <c:v>4.2266595161539466E-2</c:v>
                </c:pt>
                <c:pt idx="4">
                  <c:v>0.78923824670233655</c:v>
                </c:pt>
              </c:numCache>
            </c:numRef>
          </c:val>
          <c:extLst>
            <c:ext xmlns:c16="http://schemas.microsoft.com/office/drawing/2014/chart" uri="{C3380CC4-5D6E-409C-BE32-E72D297353CC}">
              <c16:uniqueId val="{0000000B-5F47-45B0-851F-B5F638E30AC2}"/>
            </c:ext>
          </c:extLst>
        </c:ser>
        <c:ser>
          <c:idx val="12"/>
          <c:order val="12"/>
          <c:tx>
            <c:strRef>
              <c:f>'results (2)'!$A$14</c:f>
              <c:strCache>
                <c:ptCount val="1"/>
                <c:pt idx="0">
                  <c:v>Cu</c:v>
                </c:pt>
              </c:strCache>
            </c:strRef>
          </c:tx>
          <c:spPr>
            <a:solidFill>
              <a:schemeClr val="accent2">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(2)'!$D$14:$X$14</c:f>
              <c:numCache>
                <c:formatCode>General</c:formatCode>
                <c:ptCount val="21"/>
                <c:pt idx="3">
                  <c:v>3.7954882559999999E-3</c:v>
                </c:pt>
                <c:pt idx="4">
                  <c:v>5.4579072598579199E-2</c:v>
                </c:pt>
              </c:numCache>
            </c:numRef>
          </c:val>
          <c:extLst>
            <c:ext xmlns:c16="http://schemas.microsoft.com/office/drawing/2014/chart" uri="{C3380CC4-5D6E-409C-BE32-E72D297353CC}">
              <c16:uniqueId val="{0000000C-5F47-45B0-851F-B5F638E30AC2}"/>
            </c:ext>
          </c:extLst>
        </c:ser>
        <c:ser>
          <c:idx val="13"/>
          <c:order val="13"/>
          <c:tx>
            <c:strRef>
              <c:f>'results (2)'!$A$15</c:f>
              <c:strCache>
                <c:ptCount val="1"/>
                <c:pt idx="0">
                  <c:v>Ar</c:v>
                </c:pt>
              </c:strCache>
            </c:strRef>
          </c:tx>
          <c:spPr>
            <a:solidFill>
              <a:schemeClr val="accent4">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(2)'!$D$15:$X$15</c:f>
              <c:numCache>
                <c:formatCode>General</c:formatCode>
                <c:ptCount val="21"/>
                <c:pt idx="3">
                  <c:v>0.29058656969696967</c:v>
                </c:pt>
                <c:pt idx="4">
                  <c:v>4.3659558183030303</c:v>
                </c:pt>
              </c:numCache>
            </c:numRef>
          </c:val>
          <c:extLst>
            <c:ext xmlns:c16="http://schemas.microsoft.com/office/drawing/2014/chart" uri="{C3380CC4-5D6E-409C-BE32-E72D297353CC}">
              <c16:uniqueId val="{0000000D-5F47-45B0-851F-B5F638E30AC2}"/>
            </c:ext>
          </c:extLst>
        </c:ser>
        <c:ser>
          <c:idx val="14"/>
          <c:order val="14"/>
          <c:tx>
            <c:strRef>
              <c:f>'results (2)'!$A$16</c:f>
              <c:strCache>
                <c:ptCount val="1"/>
                <c:pt idx="0">
                  <c:v>O₂</c:v>
                </c:pt>
              </c:strCache>
            </c:strRef>
          </c:tx>
          <c:spPr>
            <a:solidFill>
              <a:schemeClr val="accent6">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(2)'!$D$16:$X$16</c:f>
              <c:numCache>
                <c:formatCode>General</c:formatCode>
                <c:ptCount val="21"/>
                <c:pt idx="3">
                  <c:v>1.2806957575757575E-4</c:v>
                </c:pt>
                <c:pt idx="4">
                  <c:v>1.7448388645818179E-3</c:v>
                </c:pt>
              </c:numCache>
            </c:numRef>
          </c:val>
          <c:extLst>
            <c:ext xmlns:c16="http://schemas.microsoft.com/office/drawing/2014/chart" uri="{C3380CC4-5D6E-409C-BE32-E72D297353CC}">
              <c16:uniqueId val="{0000000E-5F47-45B0-851F-B5F638E30AC2}"/>
            </c:ext>
          </c:extLst>
        </c:ser>
        <c:ser>
          <c:idx val="15"/>
          <c:order val="15"/>
          <c:tx>
            <c:strRef>
              <c:f>'results (2)'!$A$17</c:f>
              <c:strCache>
                <c:ptCount val="1"/>
                <c:pt idx="0">
                  <c:v>Adhesive</c:v>
                </c:pt>
              </c:strCache>
            </c:strRef>
          </c:tx>
          <c:spPr>
            <a:solidFill>
              <a:schemeClr val="accent2">
                <a:lumMod val="50000"/>
              </a:schemeClr>
            </a:solidFill>
            <a:ln>
              <a:noFill/>
            </a:ln>
            <a:effectLst/>
          </c:spPr>
          <c:invertIfNegative val="0"/>
          <c:cat>
            <c:strRef>
              <c:f>'results (2)'!$D$1:$X$1</c:f>
              <c:strCache>
                <c:ptCount val="5"/>
                <c:pt idx="3">
                  <c:v>Carbon footprint</c:v>
                </c:pt>
                <c:pt idx="4">
                  <c:v>Primary energy consumption</c:v>
                </c:pt>
              </c:strCache>
            </c:strRef>
          </c:cat>
          <c:val>
            <c:numRef>
              <c:f>'results (2)'!$D$17:$X$17</c:f>
              <c:numCache>
                <c:formatCode>General</c:formatCode>
                <c:ptCount val="21"/>
                <c:pt idx="3">
                  <c:v>5.8513339999999997E-2</c:v>
                </c:pt>
                <c:pt idx="4">
                  <c:v>1.121768096012</c:v>
                </c:pt>
              </c:numCache>
            </c:numRef>
          </c:val>
          <c:extLst>
            <c:ext xmlns:c16="http://schemas.microsoft.com/office/drawing/2014/chart" uri="{C3380CC4-5D6E-409C-BE32-E72D297353CC}">
              <c16:uniqueId val="{0000000F-5F47-45B0-851F-B5F638E30AC2}"/>
            </c:ext>
          </c:extLst>
        </c:ser>
        <c:ser>
          <c:idx val="16"/>
          <c:order val="16"/>
          <c:tx>
            <c:strRef>
              <c:f>'results (2)'!$A$18</c:f>
              <c:strCache>
                <c:ptCount val="1"/>
                <c:pt idx="0">
                  <c:v>PET</c:v>
                </c:pt>
              </c:strCache>
            </c:strRef>
          </c:tx>
          <c:spPr>
            <a:solidFill>
              <a:schemeClr val="accent4">
                <a:lumMod val="50000"/>
              </a:schemeClr>
            </a:solidFill>
            <a:ln>
              <a:noFill/>
            </a:ln>
            <a:effectLst/>
          </c:spPr>
          <c:invertIfNegative val="0"/>
          <c:cat>
            <c:strRef>
              <c:f>'results (2)'!$D$1:$X$1</c:f>
              <c:strCache>
                <c:ptCount val="5"/>
                <c:pt idx="3">
                  <c:v>Carbon footprint</c:v>
                </c:pt>
                <c:pt idx="4">
                  <c:v>Primary energy consumption</c:v>
                </c:pt>
              </c:strCache>
            </c:strRef>
          </c:cat>
          <c:val>
            <c:numRef>
              <c:f>'results (2)'!$D$18:$X$18</c:f>
              <c:numCache>
                <c:formatCode>General</c:formatCode>
                <c:ptCount val="21"/>
                <c:pt idx="3">
                  <c:v>0.19433649</c:v>
                </c:pt>
                <c:pt idx="4">
                  <c:v>4.876431431436</c:v>
                </c:pt>
              </c:numCache>
            </c:numRef>
          </c:val>
          <c:extLst>
            <c:ext xmlns:c16="http://schemas.microsoft.com/office/drawing/2014/chart" uri="{C3380CC4-5D6E-409C-BE32-E72D297353CC}">
              <c16:uniqueId val="{00000010-5F47-45B0-851F-B5F638E30AC2}"/>
            </c:ext>
          </c:extLst>
        </c:ser>
        <c:ser>
          <c:idx val="17"/>
          <c:order val="17"/>
          <c:tx>
            <c:strRef>
              <c:f>'results (2)'!$A$19</c:f>
              <c:strCache>
                <c:ptCount val="1"/>
                <c:pt idx="0">
                  <c:v>Spray pyrolysis</c:v>
                </c:pt>
              </c:strCache>
            </c:strRef>
          </c:tx>
          <c:spPr>
            <a:solidFill>
              <a:schemeClr val="accent6">
                <a:lumMod val="50000"/>
              </a:schemeClr>
            </a:solidFill>
            <a:ln>
              <a:noFill/>
            </a:ln>
            <a:effectLst/>
          </c:spPr>
          <c:invertIfNegative val="0"/>
          <c:cat>
            <c:strRef>
              <c:f>'results (2)'!$D$1:$X$1</c:f>
              <c:strCache>
                <c:ptCount val="5"/>
                <c:pt idx="3">
                  <c:v>Carbon footprint</c:v>
                </c:pt>
                <c:pt idx="4">
                  <c:v>Primary energy consumption</c:v>
                </c:pt>
              </c:strCache>
            </c:strRef>
          </c:cat>
          <c:val>
            <c:numRef>
              <c:f>'results (2)'!$D$19:$X$19</c:f>
              <c:numCache>
                <c:formatCode>General</c:formatCode>
                <c:ptCount val="21"/>
                <c:pt idx="3">
                  <c:v>4.1750057176257169E-5</c:v>
                </c:pt>
                <c:pt idx="4">
                  <c:v>7.3462520841565228E-4</c:v>
                </c:pt>
              </c:numCache>
            </c:numRef>
          </c:val>
          <c:extLst>
            <c:ext xmlns:c16="http://schemas.microsoft.com/office/drawing/2014/chart" uri="{C3380CC4-5D6E-409C-BE32-E72D297353CC}">
              <c16:uniqueId val="{00000011-5F47-45B0-851F-B5F638E30AC2}"/>
            </c:ext>
          </c:extLst>
        </c:ser>
        <c:ser>
          <c:idx val="18"/>
          <c:order val="18"/>
          <c:tx>
            <c:strRef>
              <c:f>'results (2)'!$A$20</c:f>
              <c:strCache>
                <c:ptCount val="1"/>
                <c:pt idx="0">
                  <c:v>ETL slot-die coating</c:v>
                </c:pt>
              </c:strCache>
            </c:strRef>
          </c:tx>
          <c:spPr>
            <a:solidFill>
              <a:schemeClr val="accent2">
                <a:lumMod val="70000"/>
                <a:lumOff val="30000"/>
              </a:schemeClr>
            </a:solidFill>
            <a:ln>
              <a:noFill/>
            </a:ln>
            <a:effectLst/>
          </c:spPr>
          <c:invertIfNegative val="0"/>
          <c:cat>
            <c:strRef>
              <c:f>'results (2)'!$D$1:$X$1</c:f>
              <c:strCache>
                <c:ptCount val="5"/>
                <c:pt idx="3">
                  <c:v>Carbon footprint</c:v>
                </c:pt>
                <c:pt idx="4">
                  <c:v>Primary energy consumption</c:v>
                </c:pt>
              </c:strCache>
            </c:strRef>
          </c:cat>
          <c:val>
            <c:numRef>
              <c:f>'results (2)'!$D$20:$X$20</c:f>
              <c:numCache>
                <c:formatCode>General</c:formatCode>
                <c:ptCount val="21"/>
                <c:pt idx="3">
                  <c:v>1.4790000011831994E-3</c:v>
                </c:pt>
                <c:pt idx="4">
                  <c:v>2.6024172362902664E-2</c:v>
                </c:pt>
              </c:numCache>
            </c:numRef>
          </c:val>
          <c:extLst>
            <c:ext xmlns:c16="http://schemas.microsoft.com/office/drawing/2014/chart" uri="{C3380CC4-5D6E-409C-BE32-E72D297353CC}">
              <c16:uniqueId val="{00000012-5F47-45B0-851F-B5F638E30AC2}"/>
            </c:ext>
          </c:extLst>
        </c:ser>
        <c:ser>
          <c:idx val="19"/>
          <c:order val="19"/>
          <c:tx>
            <c:strRef>
              <c:f>'results (2)'!$A$21</c:f>
              <c:strCache>
                <c:ptCount val="1"/>
                <c:pt idx="0">
                  <c:v>ETL calcining</c:v>
                </c:pt>
              </c:strCache>
            </c:strRef>
          </c:tx>
          <c:spPr>
            <a:solidFill>
              <a:schemeClr val="accent4">
                <a:lumMod val="70000"/>
                <a:lumOff val="30000"/>
              </a:schemeClr>
            </a:solidFill>
            <a:ln>
              <a:noFill/>
            </a:ln>
            <a:effectLst/>
          </c:spPr>
          <c:invertIfNegative val="0"/>
          <c:cat>
            <c:strRef>
              <c:f>'results (2)'!$D$1:$X$1</c:f>
              <c:strCache>
                <c:ptCount val="5"/>
                <c:pt idx="3">
                  <c:v>Carbon footprint</c:v>
                </c:pt>
                <c:pt idx="4">
                  <c:v>Primary energy consumption</c:v>
                </c:pt>
              </c:strCache>
            </c:strRef>
          </c:cat>
          <c:val>
            <c:numRef>
              <c:f>'results (2)'!$D$21:$X$21</c:f>
              <c:numCache>
                <c:formatCode>General</c:formatCode>
                <c:ptCount val="21"/>
                <c:pt idx="3">
                  <c:v>3.0425142881482956</c:v>
                </c:pt>
                <c:pt idx="4">
                  <c:v>53.535440289399759</c:v>
                </c:pt>
              </c:numCache>
            </c:numRef>
          </c:val>
          <c:extLst>
            <c:ext xmlns:c16="http://schemas.microsoft.com/office/drawing/2014/chart" uri="{C3380CC4-5D6E-409C-BE32-E72D297353CC}">
              <c16:uniqueId val="{00000013-5F47-45B0-851F-B5F638E30AC2}"/>
            </c:ext>
          </c:extLst>
        </c:ser>
        <c:ser>
          <c:idx val="20"/>
          <c:order val="20"/>
          <c:tx>
            <c:strRef>
              <c:f>'results (2)'!$A$22</c:f>
              <c:strCache>
                <c:ptCount val="1"/>
                <c:pt idx="0">
                  <c:v>PL 1st-step slot-die coating</c:v>
                </c:pt>
              </c:strCache>
            </c:strRef>
          </c:tx>
          <c:spPr>
            <a:solidFill>
              <a:schemeClr val="accent6">
                <a:lumMod val="70000"/>
                <a:lumOff val="30000"/>
              </a:schemeClr>
            </a:solidFill>
            <a:ln>
              <a:noFill/>
            </a:ln>
            <a:effectLst/>
          </c:spPr>
          <c:invertIfNegative val="0"/>
          <c:cat>
            <c:strRef>
              <c:f>'results (2)'!$D$1:$X$1</c:f>
              <c:strCache>
                <c:ptCount val="5"/>
                <c:pt idx="3">
                  <c:v>Carbon footprint</c:v>
                </c:pt>
                <c:pt idx="4">
                  <c:v>Primary energy consumption</c:v>
                </c:pt>
              </c:strCache>
            </c:strRef>
          </c:cat>
          <c:val>
            <c:numRef>
              <c:f>'results (2)'!$D$22:$X$22</c:f>
              <c:numCache>
                <c:formatCode>General</c:formatCode>
                <c:ptCount val="21"/>
                <c:pt idx="3">
                  <c:v>2.1128571445474281E-2</c:v>
                </c:pt>
                <c:pt idx="4">
                  <c:v>0.37177389089860957</c:v>
                </c:pt>
              </c:numCache>
            </c:numRef>
          </c:val>
          <c:extLst>
            <c:ext xmlns:c16="http://schemas.microsoft.com/office/drawing/2014/chart" uri="{C3380CC4-5D6E-409C-BE32-E72D297353CC}">
              <c16:uniqueId val="{00000014-5F47-45B0-851F-B5F638E30AC2}"/>
            </c:ext>
          </c:extLst>
        </c:ser>
        <c:ser>
          <c:idx val="21"/>
          <c:order val="21"/>
          <c:tx>
            <c:strRef>
              <c:f>'results (2)'!$A$23</c:f>
              <c:strCache>
                <c:ptCount val="1"/>
                <c:pt idx="0">
                  <c:v>PL 2nd-step slot-die coating</c:v>
                </c:pt>
              </c:strCache>
            </c:strRef>
          </c:tx>
          <c:spPr>
            <a:solidFill>
              <a:schemeClr val="accent2">
                <a:lumMod val="70000"/>
              </a:schemeClr>
            </a:solidFill>
            <a:ln>
              <a:noFill/>
            </a:ln>
            <a:effectLst/>
          </c:spPr>
          <c:invertIfNegative val="0"/>
          <c:cat>
            <c:strRef>
              <c:f>'results (2)'!$D$1:$X$1</c:f>
              <c:strCache>
                <c:ptCount val="5"/>
                <c:pt idx="3">
                  <c:v>Carbon footprint</c:v>
                </c:pt>
                <c:pt idx="4">
                  <c:v>Primary energy consumption</c:v>
                </c:pt>
              </c:strCache>
            </c:strRef>
          </c:cat>
          <c:val>
            <c:numRef>
              <c:f>'results (2)'!$D$23:$X$23</c:f>
              <c:numCache>
                <c:formatCode>General</c:formatCode>
                <c:ptCount val="21"/>
                <c:pt idx="3">
                  <c:v>2.1128571445474281E-2</c:v>
                </c:pt>
                <c:pt idx="4">
                  <c:v>0.37177389089860957</c:v>
                </c:pt>
              </c:numCache>
            </c:numRef>
          </c:val>
          <c:extLst>
            <c:ext xmlns:c16="http://schemas.microsoft.com/office/drawing/2014/chart" uri="{C3380CC4-5D6E-409C-BE32-E72D297353CC}">
              <c16:uniqueId val="{00000015-5F47-45B0-851F-B5F638E30AC2}"/>
            </c:ext>
          </c:extLst>
        </c:ser>
        <c:ser>
          <c:idx val="22"/>
          <c:order val="22"/>
          <c:tx>
            <c:strRef>
              <c:f>'results (2)'!$A$24</c:f>
              <c:strCache>
                <c:ptCount val="1"/>
                <c:pt idx="0">
                  <c:v>PL 1st-step drying</c:v>
                </c:pt>
              </c:strCache>
            </c:strRef>
          </c:tx>
          <c:spPr>
            <a:solidFill>
              <a:schemeClr val="accent4">
                <a:lumMod val="70000"/>
              </a:schemeClr>
            </a:solidFill>
            <a:ln>
              <a:noFill/>
            </a:ln>
            <a:effectLst/>
          </c:spPr>
          <c:invertIfNegative val="0"/>
          <c:cat>
            <c:strRef>
              <c:f>'results (2)'!$D$1:$X$1</c:f>
              <c:strCache>
                <c:ptCount val="5"/>
                <c:pt idx="3">
                  <c:v>Carbon footprint</c:v>
                </c:pt>
                <c:pt idx="4">
                  <c:v>Primary energy consumption</c:v>
                </c:pt>
              </c:strCache>
            </c:strRef>
          </c:cat>
          <c:val>
            <c:numRef>
              <c:f>'results (2)'!$D$24:$X$24</c:f>
              <c:numCache>
                <c:formatCode>General</c:formatCode>
                <c:ptCount val="21"/>
                <c:pt idx="3">
                  <c:v>3.0425142881482961</c:v>
                </c:pt>
                <c:pt idx="4">
                  <c:v>53.535440289399773</c:v>
                </c:pt>
              </c:numCache>
            </c:numRef>
          </c:val>
          <c:extLst>
            <c:ext xmlns:c16="http://schemas.microsoft.com/office/drawing/2014/chart" uri="{C3380CC4-5D6E-409C-BE32-E72D297353CC}">
              <c16:uniqueId val="{00000016-5F47-45B0-851F-B5F638E30AC2}"/>
            </c:ext>
          </c:extLst>
        </c:ser>
        <c:ser>
          <c:idx val="23"/>
          <c:order val="23"/>
          <c:tx>
            <c:strRef>
              <c:f>'results (2)'!$A$25</c:f>
              <c:strCache>
                <c:ptCount val="1"/>
                <c:pt idx="0">
                  <c:v>PL 2nd-step drying</c:v>
                </c:pt>
              </c:strCache>
            </c:strRef>
          </c:tx>
          <c:spPr>
            <a:solidFill>
              <a:schemeClr val="accent6">
                <a:lumMod val="70000"/>
              </a:schemeClr>
            </a:solidFill>
            <a:ln>
              <a:noFill/>
            </a:ln>
            <a:effectLst/>
          </c:spPr>
          <c:invertIfNegative val="0"/>
          <c:cat>
            <c:strRef>
              <c:f>'results (2)'!$D$1:$X$1</c:f>
              <c:strCache>
                <c:ptCount val="5"/>
                <c:pt idx="3">
                  <c:v>Carbon footprint</c:v>
                </c:pt>
                <c:pt idx="4">
                  <c:v>Primary energy consumption</c:v>
                </c:pt>
              </c:strCache>
            </c:strRef>
          </c:cat>
          <c:val>
            <c:numRef>
              <c:f>'results (2)'!$D$25:$X$25</c:f>
              <c:numCache>
                <c:formatCode>General</c:formatCode>
                <c:ptCount val="21"/>
                <c:pt idx="3">
                  <c:v>4.5637714322224454</c:v>
                </c:pt>
                <c:pt idx="4">
                  <c:v>80.303160434099667</c:v>
                </c:pt>
              </c:numCache>
            </c:numRef>
          </c:val>
          <c:extLst>
            <c:ext xmlns:c16="http://schemas.microsoft.com/office/drawing/2014/chart" uri="{C3380CC4-5D6E-409C-BE32-E72D297353CC}">
              <c16:uniqueId val="{00000017-5F47-45B0-851F-B5F638E30AC2}"/>
            </c:ext>
          </c:extLst>
        </c:ser>
        <c:ser>
          <c:idx val="24"/>
          <c:order val="24"/>
          <c:tx>
            <c:strRef>
              <c:f>'results (2)'!$A$26</c:f>
              <c:strCache>
                <c:ptCount val="1"/>
                <c:pt idx="0">
                  <c:v>PL annealing</c:v>
                </c:pt>
              </c:strCache>
            </c:strRef>
          </c:tx>
          <c:spPr>
            <a:solidFill>
              <a:schemeClr val="accent2">
                <a:lumMod val="50000"/>
                <a:lumOff val="50000"/>
              </a:schemeClr>
            </a:solidFill>
            <a:ln>
              <a:noFill/>
            </a:ln>
            <a:effectLst/>
          </c:spPr>
          <c:invertIfNegative val="0"/>
          <c:cat>
            <c:strRef>
              <c:f>'results (2)'!$D$1:$X$1</c:f>
              <c:strCache>
                <c:ptCount val="5"/>
                <c:pt idx="3">
                  <c:v>Carbon footprint</c:v>
                </c:pt>
                <c:pt idx="4">
                  <c:v>Primary energy consumption</c:v>
                </c:pt>
              </c:strCache>
            </c:strRef>
          </c:cat>
          <c:val>
            <c:numRef>
              <c:f>'results (2)'!$D$26:$X$26</c:f>
              <c:numCache>
                <c:formatCode>General</c:formatCode>
                <c:ptCount val="21"/>
                <c:pt idx="3">
                  <c:v>3.0425142881482961</c:v>
                </c:pt>
                <c:pt idx="4">
                  <c:v>53.535440289399773</c:v>
                </c:pt>
              </c:numCache>
            </c:numRef>
          </c:val>
          <c:extLst>
            <c:ext xmlns:c16="http://schemas.microsoft.com/office/drawing/2014/chart" uri="{C3380CC4-5D6E-409C-BE32-E72D297353CC}">
              <c16:uniqueId val="{00000018-5F47-45B0-851F-B5F638E30AC2}"/>
            </c:ext>
          </c:extLst>
        </c:ser>
        <c:ser>
          <c:idx val="25"/>
          <c:order val="25"/>
          <c:tx>
            <c:strRef>
              <c:f>'results (2)'!$A$27</c:f>
              <c:strCache>
                <c:ptCount val="1"/>
                <c:pt idx="0">
                  <c:v>HTL slot-die coating</c:v>
                </c:pt>
              </c:strCache>
            </c:strRef>
          </c:tx>
          <c:spPr>
            <a:solidFill>
              <a:schemeClr val="accent4">
                <a:lumMod val="50000"/>
                <a:lumOff val="50000"/>
              </a:schemeClr>
            </a:solidFill>
            <a:ln>
              <a:noFill/>
            </a:ln>
            <a:effectLst/>
          </c:spPr>
          <c:invertIfNegative val="0"/>
          <c:cat>
            <c:strRef>
              <c:f>'results (2)'!$D$1:$X$1</c:f>
              <c:strCache>
                <c:ptCount val="5"/>
                <c:pt idx="3">
                  <c:v>Carbon footprint</c:v>
                </c:pt>
                <c:pt idx="4">
                  <c:v>Primary energy consumption</c:v>
                </c:pt>
              </c:strCache>
            </c:strRef>
          </c:cat>
          <c:val>
            <c:numRef>
              <c:f>'results (2)'!$D$27:$X$27</c:f>
              <c:numCache>
                <c:formatCode>General</c:formatCode>
                <c:ptCount val="21"/>
                <c:pt idx="3">
                  <c:v>9.8600000078879993E-2</c:v>
                </c:pt>
                <c:pt idx="4">
                  <c:v>1.7349448241935115</c:v>
                </c:pt>
              </c:numCache>
            </c:numRef>
          </c:val>
          <c:extLst>
            <c:ext xmlns:c16="http://schemas.microsoft.com/office/drawing/2014/chart" uri="{C3380CC4-5D6E-409C-BE32-E72D297353CC}">
              <c16:uniqueId val="{00000019-5F47-45B0-851F-B5F638E30AC2}"/>
            </c:ext>
          </c:extLst>
        </c:ser>
        <c:ser>
          <c:idx val="26"/>
          <c:order val="26"/>
          <c:tx>
            <c:strRef>
              <c:f>'results (2)'!$A$28</c:f>
              <c:strCache>
                <c:ptCount val="1"/>
                <c:pt idx="0">
                  <c:v>Electrode sputtering</c:v>
                </c:pt>
              </c:strCache>
            </c:strRef>
          </c:tx>
          <c:spPr>
            <a:solidFill>
              <a:schemeClr val="accent6">
                <a:lumMod val="50000"/>
                <a:lumOff val="50000"/>
              </a:schemeClr>
            </a:solidFill>
            <a:ln>
              <a:noFill/>
            </a:ln>
            <a:effectLst/>
          </c:spPr>
          <c:invertIfNegative val="0"/>
          <c:cat>
            <c:strRef>
              <c:f>'results (2)'!$D$1:$X$1</c:f>
              <c:strCache>
                <c:ptCount val="5"/>
                <c:pt idx="3">
                  <c:v>Carbon footprint</c:v>
                </c:pt>
                <c:pt idx="4">
                  <c:v>Primary energy consumption</c:v>
                </c:pt>
              </c:strCache>
            </c:strRef>
          </c:cat>
          <c:val>
            <c:numRef>
              <c:f>'results (2)'!$D$28:$X$28</c:f>
              <c:numCache>
                <c:formatCode>General</c:formatCode>
                <c:ptCount val="21"/>
                <c:pt idx="3">
                  <c:v>5.5216000044172793</c:v>
                </c:pt>
                <c:pt idx="4">
                  <c:v>97.156910154836652</c:v>
                </c:pt>
              </c:numCache>
            </c:numRef>
          </c:val>
          <c:extLst>
            <c:ext xmlns:c16="http://schemas.microsoft.com/office/drawing/2014/chart" uri="{C3380CC4-5D6E-409C-BE32-E72D297353CC}">
              <c16:uniqueId val="{0000001A-5F47-45B0-851F-B5F638E30AC2}"/>
            </c:ext>
          </c:extLst>
        </c:ser>
        <c:ser>
          <c:idx val="27"/>
          <c:order val="27"/>
          <c:tx>
            <c:strRef>
              <c:f>'results (2)'!$A$29</c:f>
              <c:strCache>
                <c:ptCount val="1"/>
                <c:pt idx="0">
                  <c:v>Lamination</c:v>
                </c:pt>
              </c:strCache>
            </c:strRef>
          </c:tx>
          <c:spPr>
            <a:solidFill>
              <a:schemeClr val="accent2"/>
            </a:solidFill>
            <a:ln>
              <a:noFill/>
            </a:ln>
            <a:effectLst/>
          </c:spPr>
          <c:invertIfNegative val="0"/>
          <c:cat>
            <c:strRef>
              <c:f>'results (2)'!$D$1:$X$1</c:f>
              <c:strCache>
                <c:ptCount val="5"/>
                <c:pt idx="3">
                  <c:v>Carbon footprint</c:v>
                </c:pt>
                <c:pt idx="4">
                  <c:v>Primary energy consumption</c:v>
                </c:pt>
              </c:strCache>
            </c:strRef>
          </c:cat>
          <c:val>
            <c:numRef>
              <c:f>'results (2)'!$D$29:$X$29</c:f>
              <c:numCache>
                <c:formatCode>General</c:formatCode>
                <c:ptCount val="21"/>
                <c:pt idx="3">
                  <c:v>8.8740000070991979E-3</c:v>
                </c:pt>
                <c:pt idx="4">
                  <c:v>0.15614503417741601</c:v>
                </c:pt>
              </c:numCache>
            </c:numRef>
          </c:val>
          <c:extLst>
            <c:ext xmlns:c16="http://schemas.microsoft.com/office/drawing/2014/chart" uri="{C3380CC4-5D6E-409C-BE32-E72D297353CC}">
              <c16:uniqueId val="{0000001B-5F47-45B0-851F-B5F638E30AC2}"/>
            </c:ext>
          </c:extLst>
        </c:ser>
        <c:ser>
          <c:idx val="28"/>
          <c:order val="28"/>
          <c:tx>
            <c:strRef>
              <c:f>'results (2)'!$A$31</c:f>
              <c:strCache>
                <c:ptCount val="1"/>
                <c:pt idx="0">
                  <c:v>Direct emissions</c:v>
                </c:pt>
              </c:strCache>
            </c:strRef>
          </c:tx>
          <c:spPr>
            <a:solidFill>
              <a:schemeClr val="accent4"/>
            </a:solidFill>
            <a:ln>
              <a:noFill/>
            </a:ln>
            <a:effectLst/>
          </c:spPr>
          <c:invertIfNegative val="0"/>
          <c:cat>
            <c:strRef>
              <c:f>'results (2)'!$D$1:$X$1</c:f>
              <c:strCache>
                <c:ptCount val="5"/>
                <c:pt idx="3">
                  <c:v>Carbon footprint</c:v>
                </c:pt>
                <c:pt idx="4">
                  <c:v>Primary energy consumption</c:v>
                </c:pt>
              </c:strCache>
            </c:strRef>
          </c:cat>
          <c:val>
            <c:numRef>
              <c:f>'results (2)'!$D$31:$X$31</c:f>
              <c:numCache>
                <c:formatCode>General</c:formatCode>
                <c:ptCount val="21"/>
                <c:pt idx="3">
                  <c:v>0</c:v>
                </c:pt>
                <c:pt idx="4">
                  <c:v>0</c:v>
                </c:pt>
              </c:numCache>
            </c:numRef>
          </c:val>
          <c:extLst>
            <c:ext xmlns:c16="http://schemas.microsoft.com/office/drawing/2014/chart" uri="{C3380CC4-5D6E-409C-BE32-E72D297353CC}">
              <c16:uniqueId val="{0000001C-5F47-45B0-851F-B5F638E30AC2}"/>
            </c:ext>
          </c:extLst>
        </c:ser>
        <c:ser>
          <c:idx val="29"/>
          <c:order val="29"/>
          <c:tx>
            <c:strRef>
              <c:f>'results (2)'!$A$32</c:f>
              <c:strCache>
                <c:ptCount val="1"/>
                <c:pt idx="0">
                  <c:v>Treatment</c:v>
                </c:pt>
              </c:strCache>
            </c:strRef>
          </c:tx>
          <c:spPr>
            <a:solidFill>
              <a:schemeClr val="accent6"/>
            </a:solidFill>
            <a:ln>
              <a:noFill/>
            </a:ln>
            <a:effectLst/>
          </c:spPr>
          <c:invertIfNegative val="0"/>
          <c:cat>
            <c:strRef>
              <c:f>'results (2)'!$D$1:$X$1</c:f>
              <c:strCache>
                <c:ptCount val="5"/>
                <c:pt idx="3">
                  <c:v>Carbon footprint</c:v>
                </c:pt>
                <c:pt idx="4">
                  <c:v>Primary energy consumption</c:v>
                </c:pt>
              </c:strCache>
            </c:strRef>
          </c:cat>
          <c:val>
            <c:numRef>
              <c:f>'results (2)'!$D$32:$X$32</c:f>
              <c:numCache>
                <c:formatCode>General</c:formatCode>
                <c:ptCount val="21"/>
                <c:pt idx="3">
                  <c:v>1.2757696199999999E-4</c:v>
                </c:pt>
                <c:pt idx="4">
                  <c:v>1.0661210680980003E-3</c:v>
                </c:pt>
              </c:numCache>
            </c:numRef>
          </c:val>
          <c:extLst>
            <c:ext xmlns:c16="http://schemas.microsoft.com/office/drawing/2014/chart" uri="{C3380CC4-5D6E-409C-BE32-E72D297353CC}">
              <c16:uniqueId val="{0000001D-5F47-45B0-851F-B5F638E30AC2}"/>
            </c:ext>
          </c:extLst>
        </c:ser>
        <c:ser>
          <c:idx val="30"/>
          <c:order val="30"/>
          <c:tx>
            <c:strRef>
              <c:f>'results (2)'!$A$33</c:f>
              <c:strCache>
                <c:ptCount val="1"/>
                <c:pt idx="0">
                  <c:v>End of life</c:v>
                </c:pt>
              </c:strCache>
            </c:strRef>
          </c:tx>
          <c:spPr>
            <a:solidFill>
              <a:schemeClr val="accent2">
                <a:lumMod val="60000"/>
              </a:schemeClr>
            </a:solidFill>
            <a:ln>
              <a:noFill/>
            </a:ln>
            <a:effectLst/>
          </c:spPr>
          <c:invertIfNegative val="0"/>
          <c:cat>
            <c:strRef>
              <c:f>'results (2)'!$D$1:$X$1</c:f>
              <c:strCache>
                <c:ptCount val="5"/>
                <c:pt idx="3">
                  <c:v>Carbon footprint</c:v>
                </c:pt>
                <c:pt idx="4">
                  <c:v>Primary energy consumption</c:v>
                </c:pt>
              </c:strCache>
            </c:strRef>
          </c:cat>
          <c:val>
            <c:numRef>
              <c:f>'results (2)'!$D$33:$X$33</c:f>
              <c:numCache>
                <c:formatCode>General</c:formatCode>
                <c:ptCount val="21"/>
                <c:pt idx="3">
                  <c:v>6.2954943647999988</c:v>
                </c:pt>
                <c:pt idx="4">
                  <c:v>102.3232979508053</c:v>
                </c:pt>
              </c:numCache>
            </c:numRef>
          </c:val>
          <c:extLst>
            <c:ext xmlns:c16="http://schemas.microsoft.com/office/drawing/2014/chart" uri="{C3380CC4-5D6E-409C-BE32-E72D297353CC}">
              <c16:uniqueId val="{0000001E-5F47-45B0-851F-B5F638E30AC2}"/>
            </c:ext>
          </c:extLst>
        </c:ser>
        <c:dLbls>
          <c:showLegendKey val="0"/>
          <c:showVal val="0"/>
          <c:showCatName val="0"/>
          <c:showSerName val="0"/>
          <c:showPercent val="0"/>
          <c:showBubbleSize val="0"/>
        </c:dLbls>
        <c:gapWidth val="150"/>
        <c:overlap val="100"/>
        <c:axId val="1595515343"/>
        <c:axId val="1555299615"/>
      </c:barChart>
      <c:catAx>
        <c:axId val="159551534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99615"/>
        <c:crosses val="autoZero"/>
        <c:auto val="1"/>
        <c:lblAlgn val="ctr"/>
        <c:lblOffset val="100"/>
        <c:noMultiLvlLbl val="0"/>
      </c:catAx>
      <c:valAx>
        <c:axId val="1555299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515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8529418197725279"/>
          <c:y val="0"/>
          <c:w val="0.53888888888888886"/>
          <c:h val="0.8981481481481481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15-4F55-BF01-E220E78D33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15-4F55-BF01-E220E78D33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15-4F55-BF01-E220E78D33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15-4F55-BF01-E220E78D33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15-4F55-BF01-E220E78D33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15-4F55-BF01-E220E78D331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15-4F55-BF01-E220E78D331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415-4F55-BF01-E220E78D331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415-4F55-BF01-E220E78D331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415-4F55-BF01-E220E78D331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415-4F55-BF01-E220E78D331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415-4F55-BF01-E220E78D331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415-4F55-BF01-E220E78D331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415-4F55-BF01-E220E78D331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415-4F55-BF01-E220E78D331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415-4F55-BF01-E220E78D331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415-4F55-BF01-E220E78D3318}"/>
              </c:ext>
            </c:extLst>
          </c:dPt>
          <c:cat>
            <c:strRef>
              <c:f>'results (2)'!$A$2:$A$18</c:f>
              <c:strCache>
                <c:ptCount val="17"/>
                <c:pt idx="0">
                  <c:v>FTO glass</c:v>
                </c:pt>
                <c:pt idx="1">
                  <c:v>BL-TiO₂ ink</c:v>
                </c:pt>
                <c:pt idx="2">
                  <c:v>MP-TiO₂</c:v>
                </c:pt>
                <c:pt idx="3">
                  <c:v>2-methoxyethanol</c:v>
                </c:pt>
                <c:pt idx="4">
                  <c:v>PbI₂</c:v>
                </c:pt>
                <c:pt idx="5">
                  <c:v>PbBr₂</c:v>
                </c:pt>
                <c:pt idx="6">
                  <c:v>FAI</c:v>
                </c:pt>
                <c:pt idx="7">
                  <c:v>MABr</c:v>
                </c:pt>
                <c:pt idx="8">
                  <c:v>DMF</c:v>
                </c:pt>
                <c:pt idx="9">
                  <c:v>DMSO</c:v>
                </c:pt>
                <c:pt idx="10">
                  <c:v>Isopropanol</c:v>
                </c:pt>
                <c:pt idx="11">
                  <c:v>PTAA solution</c:v>
                </c:pt>
                <c:pt idx="12">
                  <c:v>Cu</c:v>
                </c:pt>
                <c:pt idx="13">
                  <c:v>Ar</c:v>
                </c:pt>
                <c:pt idx="14">
                  <c:v>O₂</c:v>
                </c:pt>
                <c:pt idx="15">
                  <c:v>Adhesive</c:v>
                </c:pt>
                <c:pt idx="16">
                  <c:v>PET</c:v>
                </c:pt>
              </c:strCache>
            </c:strRef>
          </c:cat>
          <c:val>
            <c:numRef>
              <c:f>'results (2)'!$C$2:$C$18</c:f>
              <c:numCache>
                <c:formatCode>General</c:formatCode>
                <c:ptCount val="17"/>
                <c:pt idx="0">
                  <c:v>8.5029036949120105</c:v>
                </c:pt>
                <c:pt idx="1">
                  <c:v>6.1700956254785687E-2</c:v>
                </c:pt>
                <c:pt idx="2">
                  <c:v>4.6809738838835997E-3</c:v>
                </c:pt>
                <c:pt idx="3">
                  <c:v>1.6125322627587774E-2</c:v>
                </c:pt>
                <c:pt idx="4">
                  <c:v>4.1638537323627607E-2</c:v>
                </c:pt>
                <c:pt idx="5">
                  <c:v>7.9057775962192297E-4</c:v>
                </c:pt>
                <c:pt idx="6">
                  <c:v>0.35631319119228022</c:v>
                </c:pt>
                <c:pt idx="7">
                  <c:v>1.9630136677403471</c:v>
                </c:pt>
                <c:pt idx="8">
                  <c:v>7.5556306550594685E-2</c:v>
                </c:pt>
                <c:pt idx="9">
                  <c:v>1.6499999309507574E-2</c:v>
                </c:pt>
                <c:pt idx="10">
                  <c:v>3.2570821583550118</c:v>
                </c:pt>
                <c:pt idx="11">
                  <c:v>0.78923824670233655</c:v>
                </c:pt>
                <c:pt idx="12">
                  <c:v>5.4579072598579199E-2</c:v>
                </c:pt>
                <c:pt idx="13">
                  <c:v>4.3659558183030303</c:v>
                </c:pt>
                <c:pt idx="14">
                  <c:v>1.7448388645818179E-3</c:v>
                </c:pt>
                <c:pt idx="15">
                  <c:v>1.121768096012</c:v>
                </c:pt>
                <c:pt idx="16">
                  <c:v>4.876431431436</c:v>
                </c:pt>
              </c:numCache>
            </c:numRef>
          </c:val>
          <c:extLst>
            <c:ext xmlns:c16="http://schemas.microsoft.com/office/drawing/2014/chart" uri="{C3380CC4-5D6E-409C-BE32-E72D297353CC}">
              <c16:uniqueId val="{00000022-A415-4F55-BF01-E220E78D3318}"/>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662882764654419"/>
          <c:y val="0"/>
          <c:w val="0.53888888888888886"/>
          <c:h val="0.8981481481481481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96-4522-8AEB-9E4BCE0B70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96-4522-8AEB-9E4BCE0B70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96-4522-8AEB-9E4BCE0B70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96-4522-8AEB-9E4BCE0B70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96-4522-8AEB-9E4BCE0B70D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96-4522-8AEB-9E4BCE0B70D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96-4522-8AEB-9E4BCE0B70D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596-4522-8AEB-9E4BCE0B70D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596-4522-8AEB-9E4BCE0B70D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596-4522-8AEB-9E4BCE0B70D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596-4522-8AEB-9E4BCE0B70DF}"/>
              </c:ext>
            </c:extLst>
          </c:dPt>
          <c:cat>
            <c:strRef>
              <c:f>'results (2)'!$A$19:$A$29</c:f>
              <c:strCache>
                <c:ptCount val="11"/>
                <c:pt idx="0">
                  <c:v>Spray pyrolysis</c:v>
                </c:pt>
                <c:pt idx="1">
                  <c:v>ETL slot-die coating</c:v>
                </c:pt>
                <c:pt idx="2">
                  <c:v>ETL calcining</c:v>
                </c:pt>
                <c:pt idx="3">
                  <c:v>PL 1st-step slot-die coating</c:v>
                </c:pt>
                <c:pt idx="4">
                  <c:v>PL 2nd-step slot-die coating</c:v>
                </c:pt>
                <c:pt idx="5">
                  <c:v>PL 1st-step drying</c:v>
                </c:pt>
                <c:pt idx="6">
                  <c:v>PL 2nd-step drying</c:v>
                </c:pt>
                <c:pt idx="7">
                  <c:v>PL annealing</c:v>
                </c:pt>
                <c:pt idx="8">
                  <c:v>HTL slot-die coating</c:v>
                </c:pt>
                <c:pt idx="9">
                  <c:v>Electrode sputtering</c:v>
                </c:pt>
                <c:pt idx="10">
                  <c:v>Lamination</c:v>
                </c:pt>
              </c:strCache>
            </c:strRef>
          </c:cat>
          <c:val>
            <c:numRef>
              <c:f>'results (2)'!$C$19:$C$29</c:f>
              <c:numCache>
                <c:formatCode>General</c:formatCode>
                <c:ptCount val="11"/>
                <c:pt idx="0">
                  <c:v>7.3462520841565228E-4</c:v>
                </c:pt>
                <c:pt idx="1">
                  <c:v>2.6024172362902664E-2</c:v>
                </c:pt>
                <c:pt idx="2">
                  <c:v>53.535440289399759</c:v>
                </c:pt>
                <c:pt idx="3">
                  <c:v>0.37177389089860957</c:v>
                </c:pt>
                <c:pt idx="4">
                  <c:v>0.37177389089860957</c:v>
                </c:pt>
                <c:pt idx="5">
                  <c:v>53.535440289399773</c:v>
                </c:pt>
                <c:pt idx="6">
                  <c:v>80.303160434099667</c:v>
                </c:pt>
                <c:pt idx="7">
                  <c:v>53.535440289399773</c:v>
                </c:pt>
                <c:pt idx="8">
                  <c:v>1.7349448241935115</c:v>
                </c:pt>
                <c:pt idx="9">
                  <c:v>97.156910154836652</c:v>
                </c:pt>
                <c:pt idx="10">
                  <c:v>0.15614503417741601</c:v>
                </c:pt>
              </c:numCache>
            </c:numRef>
          </c:val>
          <c:extLst>
            <c:ext xmlns:c16="http://schemas.microsoft.com/office/drawing/2014/chart" uri="{C3380CC4-5D6E-409C-BE32-E72D297353CC}">
              <c16:uniqueId val="{00000016-1596-4522-8AEB-9E4BCE0B70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FD-4CA0-864A-2A76D31EEB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FD-4CA0-864A-2A76D31EEB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FD-4CA0-864A-2A76D31EEB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FD-4CA0-864A-2A76D31EEB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FD-4CA0-864A-2A76D31EEB2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CFD-4CA0-864A-2A76D31EEB2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CFD-4CA0-864A-2A76D31EEB2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CFD-4CA0-864A-2A76D31EEB2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CFD-4CA0-864A-2A76D31EEB2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CFD-4CA0-864A-2A76D31EEB2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CFD-4CA0-864A-2A76D31EEB2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CFD-4CA0-864A-2A76D31EEB2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CFD-4CA0-864A-2A76D31EEB2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CFD-4CA0-864A-2A76D31EEB2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CFD-4CA0-864A-2A76D31EEB2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CFD-4CA0-864A-2A76D31EEB2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CFD-4CA0-864A-2A76D31EEB2A}"/>
              </c:ext>
            </c:extLst>
          </c:dPt>
          <c:cat>
            <c:strRef>
              <c:f>'results (2)'!$A$2:$A$18</c:f>
              <c:strCache>
                <c:ptCount val="17"/>
                <c:pt idx="0">
                  <c:v>FTO glass</c:v>
                </c:pt>
                <c:pt idx="1">
                  <c:v>BL-TiO₂ ink</c:v>
                </c:pt>
                <c:pt idx="2">
                  <c:v>MP-TiO₂</c:v>
                </c:pt>
                <c:pt idx="3">
                  <c:v>2-methoxyethanol</c:v>
                </c:pt>
                <c:pt idx="4">
                  <c:v>PbI₂</c:v>
                </c:pt>
                <c:pt idx="5">
                  <c:v>PbBr₂</c:v>
                </c:pt>
                <c:pt idx="6">
                  <c:v>FAI</c:v>
                </c:pt>
                <c:pt idx="7">
                  <c:v>MABr</c:v>
                </c:pt>
                <c:pt idx="8">
                  <c:v>DMF</c:v>
                </c:pt>
                <c:pt idx="9">
                  <c:v>DMSO</c:v>
                </c:pt>
                <c:pt idx="10">
                  <c:v>Isopropanol</c:v>
                </c:pt>
                <c:pt idx="11">
                  <c:v>PTAA solution</c:v>
                </c:pt>
                <c:pt idx="12">
                  <c:v>Cu</c:v>
                </c:pt>
                <c:pt idx="13">
                  <c:v>Ar</c:v>
                </c:pt>
                <c:pt idx="14">
                  <c:v>O₂</c:v>
                </c:pt>
                <c:pt idx="15">
                  <c:v>Adhesive</c:v>
                </c:pt>
                <c:pt idx="16">
                  <c:v>PET</c:v>
                </c:pt>
              </c:strCache>
            </c:strRef>
          </c:cat>
          <c:val>
            <c:numRef>
              <c:f>'results (2)'!$B$2:$B$18</c:f>
              <c:numCache>
                <c:formatCode>General</c:formatCode>
                <c:ptCount val="17"/>
                <c:pt idx="0">
                  <c:v>0.34780676817599987</c:v>
                </c:pt>
                <c:pt idx="1">
                  <c:v>2.2765392121238096E-3</c:v>
                </c:pt>
                <c:pt idx="2">
                  <c:v>4.364040239999999E-4</c:v>
                </c:pt>
                <c:pt idx="3">
                  <c:v>5.7271391279999984E-4</c:v>
                </c:pt>
                <c:pt idx="4">
                  <c:v>3.5016340047384839E-3</c:v>
                </c:pt>
                <c:pt idx="5">
                  <c:v>6.0294176243999574E-5</c:v>
                </c:pt>
                <c:pt idx="6">
                  <c:v>2.0114480946874777E-2</c:v>
                </c:pt>
                <c:pt idx="7">
                  <c:v>0.1114344024570799</c:v>
                </c:pt>
                <c:pt idx="8">
                  <c:v>2.7778789137676346E-3</c:v>
                </c:pt>
                <c:pt idx="9">
                  <c:v>3.5756612254426892E-4</c:v>
                </c:pt>
                <c:pt idx="10">
                  <c:v>9.8536232918946171E-2</c:v>
                </c:pt>
                <c:pt idx="11">
                  <c:v>4.2266595161539466E-2</c:v>
                </c:pt>
                <c:pt idx="12">
                  <c:v>3.7954882559999999E-3</c:v>
                </c:pt>
                <c:pt idx="13">
                  <c:v>0.29058656969696967</c:v>
                </c:pt>
                <c:pt idx="14">
                  <c:v>1.2806957575757575E-4</c:v>
                </c:pt>
                <c:pt idx="15">
                  <c:v>5.8513339999999997E-2</c:v>
                </c:pt>
                <c:pt idx="16">
                  <c:v>0.19433649</c:v>
                </c:pt>
              </c:numCache>
            </c:numRef>
          </c:val>
          <c:extLst>
            <c:ext xmlns:c16="http://schemas.microsoft.com/office/drawing/2014/chart" uri="{C3380CC4-5D6E-409C-BE32-E72D297353CC}">
              <c16:uniqueId val="{00000022-DCFD-4CA0-864A-2A76D31EEB2A}"/>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8529418197725279"/>
          <c:y val="0"/>
          <c:w val="0.53888888888888886"/>
          <c:h val="0.8981481481481481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2C-414D-8CB6-40513DD76F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2C-414D-8CB6-40513DD76F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2C-414D-8CB6-40513DD76F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2C-414D-8CB6-40513DD76F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2C-414D-8CB6-40513DD76F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2C-414D-8CB6-40513DD76F1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42C-414D-8CB6-40513DD76F1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42C-414D-8CB6-40513DD76F1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42C-414D-8CB6-40513DD76F1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42C-414D-8CB6-40513DD76F1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42C-414D-8CB6-40513DD76F1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42C-414D-8CB6-40513DD76F1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42C-414D-8CB6-40513DD76F1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42C-414D-8CB6-40513DD76F1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42C-414D-8CB6-40513DD76F1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EAF-4D73-97EC-89FDB28A94A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EAF-4D73-97EC-89FDB28A94AF}"/>
              </c:ext>
            </c:extLst>
          </c:dPt>
          <c:cat>
            <c:strRef>
              <c:f>results!$A$2:$A$18</c:f>
              <c:strCache>
                <c:ptCount val="17"/>
                <c:pt idx="0">
                  <c:v>FTO glass</c:v>
                </c:pt>
                <c:pt idx="1">
                  <c:v>BL-TiO₂ ink</c:v>
                </c:pt>
                <c:pt idx="2">
                  <c:v>MP-TiO₂</c:v>
                </c:pt>
                <c:pt idx="3">
                  <c:v>2-methoxyethanol</c:v>
                </c:pt>
                <c:pt idx="4">
                  <c:v>PbI₂</c:v>
                </c:pt>
                <c:pt idx="5">
                  <c:v>PbBr₂</c:v>
                </c:pt>
                <c:pt idx="6">
                  <c:v>FAI</c:v>
                </c:pt>
                <c:pt idx="7">
                  <c:v>MABr</c:v>
                </c:pt>
                <c:pt idx="8">
                  <c:v>DMF</c:v>
                </c:pt>
                <c:pt idx="9">
                  <c:v>DMSO</c:v>
                </c:pt>
                <c:pt idx="10">
                  <c:v>Isopropanol</c:v>
                </c:pt>
                <c:pt idx="11">
                  <c:v>PTAA solution</c:v>
                </c:pt>
                <c:pt idx="12">
                  <c:v>Cu</c:v>
                </c:pt>
                <c:pt idx="13">
                  <c:v>Ar</c:v>
                </c:pt>
                <c:pt idx="14">
                  <c:v>O₂</c:v>
                </c:pt>
                <c:pt idx="15">
                  <c:v>Adhesive</c:v>
                </c:pt>
                <c:pt idx="16">
                  <c:v>PET</c:v>
                </c:pt>
              </c:strCache>
            </c:strRef>
          </c:cat>
          <c:val>
            <c:numRef>
              <c:f>results!$C$2:$C$18</c:f>
              <c:numCache>
                <c:formatCode>General</c:formatCode>
                <c:ptCount val="17"/>
                <c:pt idx="0">
                  <c:v>85.029036949120112</c:v>
                </c:pt>
                <c:pt idx="1">
                  <c:v>0.61700956254785699</c:v>
                </c:pt>
                <c:pt idx="2">
                  <c:v>4.6809738838836004E-2</c:v>
                </c:pt>
                <c:pt idx="3">
                  <c:v>0.16125322627587776</c:v>
                </c:pt>
                <c:pt idx="4">
                  <c:v>4.1638537323627607E-2</c:v>
                </c:pt>
                <c:pt idx="5">
                  <c:v>7.9057775962192297E-4</c:v>
                </c:pt>
                <c:pt idx="6">
                  <c:v>0.35631319119228022</c:v>
                </c:pt>
                <c:pt idx="7">
                  <c:v>1.9630136677403471</c:v>
                </c:pt>
                <c:pt idx="8">
                  <c:v>7.5556306550594685E-2</c:v>
                </c:pt>
                <c:pt idx="9">
                  <c:v>1.6499999309507574E-2</c:v>
                </c:pt>
                <c:pt idx="10">
                  <c:v>3.2570821583550118</c:v>
                </c:pt>
                <c:pt idx="11">
                  <c:v>0.78923824670233655</c:v>
                </c:pt>
                <c:pt idx="12">
                  <c:v>0.103960138283008</c:v>
                </c:pt>
                <c:pt idx="13">
                  <c:v>4.3659558183030303</c:v>
                </c:pt>
                <c:pt idx="14">
                  <c:v>1.7448388645818179E-3</c:v>
                </c:pt>
                <c:pt idx="15">
                  <c:v>1.121768096012</c:v>
                </c:pt>
                <c:pt idx="16">
                  <c:v>4.876431431436</c:v>
                </c:pt>
              </c:numCache>
            </c:numRef>
          </c:val>
          <c:extLst>
            <c:ext xmlns:c16="http://schemas.microsoft.com/office/drawing/2014/chart" uri="{C3380CC4-5D6E-409C-BE32-E72D297353CC}">
              <c16:uniqueId val="{00000000-B96D-4801-A081-B13C6A3229F3}"/>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662882764654419"/>
          <c:y val="0"/>
          <c:w val="0.53888888888888886"/>
          <c:h val="0.8981481481481481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E2-4FA6-A687-C338A049C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E2-4FA6-A687-C338A049CA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E2-4FA6-A687-C338A049CA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E2-4FA6-A687-C338A049CA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E2-4FA6-A687-C338A049CA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E2-4FA6-A687-C338A049CA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FE2-4FA6-A687-C338A049CA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FE2-4FA6-A687-C338A049CA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FE2-4FA6-A687-C338A049CA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FE2-4FA6-A687-C338A049CA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FE2-4FA6-A687-C338A049CA70}"/>
              </c:ext>
            </c:extLst>
          </c:dPt>
          <c:cat>
            <c:strRef>
              <c:f>results!$A$19:$A$29</c:f>
              <c:strCache>
                <c:ptCount val="11"/>
                <c:pt idx="0">
                  <c:v>Spray pyrolysis</c:v>
                </c:pt>
                <c:pt idx="1">
                  <c:v>ETL slot-die coating</c:v>
                </c:pt>
                <c:pt idx="2">
                  <c:v>ETL calcining</c:v>
                </c:pt>
                <c:pt idx="3">
                  <c:v>PL 1st-step slot-die coating</c:v>
                </c:pt>
                <c:pt idx="4">
                  <c:v>PL 2nd-step slot-die coating</c:v>
                </c:pt>
                <c:pt idx="5">
                  <c:v>PL 1st-step drying</c:v>
                </c:pt>
                <c:pt idx="6">
                  <c:v>PL 2nd-step drying</c:v>
                </c:pt>
                <c:pt idx="7">
                  <c:v>PL annealing</c:v>
                </c:pt>
                <c:pt idx="8">
                  <c:v>HTL slot-die coating</c:v>
                </c:pt>
                <c:pt idx="9">
                  <c:v>Electrode sputtering</c:v>
                </c:pt>
                <c:pt idx="10">
                  <c:v>Lamination</c:v>
                </c:pt>
              </c:strCache>
            </c:strRef>
          </c:cat>
          <c:val>
            <c:numRef>
              <c:f>results!$C$19:$C$29</c:f>
              <c:numCache>
                <c:formatCode>General</c:formatCode>
                <c:ptCount val="11"/>
                <c:pt idx="0">
                  <c:v>7.1646036132171692E-3</c:v>
                </c:pt>
                <c:pt idx="1">
                  <c:v>0.2602417236290267</c:v>
                </c:pt>
                <c:pt idx="2">
                  <c:v>535.35440289399776</c:v>
                </c:pt>
                <c:pt idx="3">
                  <c:v>0.37177389089860957</c:v>
                </c:pt>
                <c:pt idx="4">
                  <c:v>0.37177389089860957</c:v>
                </c:pt>
                <c:pt idx="5">
                  <c:v>53.535440289399773</c:v>
                </c:pt>
                <c:pt idx="6">
                  <c:v>80.303160434099667</c:v>
                </c:pt>
                <c:pt idx="7">
                  <c:v>53.535440289399773</c:v>
                </c:pt>
                <c:pt idx="8">
                  <c:v>1.7349448241935115</c:v>
                </c:pt>
                <c:pt idx="9">
                  <c:v>97.156910154836652</c:v>
                </c:pt>
                <c:pt idx="10">
                  <c:v>0.15614503417741601</c:v>
                </c:pt>
              </c:numCache>
            </c:numRef>
          </c:val>
          <c:extLst>
            <c:ext xmlns:c16="http://schemas.microsoft.com/office/drawing/2014/chart" uri="{C3380CC4-5D6E-409C-BE32-E72D297353CC}">
              <c16:uniqueId val="{00000000-C213-44F5-ABFB-10A4FA1A0F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AB-40E4-8B80-D2E4639C6F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AB-40E4-8B80-D2E4639C6F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AB-40E4-8B80-D2E4639C6F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AB-40E4-8B80-D2E4639C6F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AB-40E4-8B80-D2E4639C6F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AB-40E4-8B80-D2E4639C6F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BAB-40E4-8B80-D2E4639C6F7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BAB-40E4-8B80-D2E4639C6F7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BAB-40E4-8B80-D2E4639C6F7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BAB-40E4-8B80-D2E4639C6F7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BAB-40E4-8B80-D2E4639C6F7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BAB-40E4-8B80-D2E4639C6F7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BAB-40E4-8B80-D2E4639C6F7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BAB-40E4-8B80-D2E4639C6F7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BAB-40E4-8B80-D2E4639C6F7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10E-4CCA-BE8D-11D4D5CB995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10E-4CCA-BE8D-11D4D5CB9959}"/>
              </c:ext>
            </c:extLst>
          </c:dPt>
          <c:cat>
            <c:strRef>
              <c:f>results!$A$2:$A$18</c:f>
              <c:strCache>
                <c:ptCount val="17"/>
                <c:pt idx="0">
                  <c:v>FTO glass</c:v>
                </c:pt>
                <c:pt idx="1">
                  <c:v>BL-TiO₂ ink</c:v>
                </c:pt>
                <c:pt idx="2">
                  <c:v>MP-TiO₂</c:v>
                </c:pt>
                <c:pt idx="3">
                  <c:v>2-methoxyethanol</c:v>
                </c:pt>
                <c:pt idx="4">
                  <c:v>PbI₂</c:v>
                </c:pt>
                <c:pt idx="5">
                  <c:v>PbBr₂</c:v>
                </c:pt>
                <c:pt idx="6">
                  <c:v>FAI</c:v>
                </c:pt>
                <c:pt idx="7">
                  <c:v>MABr</c:v>
                </c:pt>
                <c:pt idx="8">
                  <c:v>DMF</c:v>
                </c:pt>
                <c:pt idx="9">
                  <c:v>DMSO</c:v>
                </c:pt>
                <c:pt idx="10">
                  <c:v>Isopropanol</c:v>
                </c:pt>
                <c:pt idx="11">
                  <c:v>PTAA solution</c:v>
                </c:pt>
                <c:pt idx="12">
                  <c:v>Cu</c:v>
                </c:pt>
                <c:pt idx="13">
                  <c:v>Ar</c:v>
                </c:pt>
                <c:pt idx="14">
                  <c:v>O₂</c:v>
                </c:pt>
                <c:pt idx="15">
                  <c:v>Adhesive</c:v>
                </c:pt>
                <c:pt idx="16">
                  <c:v>PET</c:v>
                </c:pt>
              </c:strCache>
            </c:strRef>
          </c:cat>
          <c:val>
            <c:numRef>
              <c:f>results!$B$2:$B$18</c:f>
              <c:numCache>
                <c:formatCode>General</c:formatCode>
                <c:ptCount val="17"/>
                <c:pt idx="0">
                  <c:v>3.4780676817599994</c:v>
                </c:pt>
                <c:pt idx="1">
                  <c:v>2.2765392121238102E-2</c:v>
                </c:pt>
                <c:pt idx="2">
                  <c:v>4.3640402400000004E-3</c:v>
                </c:pt>
                <c:pt idx="3">
                  <c:v>5.7271391279999995E-3</c:v>
                </c:pt>
                <c:pt idx="4">
                  <c:v>3.5016340047384839E-3</c:v>
                </c:pt>
                <c:pt idx="5">
                  <c:v>6.0294176243999574E-5</c:v>
                </c:pt>
                <c:pt idx="6">
                  <c:v>2.0114480946874777E-2</c:v>
                </c:pt>
                <c:pt idx="7">
                  <c:v>0.1114344024570799</c:v>
                </c:pt>
                <c:pt idx="8">
                  <c:v>2.7778789137676346E-3</c:v>
                </c:pt>
                <c:pt idx="9">
                  <c:v>3.5756612254426892E-4</c:v>
                </c:pt>
                <c:pt idx="10">
                  <c:v>9.8536232918946171E-2</c:v>
                </c:pt>
                <c:pt idx="11">
                  <c:v>4.2266595161539466E-2</c:v>
                </c:pt>
                <c:pt idx="12">
                  <c:v>7.2295014400000001E-3</c:v>
                </c:pt>
                <c:pt idx="13">
                  <c:v>0.29058656969696967</c:v>
                </c:pt>
                <c:pt idx="14">
                  <c:v>1.2806957575757575E-4</c:v>
                </c:pt>
                <c:pt idx="15">
                  <c:v>5.8513339999999997E-2</c:v>
                </c:pt>
                <c:pt idx="16">
                  <c:v>0.19433649</c:v>
                </c:pt>
              </c:numCache>
            </c:numRef>
          </c:val>
          <c:extLst>
            <c:ext xmlns:c16="http://schemas.microsoft.com/office/drawing/2014/chart" uri="{C3380CC4-5D6E-409C-BE32-E72D297353CC}">
              <c16:uniqueId val="{00000000-996C-425F-AE6C-B06D3E911165}"/>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1909667541557"/>
          <c:y val="2.7777777777777801E-2"/>
        </c:manualLayout>
      </c:layout>
      <c:overlay val="0"/>
      <c:spPr>
        <a:noFill/>
        <a:ln>
          <a:noFill/>
        </a:ln>
        <a:effectLst/>
      </c:spPr>
      <c:txPr>
        <a:bodyPr rot="0" spcFirstLastPara="1" vertOverflow="ellipsis" vert="horz" wrap="square" anchor="ctr" anchorCtr="1"/>
        <a:lstStyle/>
        <a:p>
          <a:pPr>
            <a:defRPr lang="zh-CN"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uncertainty!$R$1</c:f>
              <c:strCache>
                <c:ptCount val="1"/>
                <c:pt idx="0">
                  <c:v>EPBT</c:v>
                </c:pt>
              </c:strCache>
            </c:strRef>
          </c:tx>
          <c:spPr>
            <a:solidFill>
              <a:schemeClr val="accent1"/>
            </a:solidFill>
            <a:ln>
              <a:noFill/>
            </a:ln>
            <a:effectLst/>
          </c:spPr>
          <c:invertIfNegative val="0"/>
          <c:dLbls>
            <c:dLbl>
              <c:idx val="3"/>
              <c:layout>
                <c:manualLayout>
                  <c:x val="-4.517278144287905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9A-4D6E-9319-4CCA672F9545}"/>
                </c:ext>
              </c:extLst>
            </c:dLbl>
            <c:spPr>
              <a:noFill/>
              <a:ln>
                <a:noFill/>
              </a:ln>
              <a:effectLst/>
            </c:spPr>
            <c:txPr>
              <a:bodyPr rot="0" spcFirstLastPara="1" vertOverflow="ellipsis" vert="horz" wrap="square" lIns="38100" tIns="19050" rIns="38100" bIns="19050" anchor="ctr" anchorCtr="1">
                <a:spAutoFit/>
              </a:bodyPr>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uncertainty!$Q$2:$Q$5</c:f>
              <c:strCache>
                <c:ptCount val="4"/>
                <c:pt idx="0">
                  <c:v>Insolation</c:v>
                </c:pt>
                <c:pt idx="1">
                  <c:v>Module efficiency</c:v>
                </c:pt>
                <c:pt idx="2">
                  <c:v>Primary energy consumption</c:v>
                </c:pt>
                <c:pt idx="3">
                  <c:v>Performance ratio</c:v>
                </c:pt>
              </c:strCache>
            </c:strRef>
          </c:cat>
          <c:val>
            <c:numRef>
              <c:f>uncertainty!$R$2:$R$5</c:f>
              <c:numCache>
                <c:formatCode>0.000%</c:formatCode>
                <c:ptCount val="4"/>
                <c:pt idx="0">
                  <c:v>-1.8890000000000001E-2</c:v>
                </c:pt>
                <c:pt idx="1">
                  <c:v>-3.8580000000000003E-2</c:v>
                </c:pt>
                <c:pt idx="2" formatCode="0.00%">
                  <c:v>0.18210000000000001</c:v>
                </c:pt>
                <c:pt idx="3" formatCode="0.00%">
                  <c:v>-0.76039999999999996</c:v>
                </c:pt>
              </c:numCache>
            </c:numRef>
          </c:val>
          <c:extLst>
            <c:ext xmlns:c16="http://schemas.microsoft.com/office/drawing/2014/chart" uri="{C3380CC4-5D6E-409C-BE32-E72D297353CC}">
              <c16:uniqueId val="{00000000-D69A-4D6E-9319-4CCA672F9545}"/>
            </c:ext>
          </c:extLst>
        </c:ser>
        <c:dLbls>
          <c:showLegendKey val="0"/>
          <c:showVal val="1"/>
          <c:showCatName val="0"/>
          <c:showSerName val="0"/>
          <c:showPercent val="0"/>
          <c:showBubbleSize val="0"/>
        </c:dLbls>
        <c:gapWidth val="182"/>
        <c:axId val="1206799183"/>
        <c:axId val="1159558863"/>
      </c:barChart>
      <c:catAx>
        <c:axId val="1206799183"/>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59558863"/>
        <c:crosses val="autoZero"/>
        <c:auto val="1"/>
        <c:lblAlgn val="ctr"/>
        <c:lblOffset val="100"/>
        <c:noMultiLvlLbl val="0"/>
      </c:catAx>
      <c:valAx>
        <c:axId val="1159558863"/>
        <c:scaling>
          <c:orientation val="minMax"/>
        </c:scaling>
        <c:delete val="0"/>
        <c:axPos val="b"/>
        <c:majorGridlines>
          <c:spPr>
            <a:ln w="9525" cap="flat" cmpd="sng" algn="ctr">
              <a:solidFill>
                <a:schemeClr val="bg1"/>
              </a:solidFill>
              <a:round/>
            </a:ln>
            <a:effectLst/>
          </c:spPr>
        </c:majorGridlines>
        <c:numFmt formatCode="0%" sourceLinked="0"/>
        <c:majorTickMark val="in"/>
        <c:minorTickMark val="none"/>
        <c:tickLblPos val="low"/>
        <c:spPr>
          <a:noFill/>
          <a:ln>
            <a:solidFill>
              <a:schemeClr val="tx1"/>
            </a:solidFill>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0679918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Times New Roman" panose="02020603050405020304" pitchFamily="18" charset="0"/>
                <a:cs typeface="Times New Roman" panose="02020603050405020304" pitchFamily="18" charset="0"/>
              </a:rPr>
              <a:t>GHG emission factor</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uncertainty!$T$1</c:f>
              <c:strCache>
                <c:ptCount val="1"/>
                <c:pt idx="0">
                  <c:v>GHG emission factor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uncertainty!$S$2:$S$6</c:f>
              <c:strCache>
                <c:ptCount val="5"/>
                <c:pt idx="0">
                  <c:v>Insolation</c:v>
                </c:pt>
                <c:pt idx="1">
                  <c:v>Module efficiency</c:v>
                </c:pt>
                <c:pt idx="2">
                  <c:v>Carbon footprint</c:v>
                </c:pt>
                <c:pt idx="3">
                  <c:v>Lifetime</c:v>
                </c:pt>
                <c:pt idx="4">
                  <c:v>Performance ratio</c:v>
                </c:pt>
              </c:strCache>
            </c:strRef>
          </c:cat>
          <c:val>
            <c:numRef>
              <c:f>uncertainty!$T$2:$T$6</c:f>
              <c:numCache>
                <c:formatCode>0.000%</c:formatCode>
                <c:ptCount val="5"/>
                <c:pt idx="0">
                  <c:v>-1.452E-2</c:v>
                </c:pt>
                <c:pt idx="1">
                  <c:v>-3.0210000000000001E-2</c:v>
                </c:pt>
                <c:pt idx="2" formatCode="0.00%">
                  <c:v>0.13739999999999999</c:v>
                </c:pt>
                <c:pt idx="3" formatCode="0.00%">
                  <c:v>-0.2535</c:v>
                </c:pt>
                <c:pt idx="4" formatCode="0.00%">
                  <c:v>-0.56440000000000001</c:v>
                </c:pt>
              </c:numCache>
            </c:numRef>
          </c:val>
          <c:extLst>
            <c:ext xmlns:c16="http://schemas.microsoft.com/office/drawing/2014/chart" uri="{C3380CC4-5D6E-409C-BE32-E72D297353CC}">
              <c16:uniqueId val="{00000000-8883-48E3-97E7-C1C46D3A74A9}"/>
            </c:ext>
          </c:extLst>
        </c:ser>
        <c:dLbls>
          <c:showLegendKey val="0"/>
          <c:showVal val="1"/>
          <c:showCatName val="0"/>
          <c:showSerName val="0"/>
          <c:showPercent val="0"/>
          <c:showBubbleSize val="0"/>
        </c:dLbls>
        <c:gapWidth val="182"/>
        <c:axId val="1244643519"/>
        <c:axId val="1319694255"/>
      </c:barChart>
      <c:catAx>
        <c:axId val="1244643519"/>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19694255"/>
        <c:crosses val="autoZero"/>
        <c:auto val="1"/>
        <c:lblAlgn val="ctr"/>
        <c:lblOffset val="100"/>
        <c:noMultiLvlLbl val="0"/>
      </c:catAx>
      <c:valAx>
        <c:axId val="1319694255"/>
        <c:scaling>
          <c:orientation val="minMax"/>
          <c:min val="-0.8"/>
        </c:scaling>
        <c:delete val="0"/>
        <c:axPos val="b"/>
        <c:majorGridlines>
          <c:spPr>
            <a:ln w="9525" cap="flat" cmpd="sng" algn="ctr">
              <a:solidFill>
                <a:schemeClr val="bg1"/>
              </a:solidFill>
              <a:round/>
            </a:ln>
            <a:effectLst/>
          </c:spPr>
        </c:majorGridlines>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446435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D5-42FB-AB9C-601944F9D3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D5-42FB-AB9C-601944F9D3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D5-42FB-AB9C-601944F9D3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D5-42FB-AB9C-601944F9D3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D5-42FB-AB9C-601944F9D3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3D5-42FB-AB9C-601944F9D31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3D5-42FB-AB9C-601944F9D31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3D5-42FB-AB9C-601944F9D31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3D5-42FB-AB9C-601944F9D31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3D5-42FB-AB9C-601944F9D31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3D5-42FB-AB9C-601944F9D31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3D5-42FB-AB9C-601944F9D31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3D5-42FB-AB9C-601944F9D31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3D5-42FB-AB9C-601944F9D31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3D5-42FB-AB9C-601944F9D315}"/>
              </c:ext>
            </c:extLst>
          </c:dPt>
          <c:cat>
            <c:strRef>
              <c:f>'recycling level-pec'!$A$3:$A$17</c:f>
              <c:strCache>
                <c:ptCount val="15"/>
                <c:pt idx="0">
                  <c:v>FTO glass</c:v>
                </c:pt>
                <c:pt idx="1">
                  <c:v>BL-TiO₂ ink</c:v>
                </c:pt>
                <c:pt idx="2">
                  <c:v>MP-TiO₂</c:v>
                </c:pt>
                <c:pt idx="3">
                  <c:v>2-methoxyethanol</c:v>
                </c:pt>
                <c:pt idx="4">
                  <c:v>PbI₂</c:v>
                </c:pt>
                <c:pt idx="5">
                  <c:v>PbBr₂</c:v>
                </c:pt>
                <c:pt idx="6">
                  <c:v>FAI</c:v>
                </c:pt>
                <c:pt idx="7">
                  <c:v>MABr</c:v>
                </c:pt>
                <c:pt idx="8">
                  <c:v>DMF</c:v>
                </c:pt>
                <c:pt idx="9">
                  <c:v>DMSO</c:v>
                </c:pt>
                <c:pt idx="10">
                  <c:v>Isopropanol</c:v>
                </c:pt>
                <c:pt idx="11">
                  <c:v>PTAA solution</c:v>
                </c:pt>
                <c:pt idx="12">
                  <c:v>Cu</c:v>
                </c:pt>
                <c:pt idx="13">
                  <c:v>Ar</c:v>
                </c:pt>
                <c:pt idx="14">
                  <c:v>O₂</c:v>
                </c:pt>
              </c:strCache>
            </c:strRef>
          </c:cat>
          <c:val>
            <c:numRef>
              <c:f>'recycling level-pec'!$C$3:$C$17</c:f>
              <c:numCache>
                <c:formatCode>General</c:formatCode>
                <c:ptCount val="15"/>
                <c:pt idx="0">
                  <c:v>0</c:v>
                </c:pt>
                <c:pt idx="1">
                  <c:v>0</c:v>
                </c:pt>
                <c:pt idx="2">
                  <c:v>0</c:v>
                </c:pt>
                <c:pt idx="3">
                  <c:v>0</c:v>
                </c:pt>
                <c:pt idx="4">
                  <c:v>4.1638537323627607E-2</c:v>
                </c:pt>
                <c:pt idx="5">
                  <c:v>7.9057775962192297E-4</c:v>
                </c:pt>
                <c:pt idx="6">
                  <c:v>0.35631319119228022</c:v>
                </c:pt>
                <c:pt idx="7">
                  <c:v>1.9630136677403471</c:v>
                </c:pt>
                <c:pt idx="8">
                  <c:v>7.5556306550594685E-2</c:v>
                </c:pt>
                <c:pt idx="9">
                  <c:v>1.6499999309507574E-2</c:v>
                </c:pt>
                <c:pt idx="10">
                  <c:v>3.2570821583550118</c:v>
                </c:pt>
                <c:pt idx="11">
                  <c:v>0.78923824670233655</c:v>
                </c:pt>
                <c:pt idx="12">
                  <c:v>0</c:v>
                </c:pt>
                <c:pt idx="13">
                  <c:v>4.3659558183030303</c:v>
                </c:pt>
                <c:pt idx="14">
                  <c:v>1.7448388645818179E-3</c:v>
                </c:pt>
              </c:numCache>
            </c:numRef>
          </c:val>
          <c:extLst>
            <c:ext xmlns:c16="http://schemas.microsoft.com/office/drawing/2014/chart" uri="{C3380CC4-5D6E-409C-BE32-E72D297353CC}">
              <c16:uniqueId val="{00000000-7C92-42A8-B24A-62D70847EA7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81-4B13-9044-6179DA0F1A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81-4B13-9044-6179DA0F1A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81-4B13-9044-6179DA0F1A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81-4B13-9044-6179DA0F1A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81-4B13-9044-6179DA0F1A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81-4B13-9044-6179DA0F1A4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81-4B13-9044-6179DA0F1A4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81-4B13-9044-6179DA0F1A4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81-4B13-9044-6179DA0F1A4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81-4B13-9044-6179DA0F1A4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781-4B13-9044-6179DA0F1A4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781-4B13-9044-6179DA0F1A42}"/>
              </c:ext>
            </c:extLst>
          </c:dPt>
          <c:cat>
            <c:strRef>
              <c:f>'recycling level-pec'!$A$18:$A$29</c:f>
              <c:strCache>
                <c:ptCount val="12"/>
                <c:pt idx="0">
                  <c:v>Spray pyrolysis</c:v>
                </c:pt>
                <c:pt idx="1">
                  <c:v>ETL slot-die coating</c:v>
                </c:pt>
                <c:pt idx="2">
                  <c:v>ETL calcining</c:v>
                </c:pt>
                <c:pt idx="3">
                  <c:v>PL 1st-step slot-die coating</c:v>
                </c:pt>
                <c:pt idx="4">
                  <c:v>PL 2nd-step slot-die coating</c:v>
                </c:pt>
                <c:pt idx="5">
                  <c:v>PL 1st-step drying</c:v>
                </c:pt>
                <c:pt idx="6">
                  <c:v>PL 2nd-step drying</c:v>
                </c:pt>
                <c:pt idx="7">
                  <c:v>PL annealing</c:v>
                </c:pt>
                <c:pt idx="8">
                  <c:v>HTL slot-die coating</c:v>
                </c:pt>
                <c:pt idx="9">
                  <c:v>Electrode sputtering</c:v>
                </c:pt>
                <c:pt idx="10">
                  <c:v>Lamination</c:v>
                </c:pt>
                <c:pt idx="11">
                  <c:v>UV/O₃ cleaning</c:v>
                </c:pt>
              </c:strCache>
            </c:strRef>
          </c:cat>
          <c:val>
            <c:numRef>
              <c:f>'recycling level-pec'!$C$18:$C$29</c:f>
              <c:numCache>
                <c:formatCode>General</c:formatCode>
                <c:ptCount val="12"/>
                <c:pt idx="0">
                  <c:v>0</c:v>
                </c:pt>
                <c:pt idx="1">
                  <c:v>0</c:v>
                </c:pt>
                <c:pt idx="2">
                  <c:v>0</c:v>
                </c:pt>
                <c:pt idx="3">
                  <c:v>0.37177389089860957</c:v>
                </c:pt>
                <c:pt idx="4">
                  <c:v>0.37177389089860957</c:v>
                </c:pt>
                <c:pt idx="5">
                  <c:v>53.535440289399773</c:v>
                </c:pt>
                <c:pt idx="6">
                  <c:v>80.303160434099667</c:v>
                </c:pt>
                <c:pt idx="7">
                  <c:v>53.535440289399773</c:v>
                </c:pt>
                <c:pt idx="8">
                  <c:v>1.7349448241935115</c:v>
                </c:pt>
                <c:pt idx="9">
                  <c:v>97.156910154836652</c:v>
                </c:pt>
                <c:pt idx="10">
                  <c:v>0.15614503417741601</c:v>
                </c:pt>
                <c:pt idx="11">
                  <c:v>0.28730686288644547</c:v>
                </c:pt>
              </c:numCache>
            </c:numRef>
          </c:val>
          <c:extLst>
            <c:ext xmlns:c16="http://schemas.microsoft.com/office/drawing/2014/chart" uri="{C3380CC4-5D6E-409C-BE32-E72D297353CC}">
              <c16:uniqueId val="{00000000-40E8-4B29-91F2-75F96687A99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sensitivity!$L$5:$L$10</c:f>
              <c:strCache>
                <c:ptCount val="6"/>
                <c:pt idx="0">
                  <c:v>Energy consumption of PL slot-die coating, kWh (0.05)</c:v>
                </c:pt>
                <c:pt idx="1">
                  <c:v>Energy consumption of PL annealing, kWh (0.266)</c:v>
                </c:pt>
                <c:pt idx="2">
                  <c:v>Energy consumption of PL drying, kWh (0.710)</c:v>
                </c:pt>
                <c:pt idx="3">
                  <c:v>Recycling level of substrate (100%)</c:v>
                </c:pt>
                <c:pt idx="4">
                  <c:v>Utilization efficiency of gold (100%)</c:v>
                </c:pt>
                <c:pt idx="5">
                  <c:v>Recycling level of gold (100%)</c:v>
                </c:pt>
              </c:strCache>
            </c:strRef>
          </c:cat>
          <c:val>
            <c:numRef>
              <c:f>sensitivity!$N$5:$N$10</c:f>
              <c:numCache>
                <c:formatCode>General</c:formatCode>
                <c:ptCount val="6"/>
                <c:pt idx="0">
                  <c:v>9.9246976910891327</c:v>
                </c:pt>
                <c:pt idx="1">
                  <c:v>9.8939777129823643</c:v>
                </c:pt>
                <c:pt idx="2">
                  <c:v>9.8309457494616197</c:v>
                </c:pt>
                <c:pt idx="3">
                  <c:v>11.709085104360163</c:v>
                </c:pt>
                <c:pt idx="4">
                  <c:v>12.10914569109481</c:v>
                </c:pt>
                <c:pt idx="5">
                  <c:v>14.28649449109481</c:v>
                </c:pt>
              </c:numCache>
            </c:numRef>
          </c:val>
          <c:extLst>
            <c:ext xmlns:c16="http://schemas.microsoft.com/office/drawing/2014/chart" uri="{C3380CC4-5D6E-409C-BE32-E72D297353CC}">
              <c16:uniqueId val="{00000000-3613-4A18-B8E4-FEB028338BA6}"/>
            </c:ext>
          </c:extLst>
        </c:ser>
        <c:dLbls>
          <c:showLegendKey val="0"/>
          <c:showVal val="0"/>
          <c:showCatName val="0"/>
          <c:showSerName val="0"/>
          <c:showPercent val="0"/>
          <c:showBubbleSize val="0"/>
        </c:dLbls>
        <c:gapWidth val="182"/>
        <c:axId val="19146863"/>
        <c:axId val="338742815"/>
      </c:barChart>
      <c:barChart>
        <c:barDir val="bar"/>
        <c:grouping val="clustered"/>
        <c:varyColors val="0"/>
        <c:ser>
          <c:idx val="1"/>
          <c:order val="1"/>
          <c:spPr>
            <a:solidFill>
              <a:schemeClr val="accent2"/>
            </a:solidFill>
            <a:ln>
              <a:noFill/>
            </a:ln>
            <a:effectLst/>
          </c:spPr>
          <c:invertIfNegative val="0"/>
          <c:cat>
            <c:strRef>
              <c:f>sensitivity!$L$5:$L$10</c:f>
              <c:strCache>
                <c:ptCount val="6"/>
                <c:pt idx="0">
                  <c:v>Energy consumption of PL slot-die coating, kWh (0.05)</c:v>
                </c:pt>
                <c:pt idx="1">
                  <c:v>Energy consumption of PL annealing, kWh (0.266)</c:v>
                </c:pt>
                <c:pt idx="2">
                  <c:v>Energy consumption of PL drying, kWh (0.710)</c:v>
                </c:pt>
                <c:pt idx="3">
                  <c:v>Recycling level of substrate (100%)</c:v>
                </c:pt>
                <c:pt idx="4">
                  <c:v>Utilization efficiency of gold (100%)</c:v>
                </c:pt>
                <c:pt idx="5">
                  <c:v>Recycling level of gold (100%)</c:v>
                </c:pt>
              </c:strCache>
            </c:strRef>
          </c:cat>
          <c:val>
            <c:numRef>
              <c:f>sensitivity!$R$5:$R$10</c:f>
              <c:numCache>
                <c:formatCode>General</c:formatCode>
                <c:ptCount val="6"/>
                <c:pt idx="0">
                  <c:v>9.9388960911004904</c:v>
                </c:pt>
                <c:pt idx="1">
                  <c:v>9.9696160692072588</c:v>
                </c:pt>
                <c:pt idx="2">
                  <c:v>10.032648032728003</c:v>
                </c:pt>
                <c:pt idx="3">
                  <c:v>9.9317968910948125</c:v>
                </c:pt>
                <c:pt idx="4">
                  <c:v>9.9317968910948125</c:v>
                </c:pt>
                <c:pt idx="5">
                  <c:v>9.9317968910948125</c:v>
                </c:pt>
              </c:numCache>
            </c:numRef>
          </c:val>
          <c:extLst>
            <c:ext xmlns:c16="http://schemas.microsoft.com/office/drawing/2014/chart" uri="{C3380CC4-5D6E-409C-BE32-E72D297353CC}">
              <c16:uniqueId val="{00000002-3613-4A18-B8E4-FEB028338BA6}"/>
            </c:ext>
          </c:extLst>
        </c:ser>
        <c:dLbls>
          <c:showLegendKey val="0"/>
          <c:showVal val="0"/>
          <c:showCatName val="0"/>
          <c:showSerName val="0"/>
          <c:showPercent val="0"/>
          <c:showBubbleSize val="0"/>
        </c:dLbls>
        <c:gapWidth val="182"/>
        <c:axId val="148309103"/>
        <c:axId val="230173423"/>
      </c:barChart>
      <c:catAx>
        <c:axId val="1914686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42815"/>
        <c:crossesAt val="9.9317968910000012"/>
        <c:auto val="1"/>
        <c:lblAlgn val="ctr"/>
        <c:lblOffset val="100"/>
        <c:noMultiLvlLbl val="0"/>
      </c:catAx>
      <c:valAx>
        <c:axId val="338742815"/>
        <c:scaling>
          <c:orientation val="minMax"/>
          <c:max val="15"/>
          <c:min val="9.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863"/>
        <c:crosses val="autoZero"/>
        <c:crossBetween val="between"/>
      </c:valAx>
      <c:valAx>
        <c:axId val="230173423"/>
        <c:scaling>
          <c:orientation val="minMax"/>
          <c:max val="15"/>
          <c:min val="9.5"/>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09103"/>
        <c:crosses val="max"/>
        <c:crossBetween val="between"/>
      </c:valAx>
      <c:catAx>
        <c:axId val="148309103"/>
        <c:scaling>
          <c:orientation val="minMax"/>
        </c:scaling>
        <c:delete val="1"/>
        <c:axPos val="l"/>
        <c:numFmt formatCode="General" sourceLinked="1"/>
        <c:majorTickMark val="out"/>
        <c:minorTickMark val="none"/>
        <c:tickLblPos val="nextTo"/>
        <c:crossAx val="230173423"/>
        <c:crossesAt val="9.9317968910000012"/>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85311</xdr:colOff>
      <xdr:row>54</xdr:row>
      <xdr:rowOff>19055</xdr:rowOff>
    </xdr:from>
    <xdr:to>
      <xdr:col>19</xdr:col>
      <xdr:colOff>393423</xdr:colOff>
      <xdr:row>83</xdr:row>
      <xdr:rowOff>142874</xdr:rowOff>
    </xdr:to>
    <xdr:graphicFrame macro="">
      <xdr:nvGraphicFramePr>
        <xdr:cNvPr id="3" name="Chart 2">
          <a:extLst>
            <a:ext uri="{FF2B5EF4-FFF2-40B4-BE49-F238E27FC236}">
              <a16:creationId xmlns:a16="http://schemas.microsoft.com/office/drawing/2014/main" id="{3849380D-D4A7-415F-A574-06FBFCC24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2004392</xdr:colOff>
      <xdr:row>36</xdr:row>
      <xdr:rowOff>115956</xdr:rowOff>
    </xdr:from>
    <xdr:to>
      <xdr:col>5</xdr:col>
      <xdr:colOff>530087</xdr:colOff>
      <xdr:row>45</xdr:row>
      <xdr:rowOff>133349</xdr:rowOff>
    </xdr:to>
    <xdr:graphicFrame macro="">
      <xdr:nvGraphicFramePr>
        <xdr:cNvPr id="4" name="Chart 3">
          <a:extLst>
            <a:ext uri="{FF2B5EF4-FFF2-40B4-BE49-F238E27FC236}">
              <a16:creationId xmlns:a16="http://schemas.microsoft.com/office/drawing/2014/main" id="{E562A003-563B-4DBF-8A1A-A3E7351AB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356153</xdr:colOff>
      <xdr:row>36</xdr:row>
      <xdr:rowOff>124238</xdr:rowOff>
    </xdr:from>
    <xdr:to>
      <xdr:col>9</xdr:col>
      <xdr:colOff>720587</xdr:colOff>
      <xdr:row>46</xdr:row>
      <xdr:rowOff>116784</xdr:rowOff>
    </xdr:to>
    <xdr:graphicFrame macro="">
      <xdr:nvGraphicFramePr>
        <xdr:cNvPr id="6" name="Chart 5">
          <a:extLst>
            <a:ext uri="{FF2B5EF4-FFF2-40B4-BE49-F238E27FC236}">
              <a16:creationId xmlns:a16="http://schemas.microsoft.com/office/drawing/2014/main" id="{2A3C2152-AC01-4AE8-8CCB-96905343B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1880153</xdr:colOff>
      <xdr:row>47</xdr:row>
      <xdr:rowOff>74543</xdr:rowOff>
    </xdr:from>
    <xdr:to>
      <xdr:col>6</xdr:col>
      <xdr:colOff>107675</xdr:colOff>
      <xdr:row>54</xdr:row>
      <xdr:rowOff>91936</xdr:rowOff>
    </xdr:to>
    <xdr:graphicFrame macro="">
      <xdr:nvGraphicFramePr>
        <xdr:cNvPr id="2" name="Chart 1">
          <a:extLst>
            <a:ext uri="{FF2B5EF4-FFF2-40B4-BE49-F238E27FC236}">
              <a16:creationId xmlns:a16="http://schemas.microsoft.com/office/drawing/2014/main" id="{ECD63F9C-FC32-49AB-A4F0-987A93C01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600075</xdr:colOff>
      <xdr:row>7</xdr:row>
      <xdr:rowOff>38100</xdr:rowOff>
    </xdr:from>
    <xdr:to>
      <xdr:col>27</xdr:col>
      <xdr:colOff>221559</xdr:colOff>
      <xdr:row>21</xdr:row>
      <xdr:rowOff>114300</xdr:rowOff>
    </xdr:to>
    <xdr:graphicFrame macro="">
      <xdr:nvGraphicFramePr>
        <xdr:cNvPr id="11" name="Chart 10">
          <a:extLst>
            <a:ext uri="{FF2B5EF4-FFF2-40B4-BE49-F238E27FC236}">
              <a16:creationId xmlns:a16="http://schemas.microsoft.com/office/drawing/2014/main" id="{2F17301A-C30C-44E4-9125-E1860C0E1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252412</xdr:colOff>
      <xdr:row>22</xdr:row>
      <xdr:rowOff>133350</xdr:rowOff>
    </xdr:from>
    <xdr:to>
      <xdr:col>27</xdr:col>
      <xdr:colOff>508344</xdr:colOff>
      <xdr:row>37</xdr:row>
      <xdr:rowOff>19050</xdr:rowOff>
    </xdr:to>
    <xdr:graphicFrame macro="">
      <xdr:nvGraphicFramePr>
        <xdr:cNvPr id="12" name="Chart 11">
          <a:extLst>
            <a:ext uri="{FF2B5EF4-FFF2-40B4-BE49-F238E27FC236}">
              <a16:creationId xmlns:a16="http://schemas.microsoft.com/office/drawing/2014/main" id="{77562A59-8AA5-4217-8E36-D2129999E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16</xdr:row>
      <xdr:rowOff>0</xdr:rowOff>
    </xdr:from>
    <xdr:to>
      <xdr:col>7</xdr:col>
      <xdr:colOff>504001</xdr:colOff>
      <xdr:row>37</xdr:row>
      <xdr:rowOff>47119</xdr:rowOff>
    </xdr:to>
    <xdr:pic>
      <xdr:nvPicPr>
        <xdr:cNvPr id="3" name="Picture 2">
          <a:extLst>
            <a:ext uri="{FF2B5EF4-FFF2-40B4-BE49-F238E27FC236}">
              <a16:creationId xmlns:a16="http://schemas.microsoft.com/office/drawing/2014/main" id="{A799A445-2CD5-4D69-A27C-454427DD240C}"/>
            </a:ext>
          </a:extLst>
        </xdr:cNvPr>
        <xdr:cNvPicPr>
          <a:picLocks noChangeAspect="1"/>
        </xdr:cNvPicPr>
      </xdr:nvPicPr>
      <xdr:blipFill>
        <a:blip xmlns:r="http://schemas.openxmlformats.org/officeDocument/2006/relationships" r:embed="rId3"/>
        <a:stretch>
          <a:fillRect/>
        </a:stretch>
      </xdr:blipFill>
      <xdr:spPr>
        <a:xfrm>
          <a:off x="0" y="3048000"/>
          <a:ext cx="6590476" cy="4047619"/>
        </a:xfrm>
        <a:prstGeom prst="rect">
          <a:avLst/>
        </a:prstGeom>
      </xdr:spPr>
    </xdr:pic>
    <xdr:clientData/>
  </xdr:twoCellAnchor>
  <xdr:twoCellAnchor editAs="oneCell">
    <xdr:from>
      <xdr:col>8</xdr:col>
      <xdr:colOff>0</xdr:colOff>
      <xdr:row>16</xdr:row>
      <xdr:rowOff>0</xdr:rowOff>
    </xdr:from>
    <xdr:to>
      <xdr:col>18</xdr:col>
      <xdr:colOff>494476</xdr:colOff>
      <xdr:row>37</xdr:row>
      <xdr:rowOff>47119</xdr:rowOff>
    </xdr:to>
    <xdr:pic>
      <xdr:nvPicPr>
        <xdr:cNvPr id="5" name="Picture 4">
          <a:extLst>
            <a:ext uri="{FF2B5EF4-FFF2-40B4-BE49-F238E27FC236}">
              <a16:creationId xmlns:a16="http://schemas.microsoft.com/office/drawing/2014/main" id="{FF3E065D-AD20-46F0-9477-4CA77A60BA83}"/>
            </a:ext>
          </a:extLst>
        </xdr:cNvPr>
        <xdr:cNvPicPr>
          <a:picLocks noChangeAspect="1"/>
        </xdr:cNvPicPr>
      </xdr:nvPicPr>
      <xdr:blipFill>
        <a:blip xmlns:r="http://schemas.openxmlformats.org/officeDocument/2006/relationships" r:embed="rId4"/>
        <a:stretch>
          <a:fillRect/>
        </a:stretch>
      </xdr:blipFill>
      <xdr:spPr>
        <a:xfrm>
          <a:off x="6696075" y="3048000"/>
          <a:ext cx="6590476" cy="40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361950</xdr:colOff>
      <xdr:row>9</xdr:row>
      <xdr:rowOff>138112</xdr:rowOff>
    </xdr:from>
    <xdr:to>
      <xdr:col>15</xdr:col>
      <xdr:colOff>57150</xdr:colOff>
      <xdr:row>24</xdr:row>
      <xdr:rowOff>23812</xdr:rowOff>
    </xdr:to>
    <xdr:graphicFrame macro="">
      <xdr:nvGraphicFramePr>
        <xdr:cNvPr id="2" name="Chart 1">
          <a:extLst>
            <a:ext uri="{FF2B5EF4-FFF2-40B4-BE49-F238E27FC236}">
              <a16:creationId xmlns:a16="http://schemas.microsoft.com/office/drawing/2014/main" id="{5DABE52D-6BCF-45A9-B62B-C1F8532CE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323850</xdr:colOff>
      <xdr:row>9</xdr:row>
      <xdr:rowOff>128587</xdr:rowOff>
    </xdr:from>
    <xdr:to>
      <xdr:col>23</xdr:col>
      <xdr:colOff>19050</xdr:colOff>
      <xdr:row>24</xdr:row>
      <xdr:rowOff>14287</xdr:rowOff>
    </xdr:to>
    <xdr:graphicFrame macro="">
      <xdr:nvGraphicFramePr>
        <xdr:cNvPr id="3" name="Chart 2">
          <a:extLst>
            <a:ext uri="{FF2B5EF4-FFF2-40B4-BE49-F238E27FC236}">
              <a16:creationId xmlns:a16="http://schemas.microsoft.com/office/drawing/2014/main" id="{B1387606-FA41-4EF1-A03D-324FBCAB6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390525</xdr:colOff>
      <xdr:row>3</xdr:row>
      <xdr:rowOff>0</xdr:rowOff>
    </xdr:from>
    <xdr:to>
      <xdr:col>26</xdr:col>
      <xdr:colOff>85725</xdr:colOff>
      <xdr:row>17</xdr:row>
      <xdr:rowOff>9525</xdr:rowOff>
    </xdr:to>
    <xdr:graphicFrame macro="">
      <xdr:nvGraphicFramePr>
        <xdr:cNvPr id="4" name="Chart 3">
          <a:extLst>
            <a:ext uri="{FF2B5EF4-FFF2-40B4-BE49-F238E27FC236}">
              <a16:creationId xmlns:a16="http://schemas.microsoft.com/office/drawing/2014/main" id="{8F018443-93F4-4FA8-B772-88D8CBBBE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404812</xdr:colOff>
      <xdr:row>17</xdr:row>
      <xdr:rowOff>171450</xdr:rowOff>
    </xdr:from>
    <xdr:to>
      <xdr:col>26</xdr:col>
      <xdr:colOff>100012</xdr:colOff>
      <xdr:row>32</xdr:row>
      <xdr:rowOff>57150</xdr:rowOff>
    </xdr:to>
    <xdr:graphicFrame macro="">
      <xdr:nvGraphicFramePr>
        <xdr:cNvPr id="5" name="Chart 4">
          <a:extLst>
            <a:ext uri="{FF2B5EF4-FFF2-40B4-BE49-F238E27FC236}">
              <a16:creationId xmlns:a16="http://schemas.microsoft.com/office/drawing/2014/main" id="{862FA77D-A0CF-43BD-87B8-7555DFE43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85311</xdr:colOff>
      <xdr:row>55</xdr:row>
      <xdr:rowOff>19055</xdr:rowOff>
    </xdr:from>
    <xdr:to>
      <xdr:col>19</xdr:col>
      <xdr:colOff>393423</xdr:colOff>
      <xdr:row>84</xdr:row>
      <xdr:rowOff>142874</xdr:rowOff>
    </xdr:to>
    <xdr:graphicFrame macro="">
      <xdr:nvGraphicFramePr>
        <xdr:cNvPr id="2" name="Chart 1">
          <a:extLst>
            <a:ext uri="{FF2B5EF4-FFF2-40B4-BE49-F238E27FC236}">
              <a16:creationId xmlns:a16="http://schemas.microsoft.com/office/drawing/2014/main" id="{9981CB01-A116-41AA-8342-A8476CC13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2004392</xdr:colOff>
      <xdr:row>37</xdr:row>
      <xdr:rowOff>115956</xdr:rowOff>
    </xdr:from>
    <xdr:to>
      <xdr:col>5</xdr:col>
      <xdr:colOff>530087</xdr:colOff>
      <xdr:row>46</xdr:row>
      <xdr:rowOff>133349</xdr:rowOff>
    </xdr:to>
    <xdr:graphicFrame macro="">
      <xdr:nvGraphicFramePr>
        <xdr:cNvPr id="3" name="Chart 2">
          <a:extLst>
            <a:ext uri="{FF2B5EF4-FFF2-40B4-BE49-F238E27FC236}">
              <a16:creationId xmlns:a16="http://schemas.microsoft.com/office/drawing/2014/main" id="{AEE4B602-879A-4C26-AFC4-6E6C55439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356153</xdr:colOff>
      <xdr:row>37</xdr:row>
      <xdr:rowOff>124238</xdr:rowOff>
    </xdr:from>
    <xdr:to>
      <xdr:col>9</xdr:col>
      <xdr:colOff>720587</xdr:colOff>
      <xdr:row>47</xdr:row>
      <xdr:rowOff>116784</xdr:rowOff>
    </xdr:to>
    <xdr:graphicFrame macro="">
      <xdr:nvGraphicFramePr>
        <xdr:cNvPr id="4" name="Chart 3">
          <a:extLst>
            <a:ext uri="{FF2B5EF4-FFF2-40B4-BE49-F238E27FC236}">
              <a16:creationId xmlns:a16="http://schemas.microsoft.com/office/drawing/2014/main" id="{B9761751-7D77-4526-A629-65B657E98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1880153</xdr:colOff>
      <xdr:row>48</xdr:row>
      <xdr:rowOff>74543</xdr:rowOff>
    </xdr:from>
    <xdr:to>
      <xdr:col>6</xdr:col>
      <xdr:colOff>107675</xdr:colOff>
      <xdr:row>55</xdr:row>
      <xdr:rowOff>91936</xdr:rowOff>
    </xdr:to>
    <xdr:graphicFrame macro="">
      <xdr:nvGraphicFramePr>
        <xdr:cNvPr id="5" name="Chart 4">
          <a:extLst>
            <a:ext uri="{FF2B5EF4-FFF2-40B4-BE49-F238E27FC236}">
              <a16:creationId xmlns:a16="http://schemas.microsoft.com/office/drawing/2014/main" id="{27DA6190-DD22-4E29-BCD9-82A9ED148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Other%20inventory.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Inventory%20for%20recycling.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ecycling/Macro-enable/Module_4_recycling.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0_Raw%20materi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8_PbBr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6_FAI%20pr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7_MAB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0_Raw%20materials-update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3_PTAA%20solution-new%20modu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Module_1_LBSO.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Module_3_mix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I2"/>
      <sheetName val="CH3NH3I"/>
      <sheetName val="FTO glass"/>
      <sheetName val="ITO glass"/>
      <sheetName val="BL-TiO2 ink"/>
      <sheetName val="spiro-OMeTAD"/>
      <sheetName val="C60"/>
      <sheetName val="PCBM_old"/>
      <sheetName val="PCBM_new"/>
      <sheetName val="PCBM"/>
      <sheetName val="Thiophene"/>
      <sheetName val="PEDOT PSS"/>
    </sheetNames>
    <sheetDataSet>
      <sheetData sheetId="0">
        <row r="18">
          <cell r="D18">
            <v>4.5641478346943822</v>
          </cell>
          <cell r="M18">
            <v>54.273073573167295</v>
          </cell>
          <cell r="N18">
            <v>1.0468647769178421</v>
          </cell>
          <cell r="O18">
            <v>3.8979307535263539</v>
          </cell>
          <cell r="P18">
            <v>1.0346162212323682</v>
          </cell>
          <cell r="Q18">
            <v>7.1263336550358825E-2</v>
          </cell>
          <cell r="R18">
            <v>1.9784839253897545E-3</v>
          </cell>
          <cell r="S18">
            <v>155.93446269487751</v>
          </cell>
          <cell r="T18">
            <v>0.19160131588715665</v>
          </cell>
          <cell r="U18">
            <v>78.202403056174219</v>
          </cell>
          <cell r="V18">
            <v>5.15849037985647E-3</v>
          </cell>
          <cell r="W18">
            <v>0.63220118225686706</v>
          </cell>
          <cell r="X18">
            <v>6.6310885300668149E-4</v>
          </cell>
          <cell r="Y18">
            <v>4.462579856471171E-7</v>
          </cell>
          <cell r="Z18">
            <v>1.1047205555555552E-2</v>
          </cell>
          <cell r="AA18">
            <v>1.554942625587726E-2</v>
          </cell>
          <cell r="AB18">
            <v>3.125296795347686E-2</v>
          </cell>
          <cell r="AC18">
            <v>5.3766239785944065E-3</v>
          </cell>
          <cell r="AD18">
            <v>4.0204006328878987E-2</v>
          </cell>
          <cell r="AE18">
            <v>1.1739803605543183E-2</v>
          </cell>
          <cell r="AF18">
            <v>0.19118482430091563</v>
          </cell>
          <cell r="AG18">
            <v>1.2205381316505814</v>
          </cell>
          <cell r="AH18">
            <v>0.15340474263796092</v>
          </cell>
        </row>
      </sheetData>
      <sheetData sheetId="1">
        <row r="17">
          <cell r="D17">
            <v>161.5361359123435</v>
          </cell>
        </row>
      </sheetData>
      <sheetData sheetId="2">
        <row r="41">
          <cell r="D41">
            <v>0.6900927939999999</v>
          </cell>
          <cell r="M41">
            <v>16.870840664507959</v>
          </cell>
          <cell r="N41">
            <v>1.2304100629300001</v>
          </cell>
          <cell r="O41">
            <v>0.71155339899999992</v>
          </cell>
          <cell r="P41">
            <v>0.16598633829999998</v>
          </cell>
          <cell r="Q41">
            <v>1.9207721611635292E-2</v>
          </cell>
          <cell r="R41">
            <v>4.0224563808999997E-4</v>
          </cell>
          <cell r="S41">
            <v>24.778602629582721</v>
          </cell>
          <cell r="T41">
            <v>4.3648278519999993E-2</v>
          </cell>
          <cell r="U41">
            <v>17.545004398641137</v>
          </cell>
          <cell r="V41">
            <v>2.1058137381999996E-3</v>
          </cell>
          <cell r="W41">
            <v>7.485683762029999</v>
          </cell>
          <cell r="X41">
            <v>5.2843976053999992E-4</v>
          </cell>
          <cell r="Y41">
            <v>4.481888471999999E-8</v>
          </cell>
          <cell r="Z41">
            <v>6.2016636211999999E-3</v>
          </cell>
          <cell r="AA41">
            <v>9.5497049174216204E-3</v>
          </cell>
          <cell r="AB41">
            <v>1.2424807466E-2</v>
          </cell>
          <cell r="AC41">
            <v>1.4737965990842938E-3</v>
          </cell>
          <cell r="AD41">
            <v>2.9310167130999997E-2</v>
          </cell>
          <cell r="AE41">
            <v>1.5347061815999996E-3</v>
          </cell>
          <cell r="AF41">
            <v>0.10118733074544357</v>
          </cell>
          <cell r="AG41">
            <v>0.20367506328805784</v>
          </cell>
          <cell r="AH41">
            <v>0.36744772991999997</v>
          </cell>
        </row>
      </sheetData>
      <sheetData sheetId="3">
        <row r="14">
          <cell r="D14">
            <v>16.837863429999999</v>
          </cell>
        </row>
      </sheetData>
      <sheetData sheetId="4">
        <row r="14">
          <cell r="D14">
            <v>1.816623717028</v>
          </cell>
          <cell r="M14">
            <v>49.235883967569862</v>
          </cell>
          <cell r="N14">
            <v>1.031942146719008</v>
          </cell>
          <cell r="O14">
            <v>1.571679025116</v>
          </cell>
          <cell r="P14">
            <v>0.56452762463599993</v>
          </cell>
          <cell r="Q14">
            <v>3.6490840867999995E-2</v>
          </cell>
          <cell r="R14">
            <v>6.7762399148959987E-4</v>
          </cell>
          <cell r="S14">
            <v>22.165093164199998</v>
          </cell>
          <cell r="T14">
            <v>0.1099822682052</v>
          </cell>
          <cell r="U14">
            <v>18.255521079160001</v>
          </cell>
          <cell r="V14">
            <v>6.0900339802000001E-3</v>
          </cell>
          <cell r="W14">
            <v>6.8993196383600006E-2</v>
          </cell>
          <cell r="X14">
            <v>1.068494039446E-3</v>
          </cell>
          <cell r="Y14">
            <v>1.435786231096E-7</v>
          </cell>
          <cell r="Z14">
            <v>4.5740298416480007E-3</v>
          </cell>
          <cell r="AA14">
            <v>5.7932781494399992E-3</v>
          </cell>
          <cell r="AB14">
            <v>1.4153469894000001E-2</v>
          </cell>
          <cell r="AC14">
            <v>7.7372104642912014E-3</v>
          </cell>
          <cell r="AD14">
            <v>5.9085341149744001E-2</v>
          </cell>
          <cell r="AE14">
            <v>0.34168602040953444</v>
          </cell>
          <cell r="AF14">
            <v>0.32895532035960001</v>
          </cell>
          <cell r="AG14">
            <v>0.21573273067080001</v>
          </cell>
          <cell r="AH14">
            <v>7.1616409671400011E-2</v>
          </cell>
        </row>
      </sheetData>
      <sheetData sheetId="5">
        <row r="33">
          <cell r="D33">
            <v>121.5468471027569</v>
          </cell>
        </row>
      </sheetData>
      <sheetData sheetId="6"/>
      <sheetData sheetId="7"/>
      <sheetData sheetId="8">
        <row r="16">
          <cell r="D16">
            <v>681.91697298744145</v>
          </cell>
        </row>
      </sheetData>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with TiO2"/>
      <sheetName val="ITO"/>
    </sheetNames>
    <sheetDataSet>
      <sheetData sheetId="0">
        <row r="25">
          <cell r="Q25">
            <v>2.6804641399543874</v>
          </cell>
          <cell r="U25">
            <v>2.6824762082719671</v>
          </cell>
          <cell r="V25">
            <v>3.9863997770141872</v>
          </cell>
        </row>
        <row r="33">
          <cell r="U33">
            <v>6.0357972033270002</v>
          </cell>
          <cell r="V33">
            <v>140.95794733817957</v>
          </cell>
        </row>
      </sheetData>
      <sheetData sheetId="1">
        <row r="19">
          <cell r="E19">
            <v>0.15812767160784313</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inventory"/>
      <sheetName val="sensitivity"/>
      <sheetName val="energy consumption"/>
      <sheetName val="results"/>
      <sheetName val="uncertainty"/>
      <sheetName val="CB_DATA_"/>
    </sheetNames>
    <sheetDataSet>
      <sheetData sheetId="0">
        <row r="2">
          <cell r="B2">
            <v>0.9</v>
          </cell>
        </row>
        <row r="13">
          <cell r="K13" t="str">
            <v>FTO glass</v>
          </cell>
          <cell r="L13">
            <v>0.34780676817599987</v>
          </cell>
          <cell r="M13">
            <v>8.5029036949120105</v>
          </cell>
        </row>
        <row r="14">
          <cell r="K14" t="str">
            <v>BL-TiO₂ ink</v>
          </cell>
          <cell r="L14">
            <v>2.2765392121238096E-3</v>
          </cell>
          <cell r="M14">
            <v>6.1700956254785687E-2</v>
          </cell>
        </row>
        <row r="15">
          <cell r="K15" t="str">
            <v>MP-TiO₂</v>
          </cell>
          <cell r="L15">
            <v>4.364040239999999E-4</v>
          </cell>
          <cell r="M15">
            <v>4.6809738838835997E-3</v>
          </cell>
        </row>
        <row r="16">
          <cell r="K16" t="str">
            <v>2-methoxyethanol</v>
          </cell>
          <cell r="L16">
            <v>5.7271391279999984E-4</v>
          </cell>
          <cell r="M16">
            <v>1.6125322627587774E-2</v>
          </cell>
        </row>
        <row r="17">
          <cell r="K17" t="str">
            <v>PbI₂</v>
          </cell>
          <cell r="L17">
            <v>3.5016340047384839E-3</v>
          </cell>
          <cell r="M17">
            <v>4.1638537323627607E-2</v>
          </cell>
        </row>
        <row r="18">
          <cell r="K18" t="str">
            <v>PbBr₂</v>
          </cell>
          <cell r="L18">
            <v>6.0294176243999574E-5</v>
          </cell>
          <cell r="M18">
            <v>7.9057775962192297E-4</v>
          </cell>
        </row>
        <row r="19">
          <cell r="K19" t="str">
            <v>FAI</v>
          </cell>
          <cell r="L19">
            <v>2.0114480946874777E-2</v>
          </cell>
          <cell r="M19">
            <v>0.35631319119228022</v>
          </cell>
        </row>
        <row r="20">
          <cell r="K20" t="str">
            <v>MABr</v>
          </cell>
          <cell r="L20">
            <v>0.1114344024570799</v>
          </cell>
          <cell r="M20">
            <v>1.9630136677403471</v>
          </cell>
        </row>
        <row r="21">
          <cell r="K21" t="str">
            <v>DMF</v>
          </cell>
          <cell r="L21">
            <v>2.7778789137676346E-3</v>
          </cell>
          <cell r="M21">
            <v>7.5556306550594685E-2</v>
          </cell>
        </row>
        <row r="22">
          <cell r="K22" t="str">
            <v>DMSO</v>
          </cell>
          <cell r="L22">
            <v>3.5756612254426892E-4</v>
          </cell>
          <cell r="M22">
            <v>1.6499999309507574E-2</v>
          </cell>
        </row>
        <row r="23">
          <cell r="K23" t="str">
            <v>Isopropanol</v>
          </cell>
          <cell r="L23">
            <v>9.8536232918946171E-2</v>
          </cell>
          <cell r="M23">
            <v>3.2570821583550118</v>
          </cell>
        </row>
        <row r="24">
          <cell r="K24" t="str">
            <v>PTAA solution</v>
          </cell>
          <cell r="L24">
            <v>4.2266595161539466E-2</v>
          </cell>
          <cell r="M24">
            <v>0.78923824670233655</v>
          </cell>
        </row>
        <row r="25">
          <cell r="K25" t="str">
            <v>Cu</v>
          </cell>
          <cell r="L25">
            <v>3.7954882559999999E-3</v>
          </cell>
          <cell r="M25">
            <v>5.4579072598579199E-2</v>
          </cell>
        </row>
        <row r="26">
          <cell r="K26" t="str">
            <v>Ar</v>
          </cell>
          <cell r="L26">
            <v>0.29058656969696967</v>
          </cell>
          <cell r="M26">
            <v>4.3659558183030303</v>
          </cell>
        </row>
        <row r="27">
          <cell r="K27" t="str">
            <v>O₂</v>
          </cell>
          <cell r="L27">
            <v>1.2806957575757575E-4</v>
          </cell>
          <cell r="M27">
            <v>1.7448388645818179E-3</v>
          </cell>
        </row>
        <row r="28">
          <cell r="K28" t="str">
            <v>Adhesive</v>
          </cell>
          <cell r="L28">
            <v>5.8513339999999997E-2</v>
          </cell>
          <cell r="M28">
            <v>1.121768096012</v>
          </cell>
        </row>
        <row r="29">
          <cell r="K29" t="str">
            <v>PET</v>
          </cell>
          <cell r="L29">
            <v>0.19433649</v>
          </cell>
          <cell r="M29">
            <v>4.876431431436</v>
          </cell>
        </row>
        <row r="30">
          <cell r="L30">
            <v>0</v>
          </cell>
          <cell r="M30">
            <v>0</v>
          </cell>
        </row>
        <row r="47">
          <cell r="L47">
            <v>1.2757696199999999E-4</v>
          </cell>
          <cell r="M47">
            <v>1.0661210680980003E-3</v>
          </cell>
        </row>
        <row r="52">
          <cell r="L52">
            <v>3.1911057464590917E-3</v>
          </cell>
          <cell r="M52">
            <v>0.10213142163525465</v>
          </cell>
        </row>
      </sheetData>
      <sheetData sheetId="1" refreshError="1"/>
      <sheetData sheetId="2">
        <row r="3">
          <cell r="H3" t="str">
            <v>Spray pyrolysis</v>
          </cell>
          <cell r="I3">
            <v>4.1750057176257169E-5</v>
          </cell>
          <cell r="R3">
            <v>7.3462520841565228E-4</v>
          </cell>
        </row>
        <row r="4">
          <cell r="H4" t="str">
            <v>ETL slot-die coating</v>
          </cell>
          <cell r="I4">
            <v>1.4790000011831994E-3</v>
          </cell>
          <cell r="R4">
            <v>2.6024172362902664E-2</v>
          </cell>
        </row>
        <row r="5">
          <cell r="H5" t="str">
            <v>ETL calcining</v>
          </cell>
          <cell r="I5">
            <v>3.0425142881482956</v>
          </cell>
          <cell r="R5">
            <v>53.535440289399759</v>
          </cell>
        </row>
        <row r="6">
          <cell r="H6" t="str">
            <v>PL 1st-step slot-die coating</v>
          </cell>
          <cell r="I6">
            <v>2.1128571445474281E-2</v>
          </cell>
          <cell r="R6">
            <v>0.37177389089860957</v>
          </cell>
        </row>
        <row r="7">
          <cell r="H7" t="str">
            <v>PL 2nd-step slot-die coating</v>
          </cell>
          <cell r="I7">
            <v>2.1128571445474281E-2</v>
          </cell>
          <cell r="R7">
            <v>0.37177389089860957</v>
          </cell>
        </row>
        <row r="8">
          <cell r="H8" t="str">
            <v>PL 1st-step drying</v>
          </cell>
          <cell r="I8">
            <v>3.0425142881482961</v>
          </cell>
          <cell r="R8">
            <v>53.535440289399773</v>
          </cell>
        </row>
        <row r="9">
          <cell r="H9" t="str">
            <v>PL 2nd-step drying</v>
          </cell>
          <cell r="I9">
            <v>4.5637714322224454</v>
          </cell>
          <cell r="R9">
            <v>80.303160434099667</v>
          </cell>
        </row>
        <row r="10">
          <cell r="H10" t="str">
            <v>PL annealing</v>
          </cell>
          <cell r="I10">
            <v>3.0425142881482961</v>
          </cell>
          <cell r="R10">
            <v>53.535440289399773</v>
          </cell>
        </row>
        <row r="11">
          <cell r="H11" t="str">
            <v>HTL slot-die coating</v>
          </cell>
          <cell r="I11">
            <v>9.8600000078879993E-2</v>
          </cell>
          <cell r="R11">
            <v>1.7349448241935115</v>
          </cell>
        </row>
        <row r="12">
          <cell r="H12" t="str">
            <v>Electrode sputtering</v>
          </cell>
          <cell r="I12">
            <v>5.5216000044172793</v>
          </cell>
          <cell r="R12">
            <v>97.156910154836652</v>
          </cell>
        </row>
        <row r="13">
          <cell r="H13" t="str">
            <v>Lamination</v>
          </cell>
          <cell r="I13">
            <v>8.8740000070991979E-3</v>
          </cell>
          <cell r="R13">
            <v>0.15614503417741601</v>
          </cell>
        </row>
        <row r="18">
          <cell r="I18">
            <v>1.6328160013062525E-2</v>
          </cell>
          <cell r="R18">
            <v>0.28730686288644547</v>
          </cell>
        </row>
      </sheetData>
      <sheetData sheetId="3">
        <row r="1">
          <cell r="G1" t="str">
            <v>Carbon footprint</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efreshError="1">
        <row r="3">
          <cell r="D3">
            <v>2.4752999999999998</v>
          </cell>
        </row>
        <row r="7">
          <cell r="D7">
            <v>0.70992</v>
          </cell>
          <cell r="E7">
            <v>5.7651999999999998E-3</v>
          </cell>
          <cell r="F7">
            <v>12.423999999999999</v>
          </cell>
          <cell r="G7">
            <v>4.0747E-4</v>
          </cell>
          <cell r="H7">
            <v>4.2870999999999999E-2</v>
          </cell>
          <cell r="I7">
            <v>4.6647999999999998E-5</v>
          </cell>
          <cell r="J7">
            <v>2.8061999999999999E-6</v>
          </cell>
          <cell r="K7">
            <v>1.6684999999999998E-2</v>
          </cell>
          <cell r="L7">
            <v>1.8246E-3</v>
          </cell>
          <cell r="M7">
            <v>12.491602724200002</v>
          </cell>
          <cell r="N7">
            <v>8.1276999999999999E-4</v>
          </cell>
          <cell r="O7">
            <v>0.66998999999999997</v>
          </cell>
          <cell r="P7">
            <v>0.2959</v>
          </cell>
          <cell r="Q7">
            <v>2.5509999999999999E-3</v>
          </cell>
          <cell r="R7">
            <v>1.2449000000000001E-5</v>
          </cell>
          <cell r="S7">
            <v>5.2184999999999997</v>
          </cell>
          <cell r="T7">
            <v>4.2230000000000002E-3</v>
          </cell>
          <cell r="U7">
            <v>1.5693999999999999</v>
          </cell>
          <cell r="V7">
            <v>6.1474999999999995E-4</v>
          </cell>
          <cell r="W7">
            <v>2.9989999999999999E-3</v>
          </cell>
          <cell r="X7">
            <v>1.1035E-4</v>
          </cell>
          <cell r="Y7">
            <v>5.9294000000000001E-8</v>
          </cell>
          <cell r="Z7">
            <v>7.4861999999999997E-4</v>
          </cell>
          <cell r="AA7">
            <v>2.0135999999999999E-3</v>
          </cell>
          <cell r="AB7">
            <v>2.8999999999999998E-3</v>
          </cell>
          <cell r="AC7">
            <v>5.1903000000000001E-5</v>
          </cell>
          <cell r="AD7">
            <v>3.2011000000000002E-4</v>
          </cell>
          <cell r="AE7">
            <v>8.0185999999999994E-5</v>
          </cell>
          <cell r="AF7">
            <v>1.9613999999999999E-2</v>
          </cell>
          <cell r="AG7">
            <v>6.0482000000000001E-2</v>
          </cell>
          <cell r="AH7">
            <v>3.5621E-2</v>
          </cell>
        </row>
        <row r="10">
          <cell r="D10">
            <v>2.3384</v>
          </cell>
          <cell r="M10">
            <v>65.839948339999992</v>
          </cell>
          <cell r="N10">
            <v>8.0263000000000001E-2</v>
          </cell>
          <cell r="O10">
            <v>2.0783</v>
          </cell>
          <cell r="P10">
            <v>1.4584999999999999</v>
          </cell>
          <cell r="Q10">
            <v>1.8194999999999999E-2</v>
          </cell>
          <cell r="R10">
            <v>7.8120000000000002E-4</v>
          </cell>
          <cell r="S10">
            <v>27.497</v>
          </cell>
          <cell r="T10">
            <v>0.12189</v>
          </cell>
          <cell r="U10">
            <v>21.606000000000002</v>
          </cell>
          <cell r="V10">
            <v>1.6937E-3</v>
          </cell>
          <cell r="W10">
            <v>0.10266</v>
          </cell>
          <cell r="X10">
            <v>1.6783999999999999E-4</v>
          </cell>
          <cell r="Y10">
            <v>7.6852999999999993E-8</v>
          </cell>
          <cell r="Z10">
            <v>3.9107999999999999E-3</v>
          </cell>
          <cell r="AA10">
            <v>8.0551000000000008E-3</v>
          </cell>
          <cell r="AB10">
            <v>8.4796999999999997E-3</v>
          </cell>
          <cell r="AC10">
            <v>9.7817999999999993E-4</v>
          </cell>
          <cell r="AD10">
            <v>1.2212000000000001E-2</v>
          </cell>
          <cell r="AE10">
            <v>4.4146999999999997E-3</v>
          </cell>
          <cell r="AF10">
            <v>7.9693E-2</v>
          </cell>
          <cell r="AG10">
            <v>0.26902999999999999</v>
          </cell>
          <cell r="AH10">
            <v>0.17965999999999999</v>
          </cell>
        </row>
        <row r="75">
          <cell r="D75">
            <v>2.8612000000000002</v>
          </cell>
          <cell r="M75">
            <v>77.822580110000004</v>
          </cell>
          <cell r="N75">
            <v>0.11645</v>
          </cell>
          <cell r="O75">
            <v>2.5897999999999999</v>
          </cell>
          <cell r="P75">
            <v>1.7415</v>
          </cell>
          <cell r="Q75">
            <v>3.6441000000000001E-2</v>
          </cell>
          <cell r="R75">
            <v>9.8305000000000007E-4</v>
          </cell>
          <cell r="S75">
            <v>59.360999999999997</v>
          </cell>
          <cell r="T75">
            <v>0.25631999999999999</v>
          </cell>
          <cell r="U75">
            <v>38.563000000000002</v>
          </cell>
          <cell r="V75">
            <v>1.2496999999999999E-2</v>
          </cell>
          <cell r="W75">
            <v>0.16675999999999999</v>
          </cell>
          <cell r="X75">
            <v>1.0935000000000001E-3</v>
          </cell>
          <cell r="Y75">
            <v>5.2045000000000003E-7</v>
          </cell>
          <cell r="Z75">
            <v>7.2179000000000002E-3</v>
          </cell>
          <cell r="AA75">
            <v>8.7553000000000006E-3</v>
          </cell>
          <cell r="AB75">
            <v>1.839E-2</v>
          </cell>
          <cell r="AC75">
            <v>1.839E-2</v>
          </cell>
          <cell r="AD75">
            <v>2.2100999999999999E-2</v>
          </cell>
          <cell r="AE75">
            <v>7.7352999999999996E-3</v>
          </cell>
          <cell r="AF75">
            <v>0.11523</v>
          </cell>
          <cell r="AG75">
            <v>0.51175000000000004</v>
          </cell>
          <cell r="AH75">
            <v>0.21654000000000001</v>
          </cell>
        </row>
        <row r="89">
          <cell r="D89">
            <v>8.5974000000000004</v>
          </cell>
          <cell r="M89">
            <v>92.21776761000001</v>
          </cell>
          <cell r="N89">
            <v>0.36826999999999999</v>
          </cell>
          <cell r="O89">
            <v>7.4287999999999998</v>
          </cell>
          <cell r="P89">
            <v>1.8311999999999999</v>
          </cell>
          <cell r="Q89">
            <v>0.13183</v>
          </cell>
          <cell r="R89">
            <v>3.4123999999999999E-3</v>
          </cell>
          <cell r="S89">
            <v>121.42</v>
          </cell>
          <cell r="T89">
            <v>0.46332000000000001</v>
          </cell>
          <cell r="U89">
            <v>152.15</v>
          </cell>
          <cell r="V89">
            <v>7.9149000000000008E-3</v>
          </cell>
          <cell r="W89">
            <v>0.23019999999999999</v>
          </cell>
          <cell r="X89">
            <v>1.7210000000000001E-3</v>
          </cell>
          <cell r="Y89">
            <v>7.6133999999999996E-7</v>
          </cell>
          <cell r="Z89">
            <v>1.9774E-2</v>
          </cell>
          <cell r="AA89">
            <v>2.9107000000000001E-2</v>
          </cell>
          <cell r="AB89">
            <v>4.1057999999999997E-2</v>
          </cell>
          <cell r="AC89">
            <v>4.3298E-3</v>
          </cell>
          <cell r="AD89">
            <v>0.1129</v>
          </cell>
          <cell r="AE89">
            <v>7.9020000000000007E-2</v>
          </cell>
          <cell r="AF89">
            <v>0.32826</v>
          </cell>
          <cell r="AG89">
            <v>1.1247</v>
          </cell>
          <cell r="AH89">
            <v>0.25229000000000001</v>
          </cell>
        </row>
        <row r="104">
          <cell r="D104">
            <v>1.2696000000000001</v>
          </cell>
          <cell r="M104">
            <v>58.586084650000004</v>
          </cell>
          <cell r="N104">
            <v>5.4158999999999999E-2</v>
          </cell>
          <cell r="O104">
            <v>1.0815999999999999</v>
          </cell>
          <cell r="P104">
            <v>1.3033999999999999</v>
          </cell>
          <cell r="Q104">
            <v>2.2741000000000001E-2</v>
          </cell>
          <cell r="R104">
            <v>5.0582999999999997E-4</v>
          </cell>
          <cell r="S104">
            <v>33.625</v>
          </cell>
          <cell r="T104">
            <v>0.18521000000000001</v>
          </cell>
          <cell r="U104">
            <v>19.648</v>
          </cell>
          <cell r="V104">
            <v>9.9444000000000008E-4</v>
          </cell>
          <cell r="W104">
            <v>0.10894</v>
          </cell>
          <cell r="X104">
            <v>5.6817E-4</v>
          </cell>
          <cell r="Y104">
            <v>3.1627000000000001E-7</v>
          </cell>
          <cell r="Z104">
            <v>1.7206000000000001E-3</v>
          </cell>
          <cell r="AA104">
            <v>3.9411999999999997E-3</v>
          </cell>
          <cell r="AB104">
            <v>5.1390999999999997E-3</v>
          </cell>
          <cell r="AC104">
            <v>9.7420000000000004E-4</v>
          </cell>
          <cell r="AD104">
            <v>9.5762E-3</v>
          </cell>
          <cell r="AE104">
            <v>3.8428999999999998E-3</v>
          </cell>
          <cell r="AF104">
            <v>4.9723000000000003E-2</v>
          </cell>
          <cell r="AG104">
            <v>0.27034000000000002</v>
          </cell>
          <cell r="AH104">
            <v>0.16134000000000001</v>
          </cell>
        </row>
        <row r="112">
          <cell r="D112">
            <v>3.1497000000000002</v>
          </cell>
          <cell r="M112">
            <v>79.034545080000001</v>
          </cell>
          <cell r="N112">
            <v>0.10041</v>
          </cell>
          <cell r="O112">
            <v>2.8180999999999998</v>
          </cell>
          <cell r="P112">
            <v>1.7437</v>
          </cell>
          <cell r="Q112">
            <v>2.7425000000000001E-2</v>
          </cell>
          <cell r="R112">
            <v>8.6828000000000003E-4</v>
          </cell>
          <cell r="S112">
            <v>42.161999999999999</v>
          </cell>
          <cell r="T112">
            <v>0.17729</v>
          </cell>
          <cell r="U112">
            <v>33.457999999999998</v>
          </cell>
          <cell r="V112">
            <v>2.5214999999999999E-3</v>
          </cell>
          <cell r="W112">
            <v>0.14166999999999999</v>
          </cell>
          <cell r="X112">
            <v>3.0549E-4</v>
          </cell>
          <cell r="Y112">
            <v>1.4420999999999999E-7</v>
          </cell>
          <cell r="Z112">
            <v>5.0603999999999996E-3</v>
          </cell>
          <cell r="AA112">
            <v>9.4725999999999994E-3</v>
          </cell>
          <cell r="AB112">
            <v>1.1995E-2</v>
          </cell>
          <cell r="AC112">
            <v>3.0942999999999999E-3</v>
          </cell>
          <cell r="AD112">
            <v>2.1552999999999999E-2</v>
          </cell>
          <cell r="AE112">
            <v>5.7200999999999997E-3</v>
          </cell>
          <cell r="AF112">
            <v>0.11194</v>
          </cell>
          <cell r="AG112">
            <v>0.39295000000000002</v>
          </cell>
          <cell r="AH112">
            <v>0.21565999999999999</v>
          </cell>
        </row>
        <row r="113">
          <cell r="D113">
            <v>2.8967000000000001</v>
          </cell>
          <cell r="M113">
            <v>55.533074060000004</v>
          </cell>
          <cell r="N113">
            <v>9.6782000000000007E-2</v>
          </cell>
          <cell r="O113">
            <v>2.637</v>
          </cell>
          <cell r="P113">
            <v>1.1969000000000001</v>
          </cell>
          <cell r="Q113">
            <v>2.9916999999999999E-2</v>
          </cell>
          <cell r="R113">
            <v>9.6234999999999995E-4</v>
          </cell>
          <cell r="S113">
            <v>44.603000000000002</v>
          </cell>
          <cell r="T113">
            <v>0.17635999999999999</v>
          </cell>
          <cell r="U113">
            <v>34.201000000000001</v>
          </cell>
          <cell r="V113">
            <v>2.3305999999999999E-3</v>
          </cell>
          <cell r="W113">
            <v>0.17008999999999999</v>
          </cell>
          <cell r="X113">
            <v>3.0334999999999997E-4</v>
          </cell>
          <cell r="Y113">
            <v>2.8648000000000001E-7</v>
          </cell>
          <cell r="Z113">
            <v>5.0324000000000002E-3</v>
          </cell>
          <cell r="AA113">
            <v>1.0166E-2</v>
          </cell>
          <cell r="AB113">
            <v>1.0345E-2</v>
          </cell>
          <cell r="AC113">
            <v>2.421E-3</v>
          </cell>
          <cell r="AD113">
            <v>2.5739000000000001E-2</v>
          </cell>
          <cell r="AE113">
            <v>8.3884000000000007E-3</v>
          </cell>
          <cell r="AF113">
            <v>0.11176</v>
          </cell>
          <cell r="AG113">
            <v>0.40386</v>
          </cell>
          <cell r="AH113">
            <v>0.15140999999999999</v>
          </cell>
        </row>
      </sheetData>
      <sheetData sheetId="1" refreshError="1"/>
      <sheetData sheetId="2" refreshError="1"/>
      <sheetData sheetId="3" refreshError="1"/>
      <sheetData sheetId="4" refreshError="1">
        <row r="15">
          <cell r="D15">
            <v>0</v>
          </cell>
        </row>
        <row r="24">
          <cell r="D24">
            <v>0</v>
          </cell>
          <cell r="M24">
            <v>0</v>
          </cell>
          <cell r="N24"/>
          <cell r="O24"/>
          <cell r="P24"/>
          <cell r="Q24"/>
          <cell r="R24"/>
          <cell r="S24"/>
          <cell r="T24"/>
          <cell r="U24"/>
          <cell r="V24"/>
          <cell r="W24"/>
          <cell r="X24"/>
          <cell r="Y24"/>
          <cell r="Z24"/>
          <cell r="AA24">
            <v>0.3175675675675676</v>
          </cell>
          <cell r="AB24"/>
          <cell r="AC24"/>
          <cell r="AD24"/>
          <cell r="AE24"/>
          <cell r="AF24"/>
          <cell r="AG24">
            <v>1.20830586684E-4</v>
          </cell>
          <cell r="AH24"/>
        </row>
        <row r="25">
          <cell r="D25">
            <v>0</v>
          </cell>
          <cell r="M25">
            <v>0</v>
          </cell>
          <cell r="N25"/>
          <cell r="O25"/>
          <cell r="P25"/>
          <cell r="Q25">
            <v>1.8285430284917717E-5</v>
          </cell>
          <cell r="R25"/>
          <cell r="S25">
            <v>0.14896775129815301</v>
          </cell>
          <cell r="T25"/>
          <cell r="U25">
            <v>7.4567515026773893E-5</v>
          </cell>
          <cell r="V25"/>
          <cell r="W25"/>
          <cell r="X25"/>
          <cell r="Y25"/>
          <cell r="Z25"/>
          <cell r="AA25">
            <v>0.1587837837837838</v>
          </cell>
          <cell r="AB25"/>
          <cell r="AC25">
            <v>3.0347324622674447E-5</v>
          </cell>
          <cell r="AD25"/>
          <cell r="AE25"/>
          <cell r="AF25">
            <v>6.6891399295099997E-6</v>
          </cell>
          <cell r="AG25">
            <v>1.0777560339100001E-3</v>
          </cell>
          <cell r="AH25"/>
        </row>
        <row r="26">
          <cell r="D26">
            <v>0</v>
          </cell>
          <cell r="M26">
            <v>0</v>
          </cell>
          <cell r="N26"/>
          <cell r="O26"/>
          <cell r="P26"/>
          <cell r="Q26">
            <v>5.5239331204532241E-6</v>
          </cell>
          <cell r="R26"/>
          <cell r="S26"/>
          <cell r="T26"/>
          <cell r="U26">
            <v>3.2144404879240416E-7</v>
          </cell>
          <cell r="V26"/>
          <cell r="W26"/>
          <cell r="X26"/>
          <cell r="Y26"/>
          <cell r="Z26"/>
          <cell r="AA26"/>
          <cell r="AB26"/>
          <cell r="AC26">
            <v>1.3004211950132588E-4</v>
          </cell>
          <cell r="AD26"/>
          <cell r="AE26"/>
          <cell r="AF26"/>
          <cell r="AG26"/>
          <cell r="AH26"/>
        </row>
        <row r="27">
          <cell r="D27">
            <v>0</v>
          </cell>
          <cell r="M27">
            <v>0</v>
          </cell>
          <cell r="N27"/>
          <cell r="O27"/>
          <cell r="P27"/>
          <cell r="Q27">
            <v>7.5601659477170543E-8</v>
          </cell>
          <cell r="R27"/>
          <cell r="S27">
            <v>2.347224946933776</v>
          </cell>
          <cell r="T27"/>
          <cell r="U27">
            <v>1.0183648025892004E-6</v>
          </cell>
          <cell r="V27"/>
          <cell r="W27"/>
          <cell r="X27"/>
          <cell r="Y27"/>
          <cell r="Z27"/>
          <cell r="AA27"/>
          <cell r="AB27"/>
          <cell r="AC27">
            <v>1.2722639344855543E-7</v>
          </cell>
          <cell r="AD27"/>
          <cell r="AE27"/>
          <cell r="AF27"/>
          <cell r="AG27">
            <v>2.4808833223500002E-4</v>
          </cell>
          <cell r="AH27"/>
        </row>
        <row r="28">
          <cell r="D28">
            <v>0</v>
          </cell>
          <cell r="M28">
            <v>0</v>
          </cell>
          <cell r="N28"/>
          <cell r="O28"/>
          <cell r="P28"/>
          <cell r="Q28"/>
          <cell r="R28"/>
          <cell r="S28"/>
          <cell r="T28"/>
          <cell r="U28"/>
          <cell r="V28"/>
          <cell r="W28"/>
          <cell r="X28"/>
          <cell r="Y28"/>
          <cell r="Z28"/>
          <cell r="AA28"/>
          <cell r="AB28"/>
          <cell r="AC28"/>
          <cell r="AD28"/>
          <cell r="AE28"/>
          <cell r="AF28"/>
          <cell r="AG28"/>
          <cell r="AH28"/>
        </row>
        <row r="29">
          <cell r="D29">
            <v>0</v>
          </cell>
          <cell r="M29">
            <v>0</v>
          </cell>
          <cell r="N29"/>
          <cell r="O29"/>
          <cell r="P29"/>
          <cell r="Q29">
            <v>1.1751080598935332E-5</v>
          </cell>
          <cell r="R29"/>
          <cell r="S29">
            <v>0.81953289431067988</v>
          </cell>
          <cell r="T29"/>
          <cell r="U29">
            <v>9.0730455974452539E-5</v>
          </cell>
          <cell r="V29"/>
          <cell r="W29"/>
          <cell r="X29"/>
          <cell r="Y29"/>
          <cell r="Z29"/>
          <cell r="AA29">
            <v>1.0760135135135136</v>
          </cell>
          <cell r="AB29"/>
          <cell r="AC29">
            <v>1.3507404621151019E-5</v>
          </cell>
          <cell r="AD29"/>
          <cell r="AE29"/>
          <cell r="AF29">
            <v>2.9965569184499998E-6</v>
          </cell>
          <cell r="AG29">
            <v>6.0062200297099997E-3</v>
          </cell>
          <cell r="AH29"/>
        </row>
        <row r="30">
          <cell r="D30">
            <v>0</v>
          </cell>
          <cell r="M30">
            <v>0</v>
          </cell>
          <cell r="N30"/>
          <cell r="O30"/>
          <cell r="P30"/>
          <cell r="Q30">
            <v>1.7003303175320737E-4</v>
          </cell>
          <cell r="R30"/>
          <cell r="S30">
            <v>0.47081152258220021</v>
          </cell>
          <cell r="T30"/>
          <cell r="U30">
            <v>1.7402003843569559E-3</v>
          </cell>
          <cell r="V30"/>
          <cell r="W30"/>
          <cell r="X30"/>
          <cell r="Y30"/>
          <cell r="Z30"/>
          <cell r="AA30"/>
          <cell r="AB30"/>
          <cell r="AC30">
            <v>3.7040677832114982E-4</v>
          </cell>
          <cell r="AD30"/>
          <cell r="AE30"/>
          <cell r="AF30">
            <v>8.1790920700099996E-5</v>
          </cell>
          <cell r="AG30">
            <v>3.2152982030000002E-3</v>
          </cell>
          <cell r="AH30"/>
        </row>
        <row r="38">
          <cell r="D38">
            <v>0</v>
          </cell>
          <cell r="M38">
            <v>0</v>
          </cell>
          <cell r="N38"/>
          <cell r="O38"/>
          <cell r="P38"/>
          <cell r="Q38"/>
          <cell r="R38"/>
          <cell r="S38"/>
          <cell r="T38"/>
          <cell r="U38"/>
          <cell r="V38"/>
          <cell r="W38"/>
          <cell r="X38"/>
          <cell r="Y38"/>
          <cell r="Z38"/>
          <cell r="AA38"/>
          <cell r="AB38"/>
          <cell r="AC38"/>
          <cell r="AD38"/>
          <cell r="AE38"/>
          <cell r="AF38"/>
          <cell r="AG38"/>
          <cell r="AH38"/>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2">
          <cell r="P22">
            <v>3.8500270966288177</v>
          </cell>
          <cell r="Y22">
            <v>50.481588540475641</v>
          </cell>
          <cell r="Z22">
            <v>1.1414143288941561</v>
          </cell>
          <cell r="AA22">
            <v>3.5367107854779132</v>
          </cell>
          <cell r="AB22">
            <v>0.91536753821531702</v>
          </cell>
          <cell r="AC22">
            <v>8.7165002729624477E-2</v>
          </cell>
          <cell r="AD22">
            <v>2.6065481838007604E-3</v>
          </cell>
          <cell r="AE22">
            <v>235.173374582939</v>
          </cell>
          <cell r="AF22">
            <v>0.20365425206538271</v>
          </cell>
          <cell r="AG22">
            <v>101.18297225252564</v>
          </cell>
          <cell r="AH22">
            <v>7.1443014135777159E-3</v>
          </cell>
          <cell r="AI22">
            <v>1.1135693836009284</v>
          </cell>
          <cell r="AJ22">
            <v>5.7698403626534349E-4</v>
          </cell>
          <cell r="AK22">
            <v>3.5068350443499273E-7</v>
          </cell>
          <cell r="AL22">
            <v>1.9455360691902179E-2</v>
          </cell>
          <cell r="AM22">
            <v>4.8956977259526725E-2</v>
          </cell>
          <cell r="AN22">
            <v>5.9582597279202475E-2</v>
          </cell>
          <cell r="AO22">
            <v>5.0805198933465056E-3</v>
          </cell>
          <cell r="AP22">
            <v>4.3553058494069478E-2</v>
          </cell>
          <cell r="AQ22">
            <v>1.8628923628353774E-2</v>
          </cell>
          <cell r="AR22">
            <v>0.1951487691440901</v>
          </cell>
          <cell r="AS22">
            <v>1.7707323806433657</v>
          </cell>
          <cell r="AT22">
            <v>0.16145696265227133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6">
          <cell r="P26">
            <v>81.665404808643643</v>
          </cell>
          <cell r="Y26">
            <v>1446.6424002801964</v>
          </cell>
          <cell r="Z26">
            <v>1.3692179816810384</v>
          </cell>
          <cell r="AA26">
            <v>76.707040101384948</v>
          </cell>
          <cell r="AB26">
            <v>33.561721051357537</v>
          </cell>
          <cell r="AC26">
            <v>0.35568752372530332</v>
          </cell>
          <cell r="AD26">
            <v>2.704475601813779E-3</v>
          </cell>
          <cell r="AE26">
            <v>639.67448101392915</v>
          </cell>
          <cell r="AF26">
            <v>0.62446710490474078</v>
          </cell>
          <cell r="AG26">
            <v>219.82436527476648</v>
          </cell>
          <cell r="AH26">
            <v>7.5598486052884772E-2</v>
          </cell>
          <cell r="AI26">
            <v>0.43165765893700175</v>
          </cell>
          <cell r="AJ26">
            <v>1.3488754734245786E-2</v>
          </cell>
          <cell r="AK26">
            <v>1.4781877491518088E-4</v>
          </cell>
          <cell r="AL26">
            <v>8.9622580502144666E-2</v>
          </cell>
          <cell r="AM26">
            <v>0.28199200856559198</v>
          </cell>
          <cell r="AN26">
            <v>0.34025771519464187</v>
          </cell>
          <cell r="AO26">
            <v>1.5191694739669524E-2</v>
          </cell>
          <cell r="AP26">
            <v>0.10671875893842762</v>
          </cell>
          <cell r="AQ26">
            <v>0.38963274453124486</v>
          </cell>
          <cell r="AR26">
            <v>2.5744651778326957</v>
          </cell>
          <cell r="AS26">
            <v>7.2256215288857444</v>
          </cell>
          <cell r="AT26">
            <v>4.0444655893107164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0">
          <cell r="K20">
            <v>3619.4165229724927</v>
          </cell>
          <cell r="T20">
            <v>63759.161867241099</v>
          </cell>
          <cell r="U20">
            <v>31.840377212503398</v>
          </cell>
          <cell r="V20">
            <v>3415.5341252106105</v>
          </cell>
          <cell r="W20">
            <v>1504.8676850939303</v>
          </cell>
          <cell r="X20">
            <v>14.971837215344118</v>
          </cell>
          <cell r="Y20">
            <v>9.9188951698497854E-2</v>
          </cell>
          <cell r="Z20">
            <v>28479.24452442132</v>
          </cell>
          <cell r="AA20">
            <v>23.242815202118681</v>
          </cell>
          <cell r="AB20">
            <v>9591.6896222264804</v>
          </cell>
          <cell r="AC20">
            <v>3.1379267584118589</v>
          </cell>
          <cell r="AD20">
            <v>16.202766300404043</v>
          </cell>
          <cell r="AE20">
            <v>0.56292328992403973</v>
          </cell>
          <cell r="AF20">
            <v>3.0438648131477213E-4</v>
          </cell>
          <cell r="AG20">
            <v>3.851403574106639</v>
          </cell>
          <cell r="AH20">
            <v>10.26482617192319</v>
          </cell>
          <cell r="AI20">
            <v>14.816150072128218</v>
          </cell>
          <cell r="AJ20">
            <v>0.32738281630246646</v>
          </cell>
          <cell r="AK20">
            <v>2.1808609132535546</v>
          </cell>
          <cell r="AL20">
            <v>0.49193378894652123</v>
          </cell>
          <cell r="AM20">
            <v>101.31825938616946</v>
          </cell>
          <cell r="AN20">
            <v>321.15289678402326</v>
          </cell>
          <cell r="AO20">
            <v>181.20280974080879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ow r="3">
          <cell r="D3">
            <v>2.4752999999999998</v>
          </cell>
          <cell r="M3">
            <v>20.685313700000005</v>
          </cell>
          <cell r="N3">
            <v>8.8877999999999999E-2</v>
          </cell>
          <cell r="O3">
            <v>2.2648999999999999</v>
          </cell>
          <cell r="P3">
            <v>0.39137</v>
          </cell>
          <cell r="Q3">
            <v>3.4606999999999999E-2</v>
          </cell>
          <cell r="R3">
            <v>1.4064E-2</v>
          </cell>
          <cell r="S3">
            <v>31.951000000000001</v>
          </cell>
          <cell r="T3">
            <v>0.15866</v>
          </cell>
          <cell r="U3">
            <v>31.074999999999999</v>
          </cell>
          <cell r="V3">
            <v>0.13034999999999999</v>
          </cell>
          <cell r="W3">
            <v>0.17466000000000001</v>
          </cell>
          <cell r="X3">
            <v>1.8164E-4</v>
          </cell>
          <cell r="Y3">
            <v>1.8353E-7</v>
          </cell>
          <cell r="Z3">
            <v>5.0572000000000004E-3</v>
          </cell>
          <cell r="AA3">
            <v>5.9461000000000002E-3</v>
          </cell>
          <cell r="AB3">
            <v>1.0370000000000001E-2</v>
          </cell>
          <cell r="AC3">
            <v>1.3814999999999999E-3</v>
          </cell>
          <cell r="AD3">
            <v>2.3361E-2</v>
          </cell>
          <cell r="AE3">
            <v>1.0649E-2</v>
          </cell>
          <cell r="AF3">
            <v>0.10145</v>
          </cell>
          <cell r="AG3">
            <v>0.30706</v>
          </cell>
          <cell r="AH3">
            <v>5.5032999999999999E-2</v>
          </cell>
        </row>
        <row r="46">
          <cell r="D46">
            <v>2.6876000000000002</v>
          </cell>
          <cell r="M46">
            <v>40.380196750000003</v>
          </cell>
          <cell r="N46">
            <v>0.14061999999999999</v>
          </cell>
          <cell r="O46">
            <v>2.4859</v>
          </cell>
          <cell r="P46">
            <v>0.71387</v>
          </cell>
          <cell r="Q46">
            <v>3.5333999999999997E-2</v>
          </cell>
          <cell r="R46">
            <v>1.4566E-3</v>
          </cell>
          <cell r="S46">
            <v>46.789000000000001</v>
          </cell>
          <cell r="T46">
            <v>0.41410999999999998</v>
          </cell>
          <cell r="U46">
            <v>40.326999999999998</v>
          </cell>
          <cell r="V46">
            <v>2.4256999999999998E-3</v>
          </cell>
          <cell r="W46">
            <v>3.2414999999999999E-2</v>
          </cell>
          <cell r="X46">
            <v>2.9548999999999998E-4</v>
          </cell>
          <cell r="Y46">
            <v>1.4875000000000001E-7</v>
          </cell>
          <cell r="Z46">
            <v>8.3315000000000004E-3</v>
          </cell>
          <cell r="AA46">
            <v>6.6281999999999999E-3</v>
          </cell>
          <cell r="AB46">
            <v>1.3127E-2</v>
          </cell>
          <cell r="AC46">
            <v>8.9937000000000003E-4</v>
          </cell>
          <cell r="AD46">
            <v>1.5989E-2</v>
          </cell>
          <cell r="AE46">
            <v>1.0525E-2</v>
          </cell>
          <cell r="AF46">
            <v>0.10639</v>
          </cell>
          <cell r="AG46">
            <v>0.42542000000000002</v>
          </cell>
          <cell r="AH46">
            <v>8.7106000000000003E-2</v>
          </cell>
        </row>
        <row r="76">
          <cell r="D76">
            <v>1.8261000000000001</v>
          </cell>
          <cell r="M76">
            <v>60.361123550000002</v>
          </cell>
          <cell r="N76">
            <v>3.6722999999999999E-2</v>
          </cell>
          <cell r="O76">
            <v>1.591</v>
          </cell>
          <cell r="P76">
            <v>1.3815</v>
          </cell>
          <cell r="Q76">
            <v>9.2759999999999995E-3</v>
          </cell>
          <cell r="R76">
            <v>2.6277000000000001E-4</v>
          </cell>
          <cell r="S76">
            <v>15.288</v>
          </cell>
          <cell r="T76">
            <v>3.6873999999999997E-2</v>
          </cell>
          <cell r="U76">
            <v>11.382999999999999</v>
          </cell>
          <cell r="V76">
            <v>1.1186E-3</v>
          </cell>
          <cell r="W76">
            <v>6.4592999999999998E-2</v>
          </cell>
          <cell r="X76">
            <v>1.4709E-4</v>
          </cell>
          <cell r="Y76">
            <v>6.472E-8</v>
          </cell>
          <cell r="Z76">
            <v>2.4101000000000001E-3</v>
          </cell>
          <cell r="AA76">
            <v>7.8647999999999999E-3</v>
          </cell>
          <cell r="AB76">
            <v>6.7625999999999997E-3</v>
          </cell>
          <cell r="AC76">
            <v>5.2406999999999996E-4</v>
          </cell>
          <cell r="AD76">
            <v>5.2075000000000003E-3</v>
          </cell>
          <cell r="AE76">
            <v>4.2263999999999999E-3</v>
          </cell>
          <cell r="AF76">
            <v>5.4866999999999999E-2</v>
          </cell>
          <cell r="AG76">
            <v>0.16566</v>
          </cell>
          <cell r="AH76">
            <v>0.16864999999999999</v>
          </cell>
        </row>
        <row r="91">
          <cell r="D91">
            <v>1.1845000000000001</v>
          </cell>
          <cell r="M91">
            <v>16.137803399999999</v>
          </cell>
          <cell r="N91">
            <v>4.6581999999999998E-2</v>
          </cell>
          <cell r="O91">
            <v>1.0933999999999999</v>
          </cell>
          <cell r="P91">
            <v>0.30948999999999999</v>
          </cell>
          <cell r="Q91">
            <v>1.4300999999999999E-2</v>
          </cell>
          <cell r="R91">
            <v>5.8091999999999996E-4</v>
          </cell>
          <cell r="S91">
            <v>19.337</v>
          </cell>
          <cell r="T91">
            <v>0.12024</v>
          </cell>
          <cell r="U91">
            <v>16.533999999999999</v>
          </cell>
          <cell r="V91">
            <v>1.0808E-3</v>
          </cell>
          <cell r="W91">
            <v>1.2095E-2</v>
          </cell>
          <cell r="X91">
            <v>1.2846E-4</v>
          </cell>
          <cell r="Y91">
            <v>5.3706999999999999E-8</v>
          </cell>
          <cell r="Z91">
            <v>3.9915000000000003E-3</v>
          </cell>
          <cell r="AA91">
            <v>2.9899000000000002E-3</v>
          </cell>
          <cell r="AB91">
            <v>5.8507000000000003E-3</v>
          </cell>
          <cell r="AC91">
            <v>3.7492999999999999E-4</v>
          </cell>
          <cell r="AD91">
            <v>7.1199999999999996E-3</v>
          </cell>
          <cell r="AE91">
            <v>4.3444E-3</v>
          </cell>
          <cell r="AF91">
            <v>4.5281000000000002E-2</v>
          </cell>
          <cell r="AG91">
            <v>0.17960000000000001</v>
          </cell>
          <cell r="AH91">
            <v>3.7673999999999999E-2</v>
          </cell>
        </row>
        <row r="104">
          <cell r="D104">
            <v>5.4259E-3</v>
          </cell>
          <cell r="M104">
            <v>0.17365606929999999</v>
          </cell>
          <cell r="N104">
            <v>2.8051999999999998E-4</v>
          </cell>
          <cell r="O104">
            <v>5.1062E-3</v>
          </cell>
          <cell r="P104">
            <v>4.0477000000000004E-3</v>
          </cell>
          <cell r="Q104">
            <v>2.4984999999999999E-5</v>
          </cell>
          <cell r="R104">
            <v>6.018E-7</v>
          </cell>
          <cell r="S104">
            <v>3.8490000000000003E-2</v>
          </cell>
          <cell r="T104">
            <v>7.4255000000000002E-4</v>
          </cell>
          <cell r="U104">
            <v>2.7300999999999999E-2</v>
          </cell>
          <cell r="V104">
            <v>1.7286999999999999E-5</v>
          </cell>
          <cell r="W104">
            <v>2.1064E-4</v>
          </cell>
          <cell r="X104">
            <v>-3.9805999999999998E-5</v>
          </cell>
          <cell r="Y104">
            <v>1.908E-9</v>
          </cell>
          <cell r="Z104">
            <v>1.8263000000000001E-5</v>
          </cell>
          <cell r="AA104">
            <v>5.5226000000000003E-5</v>
          </cell>
          <cell r="AB104">
            <v>4.6202000000000003E-5</v>
          </cell>
          <cell r="AC104">
            <v>5.57E-6</v>
          </cell>
          <cell r="AD104">
            <v>1.0223000000000001E-3</v>
          </cell>
          <cell r="AE104">
            <v>7.3827999999999999E-6</v>
          </cell>
          <cell r="AF104">
            <v>4.1576999999999999E-4</v>
          </cell>
          <cell r="AG104">
            <v>4.8026999999999998E-4</v>
          </cell>
          <cell r="AH104">
            <v>4.9516000000000002E-4</v>
          </cell>
        </row>
        <row r="133">
          <cell r="D133">
            <v>5.0429000000000004</v>
          </cell>
          <cell r="M133">
            <v>72.516837530000004</v>
          </cell>
          <cell r="N133">
            <v>0.36879000000000001</v>
          </cell>
          <cell r="O133">
            <v>4.6026999999999996</v>
          </cell>
          <cell r="P133">
            <v>1.3364</v>
          </cell>
          <cell r="Q133">
            <v>4.9623999999999997</v>
          </cell>
          <cell r="R133">
            <v>0.1462</v>
          </cell>
          <cell r="S133">
            <v>12489</v>
          </cell>
          <cell r="T133">
            <v>0.46650000000000003</v>
          </cell>
          <cell r="U133">
            <v>6530.1</v>
          </cell>
          <cell r="V133">
            <v>3.0044000000000001E-2</v>
          </cell>
          <cell r="W133">
            <v>47.875</v>
          </cell>
          <cell r="X133">
            <v>1.9903999999999998E-3</v>
          </cell>
          <cell r="Y133">
            <v>3.0008000000000002E-7</v>
          </cell>
          <cell r="Z133">
            <v>0.14541000000000001</v>
          </cell>
          <cell r="AA133">
            <v>9.3449000000000004E-2</v>
          </cell>
          <cell r="AB133">
            <v>0.48734</v>
          </cell>
          <cell r="AC133">
            <v>0.61521000000000003</v>
          </cell>
          <cell r="AD133">
            <v>0.43630999999999998</v>
          </cell>
          <cell r="AE133">
            <v>0.16158</v>
          </cell>
          <cell r="AF133">
            <v>2.3043</v>
          </cell>
          <cell r="AG133">
            <v>85.805999999999997</v>
          </cell>
          <cell r="AH133">
            <v>2.3824999999999998</v>
          </cell>
        </row>
      </sheetData>
      <sheetData sheetId="1" refreshError="1"/>
      <sheetData sheetId="2" refreshError="1"/>
      <sheetData sheetId="3" refreshError="1"/>
      <sheetData sheetId="4">
        <row r="39">
          <cell r="D39">
            <v>0</v>
          </cell>
          <cell r="M39">
            <v>0</v>
          </cell>
          <cell r="N39"/>
          <cell r="O39"/>
          <cell r="P39"/>
          <cell r="Q39">
            <v>40.124148502200001</v>
          </cell>
          <cell r="R39"/>
          <cell r="S39">
            <v>52.091288566700001</v>
          </cell>
          <cell r="T39"/>
          <cell r="U39">
            <v>91486.4735506</v>
          </cell>
          <cell r="V39"/>
          <cell r="W39"/>
          <cell r="X39"/>
          <cell r="Y39"/>
          <cell r="Z39"/>
          <cell r="AA39"/>
          <cell r="AB39"/>
          <cell r="AC39">
            <v>420.11577236699998</v>
          </cell>
          <cell r="AD39"/>
          <cell r="AE39"/>
          <cell r="AF39">
            <v>115.505179849</v>
          </cell>
          <cell r="AG39">
            <v>0.35574538533400002</v>
          </cell>
          <cell r="AH39"/>
        </row>
      </sheetData>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sheetNames>
    <sheetDataSet>
      <sheetData sheetId="0">
        <row r="19">
          <cell r="E19">
            <v>0.87</v>
          </cell>
        </row>
        <row r="21">
          <cell r="E21">
            <v>5.8950000000000001E-3</v>
          </cell>
        </row>
        <row r="23">
          <cell r="E23">
            <v>0.89086200000000004</v>
          </cell>
        </row>
        <row r="84">
          <cell r="AP84">
            <v>47.444604396123601</v>
          </cell>
          <cell r="AQ84">
            <v>885.92649220904752</v>
          </cell>
          <cell r="AR84">
            <v>0.77051434755051129</v>
          </cell>
          <cell r="AS84">
            <v>44.186701817821849</v>
          </cell>
          <cell r="AT84">
            <v>20.57519528625356</v>
          </cell>
          <cell r="AU84">
            <v>0.48922703638159126</v>
          </cell>
          <cell r="AV84">
            <v>6.0704563484726744E-3</v>
          </cell>
          <cell r="AW84">
            <v>799.60973406860433</v>
          </cell>
          <cell r="AX84">
            <v>0.77336856295640832</v>
          </cell>
          <cell r="AY84">
            <v>389.89073753877773</v>
          </cell>
          <cell r="AZ84">
            <v>4.3327216108653609E-2</v>
          </cell>
          <cell r="BA84">
            <v>5.0764328507411314</v>
          </cell>
          <cell r="BB84">
            <v>6.949792823956572E-3</v>
          </cell>
          <cell r="BC84">
            <v>4.0302689745330959E-6</v>
          </cell>
          <cell r="BD84">
            <v>0.18009994289158021</v>
          </cell>
          <cell r="BE84">
            <v>0.18621474059777843</v>
          </cell>
          <cell r="BF84">
            <v>0.78318846643206397</v>
          </cell>
          <cell r="BG84">
            <v>0.33660923650471453</v>
          </cell>
          <cell r="BH84">
            <v>9.0890913646502355E-2</v>
          </cell>
          <cell r="BI84">
            <v>4.2888275557994307E-2</v>
          </cell>
          <cell r="BJ84">
            <v>1.5218636469327043</v>
          </cell>
          <cell r="BK84">
            <v>7.4299446954412129</v>
          </cell>
          <cell r="BL84">
            <v>2.6737311553513101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CB_DATA_"/>
      <sheetName val="Uncertainty"/>
      <sheetName val="recycling"/>
      <sheetName val="recycling level"/>
      <sheetName val="material inventory"/>
      <sheetName val="energy consumption"/>
      <sheetName val="SA"/>
    </sheetNames>
    <sheetDataSet>
      <sheetData sheetId="0"/>
      <sheetData sheetId="1"/>
      <sheetData sheetId="2"/>
      <sheetData sheetId="3"/>
      <sheetData sheetId="4"/>
      <sheetData sheetId="5">
        <row r="9">
          <cell r="F9">
            <v>1.4620322245322245E-2</v>
          </cell>
        </row>
      </sheetData>
      <sheetData sheetId="6">
        <row r="9">
          <cell r="K9">
            <v>18.530192959850755</v>
          </cell>
        </row>
      </sheetData>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Uncertainty"/>
      <sheetName val="recycling"/>
      <sheetName val="recycling level"/>
      <sheetName val="material inventory"/>
      <sheetName val="energy consumption"/>
      <sheetName val="SA"/>
      <sheetName val="CB_DATA_"/>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4"/>
  <sheetViews>
    <sheetView topLeftCell="A16" workbookViewId="0">
      <selection activeCell="F42" sqref="F42"/>
    </sheetView>
  </sheetViews>
  <sheetFormatPr defaultRowHeight="15"/>
  <cols>
    <col min="1" max="1" width="21.28515625" style="40" customWidth="1"/>
    <col min="2" max="2" width="15.85546875" style="57" customWidth="1"/>
    <col min="3" max="5" width="15.85546875" style="38" customWidth="1"/>
    <col min="6" max="6" width="15.85546875" style="42" customWidth="1"/>
    <col min="7" max="7" width="0" style="1" hidden="1" customWidth="1"/>
    <col min="8" max="9" width="12" style="1" hidden="1" customWidth="1"/>
    <col min="10" max="10" width="13" style="1" customWidth="1"/>
    <col min="11" max="11" width="21" style="37" customWidth="1"/>
    <col min="12" max="12" width="12.140625" style="1" bestFit="1" customWidth="1"/>
    <col min="13" max="13" width="12" style="1" customWidth="1"/>
    <col min="14" max="23" width="9.5703125" style="1" bestFit="1" customWidth="1"/>
    <col min="24" max="24" width="10" style="1" bestFit="1" customWidth="1"/>
    <col min="25" max="34" width="9.5703125" style="1" bestFit="1" customWidth="1"/>
    <col min="35" max="35" width="15.42578125" style="1" customWidth="1"/>
    <col min="36" max="16384" width="9.140625" style="1"/>
  </cols>
  <sheetData>
    <row r="1" spans="1:35">
      <c r="A1" s="100" t="s">
        <v>144</v>
      </c>
      <c r="B1" s="99" t="s">
        <v>9</v>
      </c>
      <c r="C1" s="101" t="s">
        <v>10</v>
      </c>
      <c r="D1" s="101" t="s">
        <v>11</v>
      </c>
      <c r="E1" s="101" t="s">
        <v>12</v>
      </c>
      <c r="F1" s="102" t="s">
        <v>13</v>
      </c>
      <c r="G1" s="39"/>
      <c r="H1" s="39"/>
      <c r="I1" s="39"/>
      <c r="J1" s="101"/>
      <c r="K1" s="49"/>
      <c r="L1" s="50"/>
      <c r="M1" s="50"/>
      <c r="N1" s="97" t="s">
        <v>24</v>
      </c>
      <c r="O1" s="97"/>
      <c r="P1" s="97"/>
      <c r="Q1" s="97"/>
      <c r="R1" s="97"/>
      <c r="S1" s="97"/>
      <c r="T1" s="97"/>
      <c r="U1" s="97"/>
      <c r="V1" s="97"/>
      <c r="W1" s="97"/>
      <c r="X1" s="97"/>
      <c r="Y1" s="97"/>
      <c r="Z1" s="97"/>
      <c r="AA1" s="97"/>
      <c r="AB1" s="97"/>
      <c r="AC1" s="97"/>
      <c r="AD1" s="97"/>
      <c r="AE1" s="97"/>
      <c r="AF1" s="98" t="s">
        <v>25</v>
      </c>
      <c r="AG1" s="98"/>
      <c r="AH1" s="98"/>
    </row>
    <row r="2" spans="1:35" ht="36.75" customHeight="1">
      <c r="A2" s="100"/>
      <c r="B2" s="99"/>
      <c r="C2" s="101"/>
      <c r="D2" s="101"/>
      <c r="E2" s="101"/>
      <c r="F2" s="102"/>
      <c r="G2" s="39"/>
      <c r="H2" s="39"/>
      <c r="I2" s="39"/>
      <c r="J2" s="101"/>
      <c r="K2" s="45"/>
      <c r="L2" s="45" t="s">
        <v>22</v>
      </c>
      <c r="M2" s="46" t="s">
        <v>23</v>
      </c>
      <c r="N2" s="47" t="s">
        <v>35</v>
      </c>
      <c r="O2" s="47" t="s">
        <v>36</v>
      </c>
      <c r="P2" s="47" t="s">
        <v>37</v>
      </c>
      <c r="Q2" s="47" t="s">
        <v>38</v>
      </c>
      <c r="R2" s="47" t="s">
        <v>39</v>
      </c>
      <c r="S2" s="47" t="s">
        <v>40</v>
      </c>
      <c r="T2" s="47" t="s">
        <v>41</v>
      </c>
      <c r="U2" s="47" t="s">
        <v>42</v>
      </c>
      <c r="V2" s="47" t="s">
        <v>43</v>
      </c>
      <c r="W2" s="47" t="s">
        <v>44</v>
      </c>
      <c r="X2" s="47" t="s">
        <v>45</v>
      </c>
      <c r="Y2" s="47" t="s">
        <v>46</v>
      </c>
      <c r="Z2" s="47" t="s">
        <v>47</v>
      </c>
      <c r="AA2" s="47" t="s">
        <v>48</v>
      </c>
      <c r="AB2" s="47" t="s">
        <v>49</v>
      </c>
      <c r="AC2" s="47" t="s">
        <v>50</v>
      </c>
      <c r="AD2" s="47" t="s">
        <v>51</v>
      </c>
      <c r="AE2" s="47" t="s">
        <v>52</v>
      </c>
      <c r="AF2" s="48" t="s">
        <v>53</v>
      </c>
      <c r="AG2" s="48" t="s">
        <v>54</v>
      </c>
      <c r="AH2" s="48" t="s">
        <v>55</v>
      </c>
    </row>
    <row r="3" spans="1:35">
      <c r="A3" s="44" t="s">
        <v>8</v>
      </c>
      <c r="B3" s="43"/>
      <c r="C3" s="39"/>
      <c r="D3" s="39"/>
      <c r="E3" s="39"/>
      <c r="F3" s="41"/>
      <c r="G3" s="39"/>
      <c r="H3" s="39"/>
      <c r="I3" s="39"/>
      <c r="J3" s="39"/>
      <c r="K3" s="39" t="str">
        <f>A4</f>
        <v>FTO glass</v>
      </c>
      <c r="L3" s="41">
        <f>$F$4*'[1]FTO glass'!D41</f>
        <v>3.4780676817599994</v>
      </c>
      <c r="M3" s="41">
        <f>$F$4*'[1]FTO glass'!M41</f>
        <v>85.029036949120112</v>
      </c>
      <c r="N3" s="41">
        <f>$F$4*'[1]FTO glass'!N41</f>
        <v>6.2012667171672007</v>
      </c>
      <c r="O3" s="41">
        <f>$F$4*'[1]FTO glass'!O41</f>
        <v>3.5862291309599996</v>
      </c>
      <c r="P3" s="41">
        <f>$F$4*'[1]FTO glass'!P41</f>
        <v>0.83657114503199992</v>
      </c>
      <c r="Q3" s="41">
        <f>$F$4*'[1]FTO glass'!Q41</f>
        <v>9.6806916922641872E-2</v>
      </c>
      <c r="R3" s="41">
        <f>$F$4*'[1]FTO glass'!R41</f>
        <v>2.0273180159735998E-3</v>
      </c>
      <c r="S3" s="41">
        <f>$F$4*'[1]FTO glass'!S41</f>
        <v>124.88415725309692</v>
      </c>
      <c r="T3" s="41">
        <f>$F$4*'[1]FTO glass'!T41</f>
        <v>0.21998732374079996</v>
      </c>
      <c r="U3" s="41">
        <f>$F$4*'[1]FTO glass'!U41</f>
        <v>88.426822169151336</v>
      </c>
      <c r="V3" s="41">
        <f>$F$4*'[1]FTO glass'!V41</f>
        <v>1.0613301240527999E-2</v>
      </c>
      <c r="W3" s="41">
        <f>$F$4*'[1]FTO glass'!W41</f>
        <v>37.727846160631195</v>
      </c>
      <c r="X3" s="41">
        <f>$F$4*'[1]FTO glass'!X41</f>
        <v>2.6633363931215996E-3</v>
      </c>
      <c r="Y3" s="41">
        <f>$F$4*'[1]FTO glass'!Y41</f>
        <v>2.2588717898879995E-7</v>
      </c>
      <c r="Z3" s="41">
        <f>$F$4*'[1]FTO glass'!Z41</f>
        <v>3.1256384650847999E-2</v>
      </c>
      <c r="AA3" s="41">
        <f>$F$4*'[1]FTO glass'!AA41</f>
        <v>4.8130512783804966E-2</v>
      </c>
      <c r="AB3" s="41">
        <f>$F$4*'[1]FTO glass'!AB41</f>
        <v>6.2621029628639996E-2</v>
      </c>
      <c r="AC3" s="41">
        <f>$F$4*'[1]FTO glass'!AC41</f>
        <v>7.4279348593848408E-3</v>
      </c>
      <c r="AD3" s="41">
        <f>$F$4*'[1]FTO glass'!AD41</f>
        <v>0.14772324234023998</v>
      </c>
      <c r="AE3" s="41">
        <f>$F$4*'[1]FTO glass'!AE41</f>
        <v>7.7349191552639985E-3</v>
      </c>
      <c r="AF3" s="41">
        <f>$F$4*'[1]FTO glass'!AF41</f>
        <v>0.50998414695703564</v>
      </c>
      <c r="AG3" s="41">
        <f>$F$4*'[1]FTO glass'!AG41</f>
        <v>1.0265223189718116</v>
      </c>
      <c r="AH3" s="41">
        <f>$F$4*'[1]FTO glass'!AH41</f>
        <v>1.8519365587967997</v>
      </c>
    </row>
    <row r="4" spans="1:35">
      <c r="A4" s="39" t="s">
        <v>0</v>
      </c>
      <c r="B4" s="43" t="s">
        <v>14</v>
      </c>
      <c r="C4" s="39">
        <v>1</v>
      </c>
      <c r="D4" s="39" t="s">
        <v>14</v>
      </c>
      <c r="E4" s="39" t="s">
        <v>14</v>
      </c>
      <c r="F4" s="41">
        <v>5.04</v>
      </c>
      <c r="G4" s="39"/>
      <c r="H4" s="39"/>
      <c r="I4" s="39"/>
      <c r="J4" s="39"/>
      <c r="K4" s="39" t="str">
        <f>A6</f>
        <v>BL-TiO₂ ink</v>
      </c>
      <c r="L4" s="41">
        <f>$F$6*'[1]BL-TiO2 ink'!D14</f>
        <v>2.2765392121238102E-2</v>
      </c>
      <c r="M4" s="41">
        <f>$F$6*'[1]BL-TiO2 ink'!M14</f>
        <v>0.61700956254785699</v>
      </c>
      <c r="N4" s="41">
        <f>$F$6*'[1]BL-TiO2 ink'!N14</f>
        <v>1.293199433448129E-2</v>
      </c>
      <c r="O4" s="41">
        <f>$F$6*'[1]BL-TiO2 ink'!O14</f>
        <v>1.9695817554351288E-2</v>
      </c>
      <c r="P4" s="41">
        <f>$F$6*'[1]BL-TiO2 ink'!P14</f>
        <v>7.0744935330554022E-3</v>
      </c>
      <c r="Q4" s="41">
        <f>$F$6*'[1]BL-TiO2 ink'!Q14</f>
        <v>4.5729244499394381E-4</v>
      </c>
      <c r="R4" s="41">
        <f>$F$6*'[1]BL-TiO2 ink'!R14</f>
        <v>8.4917838143480997E-6</v>
      </c>
      <c r="S4" s="41">
        <f>$F$6*'[1]BL-TiO2 ink'!S14</f>
        <v>0.27776640399273711</v>
      </c>
      <c r="T4" s="41">
        <f>$F$6*'[1]BL-TiO2 ink'!T14</f>
        <v>1.3782653163698427E-3</v>
      </c>
      <c r="U4" s="41">
        <f>$F$6*'[1]BL-TiO2 ink'!U14</f>
        <v>0.22877280080022183</v>
      </c>
      <c r="V4" s="41">
        <f>$F$6*'[1]BL-TiO2 ink'!V14</f>
        <v>7.6318507950416941E-5</v>
      </c>
      <c r="W4" s="41">
        <f>$F$6*'[1]BL-TiO2 ink'!W14</f>
        <v>8.6460236902545723E-4</v>
      </c>
      <c r="X4" s="41">
        <f>$F$6*'[1]BL-TiO2 ink'!X14</f>
        <v>1.3390051863348496E-5</v>
      </c>
      <c r="Y4" s="41">
        <f>$F$6*'[1]BL-TiO2 ink'!Y14</f>
        <v>1.799284917773163E-9</v>
      </c>
      <c r="Z4" s="41">
        <f>$F$6*'[1]BL-TiO2 ink'!Z14</f>
        <v>5.7320391638240616E-5</v>
      </c>
      <c r="AA4" s="41">
        <f>$F$6*'[1]BL-TiO2 ink'!AA14</f>
        <v>7.2599651487083072E-5</v>
      </c>
      <c r="AB4" s="41">
        <f>$F$6*'[1]BL-TiO2 ink'!AB14</f>
        <v>1.7736710634835449E-4</v>
      </c>
      <c r="AC4" s="41">
        <f>$F$6*'[1]BL-TiO2 ink'!AC14</f>
        <v>9.6960437372414321E-5</v>
      </c>
      <c r="AD4" s="41">
        <f>$F$6*'[1]BL-TiO2 ink'!AD14</f>
        <v>7.4044005221490523E-4</v>
      </c>
      <c r="AE4" s="41">
        <f>$F$6*'[1]BL-TiO2 ink'!AE14</f>
        <v>4.2819083358078408E-3</v>
      </c>
      <c r="AF4" s="41">
        <f>$F$6*'[1]BL-TiO2 ink'!AF14</f>
        <v>4.1223709611176275E-3</v>
      </c>
      <c r="AG4" s="41">
        <f>$F$6*'[1]BL-TiO2 ink'!AG14</f>
        <v>2.7034988925174943E-3</v>
      </c>
      <c r="AH4" s="41">
        <f>$F$6*'[1]BL-TiO2 ink'!AH14</f>
        <v>8.9747570352761215E-4</v>
      </c>
    </row>
    <row r="5" spans="1:35">
      <c r="A5" s="44" t="s">
        <v>1</v>
      </c>
      <c r="B5" s="43"/>
      <c r="C5" s="39"/>
      <c r="D5" s="39"/>
      <c r="E5" s="39"/>
      <c r="F5" s="41"/>
      <c r="G5" s="39"/>
      <c r="H5" s="39"/>
      <c r="I5" s="39"/>
      <c r="J5" s="39"/>
      <c r="K5" s="39" t="str">
        <f>A8</f>
        <v>MP-TiO₂</v>
      </c>
      <c r="L5" s="41">
        <f>$F$8*[2]production!D89</f>
        <v>4.3640402400000004E-3</v>
      </c>
      <c r="M5" s="41">
        <f>$F$8*[2]production!M89</f>
        <v>4.6809738838836004E-2</v>
      </c>
      <c r="N5" s="41">
        <f>$F$8*[2]production!N89</f>
        <v>1.8693385199999998E-4</v>
      </c>
      <c r="O5" s="41">
        <f>$F$8*[2]production!O89</f>
        <v>3.7708588799999997E-3</v>
      </c>
      <c r="P5" s="41">
        <f>$F$8*[2]production!P89</f>
        <v>9.2951711999999988E-4</v>
      </c>
      <c r="Q5" s="41">
        <f>$F$8*[2]production!Q89</f>
        <v>6.6916907999999998E-5</v>
      </c>
      <c r="R5" s="41">
        <f>$F$8*[2]production!R89</f>
        <v>1.7321342399999998E-6</v>
      </c>
      <c r="S5" s="41">
        <f>$F$8*[2]production!S89</f>
        <v>6.1632791999999999E-2</v>
      </c>
      <c r="T5" s="41">
        <f>$F$8*[2]production!T89</f>
        <v>2.3518123199999999E-4</v>
      </c>
      <c r="U5" s="41">
        <f>$F$8*[2]production!U89</f>
        <v>7.7231339999999996E-2</v>
      </c>
      <c r="V5" s="41">
        <f>$F$8*[2]production!V89</f>
        <v>4.0176032400000002E-6</v>
      </c>
      <c r="W5" s="41">
        <f>$F$8*[2]production!W89</f>
        <v>1.1684951999999999E-4</v>
      </c>
      <c r="X5" s="41">
        <f>$F$8*[2]production!X89</f>
        <v>8.735796E-7</v>
      </c>
      <c r="Y5" s="41">
        <f>$F$8*[2]production!Y89</f>
        <v>3.8645618399999995E-10</v>
      </c>
      <c r="Z5" s="41">
        <f>$F$8*[2]production!Z89</f>
        <v>1.00372824E-5</v>
      </c>
      <c r="AA5" s="41">
        <f>$F$8*[2]production!AA89</f>
        <v>1.47747132E-5</v>
      </c>
      <c r="AB5" s="41">
        <f>$F$8*[2]production!AB89</f>
        <v>2.0841040799999998E-5</v>
      </c>
      <c r="AC5" s="41">
        <f>$F$8*[2]production!AC89</f>
        <v>2.1978064799999997E-6</v>
      </c>
      <c r="AD5" s="41">
        <f>$F$8*[2]production!AD89</f>
        <v>5.7308039999999997E-5</v>
      </c>
      <c r="AE5" s="41">
        <f>$F$8*[2]production!AE89</f>
        <v>4.0110552000000004E-5</v>
      </c>
      <c r="AF5" s="41">
        <f>$F$8*[2]production!AF89</f>
        <v>1.66624776E-4</v>
      </c>
      <c r="AG5" s="41">
        <f>$F$8*[2]production!AG89</f>
        <v>5.7089771999999995E-4</v>
      </c>
      <c r="AH5" s="41">
        <f>$F$8*[2]production!AH89</f>
        <v>1.2806240400000001E-4</v>
      </c>
    </row>
    <row r="6" spans="1:35">
      <c r="A6" s="39" t="s">
        <v>137</v>
      </c>
      <c r="B6" s="43">
        <v>60</v>
      </c>
      <c r="C6" s="39">
        <v>0.8</v>
      </c>
      <c r="D6" s="39">
        <v>4230</v>
      </c>
      <c r="E6" s="39">
        <v>0.8</v>
      </c>
      <c r="F6" s="41">
        <f>B6/1000000000*C6*D6/E6/80*190/0.0481*1</f>
        <v>1.2531704781704782E-2</v>
      </c>
      <c r="G6" s="39">
        <f>B6/1000000000*C6*D6</f>
        <v>2.0304000000000001E-4</v>
      </c>
      <c r="H6" s="39"/>
      <c r="I6" s="39"/>
      <c r="J6" s="39"/>
      <c r="K6" s="39" t="str">
        <f>A9</f>
        <v>2-methoxyethanol</v>
      </c>
      <c r="L6" s="41">
        <f>$F$9*[2]production!D10</f>
        <v>5.7271391279999995E-3</v>
      </c>
      <c r="M6" s="41">
        <f>$F$9*[2]production!M10</f>
        <v>0.16125322627587776</v>
      </c>
      <c r="N6" s="41">
        <f>$F$9*[2]production!N10</f>
        <v>1.9657773170999996E-4</v>
      </c>
      <c r="O6" s="41">
        <f>$F$9*[2]production!O10</f>
        <v>5.0901100109999996E-3</v>
      </c>
      <c r="P6" s="41">
        <f>$F$9*[2]production!P10</f>
        <v>3.5721144449999995E-3</v>
      </c>
      <c r="Q6" s="41">
        <f>$F$9*[2]production!Q10</f>
        <v>4.4562648149999991E-5</v>
      </c>
      <c r="R6" s="41">
        <f>$F$9*[2]production!R10</f>
        <v>1.9132916039999996E-6</v>
      </c>
      <c r="S6" s="41">
        <f>$F$9*[2]production!S10</f>
        <v>6.7344827489999995E-2</v>
      </c>
      <c r="T6" s="41">
        <f>$F$9*[2]production!T10</f>
        <v>2.9852933129999993E-4</v>
      </c>
      <c r="U6" s="41">
        <f>$F$9*[2]production!U10</f>
        <v>5.2916767019999998E-2</v>
      </c>
      <c r="V6" s="41">
        <f>$F$9*[2]production!V10</f>
        <v>4.1481592289999997E-6</v>
      </c>
      <c r="W6" s="41">
        <f>$F$9*[2]production!W10</f>
        <v>2.5143179219999997E-4</v>
      </c>
      <c r="X6" s="41">
        <f>$F$9*[2]production!X10</f>
        <v>4.1106869279999992E-7</v>
      </c>
      <c r="Y6" s="41">
        <f>$F$9*[2]production!Y10</f>
        <v>1.8822606200999996E-10</v>
      </c>
      <c r="Z6" s="41">
        <f>$F$9*[2]production!Z10</f>
        <v>9.5782140359999989E-6</v>
      </c>
      <c r="AA6" s="41">
        <f>$F$9*[2]production!AA10</f>
        <v>1.9728309266999998E-5</v>
      </c>
      <c r="AB6" s="41">
        <f>$F$9*[2]production!AB10</f>
        <v>2.0768226848999995E-5</v>
      </c>
      <c r="AC6" s="41">
        <f>$F$9*[2]production!AC10</f>
        <v>2.3957291105999993E-6</v>
      </c>
      <c r="AD6" s="41">
        <f>$F$9*[2]production!AD10</f>
        <v>2.9909264039999996E-5</v>
      </c>
      <c r="AE6" s="41">
        <f>$F$9*[2]production!AE10</f>
        <v>1.0812350798999997E-5</v>
      </c>
      <c r="AF6" s="41">
        <f>$F$9*[2]production!AF10</f>
        <v>1.9518170480999997E-4</v>
      </c>
      <c r="AG6" s="41">
        <f>$F$9*[2]production!AG10</f>
        <v>6.5890020509999983E-4</v>
      </c>
      <c r="AH6" s="41">
        <f>$F$9*[2]production!AH10</f>
        <v>4.4001788219999991E-4</v>
      </c>
    </row>
    <row r="7" spans="1:35">
      <c r="A7" s="44" t="s">
        <v>2</v>
      </c>
      <c r="B7" s="43"/>
      <c r="C7" s="39"/>
      <c r="D7" s="39"/>
      <c r="E7" s="39"/>
      <c r="F7" s="41"/>
      <c r="G7" s="39"/>
      <c r="H7" s="39"/>
      <c r="I7" s="39"/>
      <c r="J7" s="39"/>
      <c r="K7" s="39" t="str">
        <f>A12</f>
        <v>PbI₂</v>
      </c>
      <c r="L7" s="41">
        <f>$F$12*[1]PbI2!D18</f>
        <v>3.5016340047384839E-3</v>
      </c>
      <c r="M7" s="41">
        <f>$F$12*[1]PbI2!M18</f>
        <v>4.1638537323627607E-2</v>
      </c>
      <c r="N7" s="41">
        <f>$F$12*[1]PbI2!N18</f>
        <v>8.0315919509735658E-4</v>
      </c>
      <c r="O7" s="41">
        <f>$F$12*[1]PbI2!O18</f>
        <v>2.9905093719598446E-3</v>
      </c>
      <c r="P7" s="41">
        <f>$F$12*[1]PbI2!P18</f>
        <v>7.9376205007695207E-4</v>
      </c>
      <c r="Q7" s="41">
        <f>$F$12*[1]PbI2!Q18</f>
        <v>5.4673540733933863E-5</v>
      </c>
      <c r="R7" s="41">
        <f>$F$12*[1]PbI2!R18</f>
        <v>1.5179014444515991E-6</v>
      </c>
      <c r="S7" s="41">
        <f>$F$12*[1]PbI2!S18</f>
        <v>0.11963359576839162</v>
      </c>
      <c r="T7" s="41">
        <f>$F$12*[1]PbI2!T18</f>
        <v>1.4699736015628701E-4</v>
      </c>
      <c r="U7" s="41">
        <f>$F$12*[1]PbI2!U18</f>
        <v>5.9997222638626599E-2</v>
      </c>
      <c r="V7" s="41">
        <f>$F$12*[1]PbI2!V18</f>
        <v>3.9576161819112662E-6</v>
      </c>
      <c r="W7" s="41">
        <f>$F$12*[1]PbI2!W18</f>
        <v>4.8502748767224153E-4</v>
      </c>
      <c r="X7" s="41">
        <f>$F$12*[1]PbI2!X18</f>
        <v>5.0873998665882582E-7</v>
      </c>
      <c r="Y7" s="41">
        <f>$F$12*[1]PbI2!Y18</f>
        <v>3.423710611539992E-10</v>
      </c>
      <c r="Z7" s="41">
        <f>$F$12*[1]PbI2!Z18</f>
        <v>8.4754639927782855E-6</v>
      </c>
      <c r="AA7" s="41">
        <f>$F$12*[1]PbI2!AA18</f>
        <v>1.1929587231566769E-5</v>
      </c>
      <c r="AB7" s="41">
        <f>$F$12*[1]PbI2!AB18</f>
        <v>2.397741249812619E-5</v>
      </c>
      <c r="AC7" s="41">
        <f>$F$12*[1]PbI2!AC18</f>
        <v>4.1249692244903267E-6</v>
      </c>
      <c r="AD7" s="41">
        <f>$F$12*[1]PbI2!AD18</f>
        <v>3.0844687943231479E-5</v>
      </c>
      <c r="AE7" s="41">
        <f>$F$12*[1]PbI2!AE18</f>
        <v>9.0068282191990196E-6</v>
      </c>
      <c r="AF7" s="41">
        <f>$F$12*[1]PbI2!AF18</f>
        <v>1.4667782600579719E-4</v>
      </c>
      <c r="AG7" s="41">
        <f>$F$12*[1]PbI2!AG18</f>
        <v>9.3640214573677001E-4</v>
      </c>
      <c r="AH7" s="41">
        <f>$F$12*[1]PbI2!AH18</f>
        <v>1.176927835741781E-4</v>
      </c>
    </row>
    <row r="8" spans="1:35">
      <c r="A8" s="39" t="s">
        <v>138</v>
      </c>
      <c r="B8" s="43">
        <v>150</v>
      </c>
      <c r="C8" s="39">
        <v>0.8</v>
      </c>
      <c r="D8" s="39">
        <v>4230</v>
      </c>
      <c r="E8" s="39">
        <v>1</v>
      </c>
      <c r="F8" s="41">
        <f>B8/1000000000*C8*D8/E8</f>
        <v>5.0759999999999998E-4</v>
      </c>
      <c r="G8" s="39"/>
      <c r="H8" s="39"/>
      <c r="I8" s="39"/>
      <c r="J8" s="39"/>
      <c r="K8" s="39" t="str">
        <f t="shared" ref="K8:K13" si="0">A13</f>
        <v>PbBr₂</v>
      </c>
      <c r="L8" s="41">
        <f>$F$13*[3]Sheet1!P22</f>
        <v>6.0294176243999574E-5</v>
      </c>
      <c r="M8" s="41">
        <f>$F$13*[3]Sheet1!Y22</f>
        <v>7.9057775962192297E-4</v>
      </c>
      <c r="N8" s="41">
        <f>$F$13*[3]Sheet1!Z22</f>
        <v>1.787536424718461E-5</v>
      </c>
      <c r="O8" s="41">
        <f>$F$13*[3]Sheet1!AA22</f>
        <v>5.5387418860085569E-5</v>
      </c>
      <c r="P8" s="41">
        <f>$F$13*[3]Sheet1!AB22</f>
        <v>1.4335309932108604E-5</v>
      </c>
      <c r="Q8" s="41">
        <f>$F$13*[3]Sheet1!AC22</f>
        <v>1.3650662462844921E-6</v>
      </c>
      <c r="R8" s="41">
        <f>$F$13*[3]Sheet1!AD22</f>
        <v>4.0820407658993643E-8</v>
      </c>
      <c r="S8" s="41">
        <f>$F$13*[3]Sheet1!AE22</f>
        <v>3.6829831424864158E-3</v>
      </c>
      <c r="T8" s="41">
        <f>$F$13*[3]Sheet1!AF22</f>
        <v>3.1893711547178592E-6</v>
      </c>
      <c r="U8" s="41">
        <f>$F$13*[3]Sheet1!AG22</f>
        <v>1.5845976687352324E-3</v>
      </c>
      <c r="V8" s="41">
        <f>$F$13*[3]Sheet1!AH22</f>
        <v>1.1188486671891073E-7</v>
      </c>
      <c r="W8" s="41">
        <f>$F$13*[3]Sheet1!AI22</f>
        <v>1.743929250096639E-5</v>
      </c>
      <c r="X8" s="41">
        <f>$F$13*[3]Sheet1!AJ22</f>
        <v>9.0359824228299086E-9</v>
      </c>
      <c r="Y8" s="41">
        <f>$F$13*[3]Sheet1!AK22</f>
        <v>5.4919543399528897E-12</v>
      </c>
      <c r="Z8" s="41">
        <f>$F$13*[3]Sheet1!AL22</f>
        <v>3.0468485467940722E-7</v>
      </c>
      <c r="AA8" s="41">
        <f>$F$13*[3]Sheet1!AM22</f>
        <v>7.6670125720519565E-7</v>
      </c>
      <c r="AB8" s="41">
        <f>$F$13*[3]Sheet1!AN22</f>
        <v>9.331060616620476E-7</v>
      </c>
      <c r="AC8" s="41">
        <f>$F$13*[3]Sheet1!AO22</f>
        <v>7.9564572968540095E-8</v>
      </c>
      <c r="AD8" s="41">
        <f>$F$13*[3]Sheet1!AP22</f>
        <v>6.8207202674132785E-7</v>
      </c>
      <c r="AE8" s="41">
        <f>$F$13*[3]Sheet1!AQ22</f>
        <v>2.9174225954603977E-7</v>
      </c>
      <c r="AF8" s="41">
        <f>$F$13*[3]Sheet1!AR22</f>
        <v>3.056169212646908E-6</v>
      </c>
      <c r="AG8" s="41">
        <f>$F$13*[3]Sheet1!AS22</f>
        <v>2.77309347596421E-5</v>
      </c>
      <c r="AH8" s="41">
        <f>$F$13*[3]Sheet1!AT22</f>
        <v>2.5285314408568824E-6</v>
      </c>
    </row>
    <row r="9" spans="1:35">
      <c r="A9" s="39" t="s">
        <v>80</v>
      </c>
      <c r="B9" s="43"/>
      <c r="C9" s="39"/>
      <c r="D9" s="39"/>
      <c r="E9" s="39"/>
      <c r="F9" s="41">
        <f>F8*1000*5/1000000*965</f>
        <v>2.4491699999999996E-3</v>
      </c>
      <c r="G9" s="39"/>
      <c r="H9" s="39"/>
      <c r="I9" s="39"/>
      <c r="J9" s="39"/>
      <c r="K9" s="39" t="str">
        <f t="shared" si="0"/>
        <v>FAI</v>
      </c>
      <c r="L9" s="41">
        <f>$F$14*[4]Sheet1!P26</f>
        <v>2.0114480946874777E-2</v>
      </c>
      <c r="M9" s="41">
        <f>$F$14*[4]Sheet1!Y26</f>
        <v>0.35631319119228022</v>
      </c>
      <c r="N9" s="41">
        <f>$F$14*[4]Sheet1!Z26</f>
        <v>3.3724328029935353E-4</v>
      </c>
      <c r="O9" s="41">
        <f>$F$14*[4]Sheet1!AA26</f>
        <v>1.8893218006153331E-2</v>
      </c>
      <c r="P9" s="41">
        <f>$F$14*[4]Sheet1!AB26</f>
        <v>8.2663717912582445E-3</v>
      </c>
      <c r="Q9" s="41">
        <f>$F$14*[4]Sheet1!AC26</f>
        <v>8.7607107756067093E-5</v>
      </c>
      <c r="R9" s="41">
        <f>$F$14*[4]Sheet1!AD26</f>
        <v>6.6612200222894416E-7</v>
      </c>
      <c r="S9" s="41">
        <f>$F$14*[4]Sheet1!AE26</f>
        <v>0.15755410985478696</v>
      </c>
      <c r="T9" s="41">
        <f>$F$14*[4]Sheet1!AF26</f>
        <v>1.5380847879207469E-4</v>
      </c>
      <c r="U9" s="41">
        <f>$F$14*[4]Sheet1!AG26</f>
        <v>5.4143526470466163E-2</v>
      </c>
      <c r="V9" s="41">
        <f>$F$14*[4]Sheet1!AH26</f>
        <v>1.8620177183795496E-5</v>
      </c>
      <c r="W9" s="41">
        <f>$F$14*[4]Sheet1!AI26</f>
        <v>1.0631882345536246E-4</v>
      </c>
      <c r="X9" s="41">
        <f>$F$14*[4]Sheet1!AJ26</f>
        <v>3.3223284784395848E-6</v>
      </c>
      <c r="Y9" s="41">
        <f>$F$14*[4]Sheet1!AK26</f>
        <v>3.6408292331235422E-8</v>
      </c>
      <c r="Z9" s="41">
        <f>$F$14*[4]Sheet1!AL26</f>
        <v>2.2074361746497299E-5</v>
      </c>
      <c r="AA9" s="41">
        <f>$F$14*[4]Sheet1!AM26</f>
        <v>6.945563910145705E-5</v>
      </c>
      <c r="AB9" s="41">
        <f>$F$14*[4]Sheet1!AN26</f>
        <v>8.3806690793325662E-5</v>
      </c>
      <c r="AC9" s="41">
        <f>$F$14*[4]Sheet1!AO26</f>
        <v>3.7417686853794654E-6</v>
      </c>
      <c r="AD9" s="41">
        <f>$F$14*[4]Sheet1!AP26</f>
        <v>2.6285211569953851E-5</v>
      </c>
      <c r="AE9" s="41">
        <f>$F$14*[4]Sheet1!AQ26</f>
        <v>9.5967936906898659E-5</v>
      </c>
      <c r="AF9" s="41">
        <f>$F$14*[4]Sheet1!AR26</f>
        <v>6.340999703515509E-4</v>
      </c>
      <c r="AG9" s="41">
        <f>$F$14*[4]Sheet1!AS26</f>
        <v>1.7796963954646E-3</v>
      </c>
      <c r="AH9" s="41">
        <f>$F$14*[4]Sheet1!AT26</f>
        <v>9.9616632314630436E-4</v>
      </c>
    </row>
    <row r="10" spans="1:35">
      <c r="A10" s="50" t="s">
        <v>20</v>
      </c>
      <c r="B10" s="55"/>
      <c r="C10" s="50"/>
      <c r="D10" s="50"/>
      <c r="E10" s="50"/>
      <c r="F10" s="53">
        <f>25.77/1000</f>
        <v>2.5770000000000001E-2</v>
      </c>
      <c r="G10" s="39" t="s">
        <v>81</v>
      </c>
      <c r="H10" s="39" t="s">
        <v>82</v>
      </c>
      <c r="I10" s="39"/>
      <c r="J10" s="39" t="s">
        <v>142</v>
      </c>
      <c r="K10" s="39" t="str">
        <f t="shared" si="0"/>
        <v>MABr</v>
      </c>
      <c r="L10" s="41">
        <f>$F$15*[5]Sheet1!K20</f>
        <v>0.1114344024570799</v>
      </c>
      <c r="M10" s="41">
        <f>$F$15*[5]Sheet1!T20</f>
        <v>1.9630136677403471</v>
      </c>
      <c r="N10" s="41">
        <f>$F$15*[5]Sheet1!U20</f>
        <v>9.8029983179979681E-4</v>
      </c>
      <c r="O10" s="41">
        <f>$F$15*[5]Sheet1!V20</f>
        <v>0.10515728209198488</v>
      </c>
      <c r="P10" s="41">
        <f>$F$15*[5]Sheet1!W20</f>
        <v>4.6331785855829137E-2</v>
      </c>
      <c r="Q10" s="41">
        <f>$F$15*[5]Sheet1!X20</f>
        <v>4.6095212396454613E-4</v>
      </c>
      <c r="R10" s="41">
        <f>$F$15*[5]Sheet1!Y20</f>
        <v>3.0538241433977869E-6</v>
      </c>
      <c r="S10" s="41">
        <f>$F$15*[5]Sheet1!Z20</f>
        <v>0.87681745824645263</v>
      </c>
      <c r="T10" s="41">
        <f>$F$15*[5]Sheet1!AA20</f>
        <v>7.1559855215042143E-4</v>
      </c>
      <c r="U10" s="41">
        <f>$F$15*[5]Sheet1!AB20</f>
        <v>0.2953084274281812</v>
      </c>
      <c r="V10" s="41">
        <f>$F$15*[5]Sheet1!AC20</f>
        <v>9.6610321320667934E-5</v>
      </c>
      <c r="W10" s="41">
        <f>$F$15*[5]Sheet1!AD20</f>
        <v>4.988499028441214E-4</v>
      </c>
      <c r="X10" s="41">
        <f>$F$15*[5]Sheet1!AE20</f>
        <v>1.733125216280493E-5</v>
      </c>
      <c r="Y10" s="41">
        <f>$F$15*[5]Sheet1!AF20</f>
        <v>9.3714347177340703E-9</v>
      </c>
      <c r="Z10" s="41">
        <f>$F$15*[5]Sheet1!AG20</f>
        <v>1.1857680738805008E-4</v>
      </c>
      <c r="AA10" s="41">
        <f>$F$15*[5]Sheet1!AH20</f>
        <v>3.1603291954213937E-4</v>
      </c>
      <c r="AB10" s="41">
        <f>$F$15*[5]Sheet1!AI20</f>
        <v>4.5615883652045123E-4</v>
      </c>
      <c r="AC10" s="41">
        <f>$F$15*[5]Sheet1!AJ20</f>
        <v>1.0079444650216779E-5</v>
      </c>
      <c r="AD10" s="41">
        <f>$F$15*[5]Sheet1!AK20</f>
        <v>6.714422923361849E-5</v>
      </c>
      <c r="AE10" s="41">
        <f>$F$15*[5]Sheet1!AL20</f>
        <v>1.514563120098777E-5</v>
      </c>
      <c r="AF10" s="41">
        <f>$F$15*[5]Sheet1!AM20</f>
        <v>3.1193811546776284E-3</v>
      </c>
      <c r="AG10" s="41">
        <f>$F$15*[5]Sheet1!AN20</f>
        <v>9.8876382210624815E-3</v>
      </c>
      <c r="AH10" s="41">
        <f>$F$15*[5]Sheet1!AO20</f>
        <v>5.5788624212909982E-3</v>
      </c>
    </row>
    <row r="11" spans="1:35">
      <c r="A11" s="44" t="s">
        <v>3</v>
      </c>
      <c r="B11" s="43">
        <v>500</v>
      </c>
      <c r="C11" s="39"/>
      <c r="D11" s="39"/>
      <c r="E11" s="39"/>
      <c r="F11" s="41"/>
      <c r="G11" s="39">
        <f>H11*461</f>
        <v>0.24918983596345515</v>
      </c>
      <c r="H11" s="39">
        <f>H15*(1-0.025)</f>
        <v>5.4054194352159469E-4</v>
      </c>
      <c r="I11" s="39">
        <f>G11/1000/D12/C12</f>
        <v>5.0566119310766058E-8</v>
      </c>
      <c r="J11" s="39"/>
      <c r="K11" s="39" t="str">
        <f t="shared" si="0"/>
        <v>DMF</v>
      </c>
      <c r="L11" s="41">
        <f>$F$16*[2]production!D75</f>
        <v>2.7778789137676346E-3</v>
      </c>
      <c r="M11" s="41">
        <f>$F$16*[2]production!M75</f>
        <v>7.5556306550594685E-2</v>
      </c>
      <c r="N11" s="41">
        <f>$F$16*[2]production!N75</f>
        <v>1.130588562520065E-4</v>
      </c>
      <c r="O11" s="41">
        <f>$F$16*[2]production!O75</f>
        <v>2.5143823608539837E-3</v>
      </c>
      <c r="P11" s="41">
        <f>$F$16*[2]production!P75</f>
        <v>1.6907857291787833E-3</v>
      </c>
      <c r="Q11" s="41">
        <f>$F$16*[2]production!Q75</f>
        <v>3.5379800606950359E-5</v>
      </c>
      <c r="R11" s="41">
        <f>$F$16*[2]production!R75</f>
        <v>9.5442257310893093E-7</v>
      </c>
      <c r="S11" s="41">
        <f>$F$16*[2]production!S75</f>
        <v>5.7632346637830463E-2</v>
      </c>
      <c r="T11" s="41">
        <f>$F$16*[2]production!T75</f>
        <v>2.4885569802073255E-4</v>
      </c>
      <c r="U11" s="41">
        <f>$F$16*[2]production!U75</f>
        <v>3.7440005784852959E-2</v>
      </c>
      <c r="V11" s="41">
        <f>$F$16*[2]production!V75</f>
        <v>1.2133074509071062E-5</v>
      </c>
      <c r="W11" s="41">
        <f>$F$16*[2]production!W75</f>
        <v>1.6190377731717135E-4</v>
      </c>
      <c r="X11" s="41">
        <f>$F$16*[2]production!X75</f>
        <v>1.0616561555308639E-6</v>
      </c>
      <c r="Y11" s="41">
        <f>$F$16*[2]production!Y75</f>
        <v>5.0529396081027726E-10</v>
      </c>
      <c r="Z11" s="41">
        <f>$F$16*[2]production!Z75</f>
        <v>7.0077073296810455E-6</v>
      </c>
      <c r="AA11" s="41">
        <f>$F$16*[2]production!AA75</f>
        <v>8.5003366607401689E-6</v>
      </c>
      <c r="AB11" s="41">
        <f>$F$16*[2]production!AB75</f>
        <v>1.7854464289174749E-5</v>
      </c>
      <c r="AC11" s="41">
        <f>$F$16*[2]production!AC75</f>
        <v>1.7854464289174749E-5</v>
      </c>
      <c r="AD11" s="41">
        <f>$F$16*[2]production!AD75</f>
        <v>2.1457396153075101E-5</v>
      </c>
      <c r="AE11" s="41">
        <f>$F$16*[2]production!AE75</f>
        <v>7.510040109627702E-6</v>
      </c>
      <c r="AF11" s="41">
        <f>$F$16*[2]production!AF75</f>
        <v>1.1187438390655826E-4</v>
      </c>
      <c r="AG11" s="41">
        <f>$F$16*[2]production!AG75</f>
        <v>4.9684731375667095E-4</v>
      </c>
      <c r="AH11" s="41">
        <f>$F$16*[2]production!AH75</f>
        <v>2.1023413252734642E-4</v>
      </c>
    </row>
    <row r="12" spans="1:35">
      <c r="A12" s="39" t="s">
        <v>139</v>
      </c>
      <c r="B12" s="43">
        <f>$B$11/$I$16*I11</f>
        <v>155.68269786592475</v>
      </c>
      <c r="C12" s="39">
        <v>0.8</v>
      </c>
      <c r="D12" s="39">
        <v>6160</v>
      </c>
      <c r="E12" s="39">
        <v>1</v>
      </c>
      <c r="F12" s="41">
        <f>B12/1000000000*C12*D12/E12</f>
        <v>7.6720433508327738E-4</v>
      </c>
      <c r="G12" s="39">
        <f>H12*367</f>
        <v>5.0866382890365457E-3</v>
      </c>
      <c r="H12" s="39">
        <f>H15*0.025</f>
        <v>1.3860049833887045E-5</v>
      </c>
      <c r="I12" s="39">
        <f>G12/1000/D13/C13</f>
        <v>9.54699378572925E-10</v>
      </c>
      <c r="J12" s="39"/>
      <c r="K12" s="39" t="str">
        <f t="shared" si="0"/>
        <v>DMSO</v>
      </c>
      <c r="L12" s="41">
        <f>$F$17*[2]production!D104</f>
        <v>3.5756612254426892E-4</v>
      </c>
      <c r="M12" s="41">
        <f>$F$17*[2]production!M104</f>
        <v>1.6499999309507574E-2</v>
      </c>
      <c r="N12" s="41">
        <f>$F$17*[2]production!N104</f>
        <v>1.5253169211464288E-5</v>
      </c>
      <c r="O12" s="41">
        <f>$F$17*[2]production!O104</f>
        <v>3.046183980339329E-4</v>
      </c>
      <c r="P12" s="41">
        <f>$F$17*[2]production!P104</f>
        <v>3.6708544748282929E-4</v>
      </c>
      <c r="Q12" s="41">
        <f>$F$17*[2]production!Q104</f>
        <v>6.4047032079231407E-6</v>
      </c>
      <c r="R12" s="41">
        <f>$F$17*[2]production!R104</f>
        <v>1.4246035898437896E-7</v>
      </c>
      <c r="S12" s="41">
        <f>$F$17*[2]production!S104</f>
        <v>9.4700384928725918E-3</v>
      </c>
      <c r="T12" s="41">
        <f>$F$17*[2]production!T104</f>
        <v>5.2161957747655995E-5</v>
      </c>
      <c r="U12" s="41">
        <f>$F$17*[2]production!U104</f>
        <v>5.5336004849951131E-3</v>
      </c>
      <c r="V12" s="41">
        <f>$F$17*[2]production!V104</f>
        <v>2.8007093171307721E-7</v>
      </c>
      <c r="W12" s="41">
        <f>$F$17*[2]production!W104</f>
        <v>3.0681516532744684E-5</v>
      </c>
      <c r="X12" s="41">
        <f>$F$17*[2]production!X104</f>
        <v>1.6001759912254039E-7</v>
      </c>
      <c r="Y12" s="41">
        <f>$F$17*[2]production!Y104</f>
        <v>8.9073281015340216E-11</v>
      </c>
      <c r="Z12" s="41">
        <f>$F$17*[2]production!Z104</f>
        <v>4.8458433400257489E-7</v>
      </c>
      <c r="AA12" s="41">
        <f>$F$17*[2]production!AA104</f>
        <v>1.1099870842560434E-6</v>
      </c>
      <c r="AB12" s="41">
        <f>$F$17*[2]production!AB104</f>
        <v>1.4473598459099341E-6</v>
      </c>
      <c r="AC12" s="41">
        <f>$F$17*[2]production!AC104</f>
        <v>2.7437060222324104E-7</v>
      </c>
      <c r="AD12" s="41">
        <f>$F$17*[2]production!AD104</f>
        <v>2.6970106354036136E-6</v>
      </c>
      <c r="AE12" s="41">
        <f>$F$17*[2]production!AE104</f>
        <v>1.0823021836211176E-6</v>
      </c>
      <c r="AF12" s="41">
        <f>$F$17*[2]production!AF104</f>
        <v>1.4003828222486361E-5</v>
      </c>
      <c r="AG12" s="41">
        <f>$F$17*[2]production!AG104</f>
        <v>7.6137701298533141E-5</v>
      </c>
      <c r="AH12" s="41">
        <f>$F$17*[2]production!AH104</f>
        <v>4.5439286555838333E-5</v>
      </c>
    </row>
    <row r="13" spans="1:35">
      <c r="A13" s="39" t="s">
        <v>140</v>
      </c>
      <c r="B13" s="43">
        <f>$B$11/$I$16*I12</f>
        <v>2.9393233440302757</v>
      </c>
      <c r="C13" s="39">
        <v>0.8</v>
      </c>
      <c r="D13" s="39">
        <v>6660</v>
      </c>
      <c r="E13" s="39">
        <v>1</v>
      </c>
      <c r="F13" s="41">
        <f t="shared" ref="F13:F15" si="1">B13/1000000000*C13*D13/E13</f>
        <v>1.566071477699331E-5</v>
      </c>
      <c r="G13" s="39">
        <f>80/1000</f>
        <v>0.08</v>
      </c>
      <c r="H13" s="39">
        <f>G13/172</f>
        <v>4.6511627906976747E-4</v>
      </c>
      <c r="I13" s="39">
        <f>G13/1000/D14/C14</f>
        <v>9.3023255813953489E-8</v>
      </c>
      <c r="J13" s="39"/>
      <c r="K13" s="39" t="str">
        <f t="shared" si="0"/>
        <v>Isopropanol</v>
      </c>
      <c r="L13" s="41">
        <f>($F$10+$F$18+$F$21)*[6]production!D76</f>
        <v>9.8536232918946171E-2</v>
      </c>
      <c r="M13" s="41">
        <f>($F$10+$F$18+$F$21)*[6]production!M76</f>
        <v>3.2570821583550118</v>
      </c>
      <c r="N13" s="41">
        <f>($F$10+$F$18+$F$21)*[6]production!N76</f>
        <v>1.9815706048313128E-3</v>
      </c>
      <c r="O13" s="41">
        <f>($F$10+$F$18+$F$21)*[6]production!O76</f>
        <v>8.5850252764932564E-2</v>
      </c>
      <c r="P13" s="41">
        <f>($F$10+$F$18+$F$21)*[6]production!P76</f>
        <v>7.4545646885452135E-2</v>
      </c>
      <c r="Q13" s="41">
        <f>($F$10+$F$18+$F$21)*[6]production!Q76</f>
        <v>5.0053233478787834E-4</v>
      </c>
      <c r="R13" s="41">
        <f>($F$10+$F$18+$F$21)*[6]production!R76</f>
        <v>1.4179051489026607E-5</v>
      </c>
      <c r="S13" s="41">
        <f>($F$10+$F$18+$F$21)*[6]production!S76</f>
        <v>0.82493944957277754</v>
      </c>
      <c r="T13" s="41">
        <f>($F$10+$F$18+$F$21)*[6]production!T76</f>
        <v>1.9897185546537545E-3</v>
      </c>
      <c r="U13" s="41">
        <f>($F$10+$F$18+$F$21)*[6]production!U76</f>
        <v>0.61422591277387006</v>
      </c>
      <c r="V13" s="41">
        <f>($F$10+$F$18+$F$21)*[6]production!V76</f>
        <v>6.0359580605187662E-5</v>
      </c>
      <c r="W13" s="41">
        <f>($F$10+$F$18+$F$21)*[6]production!W76</f>
        <v>3.4854339263641039E-3</v>
      </c>
      <c r="X13" s="41">
        <f>($F$10+$F$18+$F$21)*[6]production!X76</f>
        <v>7.9369664859798433E-6</v>
      </c>
      <c r="Y13" s="41">
        <f>($F$10+$F$18+$F$21)*[6]production!Y76</f>
        <v>3.4922868378041706E-9</v>
      </c>
      <c r="Z13" s="41">
        <f>($F$10+$F$18+$F$21)*[6]production!Z76</f>
        <v>1.3004883355673412E-4</v>
      </c>
      <c r="AA13" s="41">
        <f>($F$10+$F$18+$F$21)*[6]production!AA76</f>
        <v>4.2438407790423735E-4</v>
      </c>
      <c r="AB13" s="41">
        <f>($F$10+$F$18+$F$21)*[6]production!AB76</f>
        <v>3.6490944019367249E-4</v>
      </c>
      <c r="AC13" s="41">
        <f>($F$10+$F$18+$F$21)*[6]production!AC76</f>
        <v>2.827878187713275E-5</v>
      </c>
      <c r="AD13" s="41">
        <f>($F$10+$F$18+$F$21)*[6]production!AD76</f>
        <v>2.8099634900904236E-4</v>
      </c>
      <c r="AE13" s="41">
        <f>($F$10+$F$18+$F$21)*[6]production!AE76</f>
        <v>2.2805625913621056E-4</v>
      </c>
      <c r="AF13" s="41">
        <f>($F$10+$F$18+$F$21)*[6]production!AF76</f>
        <v>2.960619621906697E-3</v>
      </c>
      <c r="AG13" s="41">
        <f>($F$10+$F$18+$F$21)*[6]production!AG76</f>
        <v>8.9390024343423812E-3</v>
      </c>
      <c r="AH13" s="41">
        <f>($F$10+$F$18+$F$21)*[6]production!AH76</f>
        <v>9.1003426328132471E-3</v>
      </c>
      <c r="AI13" s="41"/>
    </row>
    <row r="14" spans="1:35">
      <c r="A14" s="39" t="s">
        <v>4</v>
      </c>
      <c r="B14" s="43">
        <f>$B$11/$I$16*I13</f>
        <v>286.39950280513136</v>
      </c>
      <c r="C14" s="39">
        <v>0.8</v>
      </c>
      <c r="D14" s="39">
        <v>1075</v>
      </c>
      <c r="E14" s="39">
        <v>1</v>
      </c>
      <c r="F14" s="41">
        <f t="shared" si="1"/>
        <v>2.4630357241241295E-4</v>
      </c>
      <c r="G14" s="39">
        <f>10/1000</f>
        <v>0.01</v>
      </c>
      <c r="H14" s="39">
        <f>G14/112</f>
        <v>8.9285714285714286E-5</v>
      </c>
      <c r="I14" s="39">
        <f>G14/1000/D15/C15</f>
        <v>1.7857142857142859E-8</v>
      </c>
      <c r="J14" s="39"/>
      <c r="K14" s="39" t="str">
        <f>A20</f>
        <v>PTAA solution</v>
      </c>
      <c r="L14" s="41">
        <f>$F$20*[7]Inventory!$AP$84</f>
        <v>4.2266595161539466E-2</v>
      </c>
      <c r="M14" s="41">
        <f>$F$20*[7]Inventory!AQ84</f>
        <v>0.78923824670233655</v>
      </c>
      <c r="N14" s="41">
        <f>$F$20*[7]Inventory!AR84</f>
        <v>6.8642195268754365E-4</v>
      </c>
      <c r="O14" s="41">
        <f>$F$20*[7]Inventory!AS84</f>
        <v>3.9364253554828414E-2</v>
      </c>
      <c r="P14" s="41">
        <f>$F$20*[7]Inventory!AT84</f>
        <v>1.8329659623102422E-2</v>
      </c>
      <c r="Q14" s="41">
        <f>$F$20*[7]Inventory!AU84</f>
        <v>4.3583377608497721E-4</v>
      </c>
      <c r="R14" s="41">
        <f>$F$20*[7]Inventory!AV84</f>
        <v>5.407938883513064E-6</v>
      </c>
      <c r="S14" s="41">
        <f>$F$20*[7]Inventory!AW84</f>
        <v>0.71234192691182507</v>
      </c>
      <c r="T14" s="41">
        <f>$F$20*[7]Inventory!AX84</f>
        <v>6.8896466473247189E-4</v>
      </c>
      <c r="U14" s="41">
        <f>$F$20*[7]Inventory!AY84</f>
        <v>0.34733884222527062</v>
      </c>
      <c r="V14" s="41">
        <f>$F$20*[7]Inventory!AZ84</f>
        <v>3.8598570396987373E-5</v>
      </c>
      <c r="W14" s="41">
        <f>$F$20*[7]Inventory!BA84</f>
        <v>4.5224011222769461E-3</v>
      </c>
      <c r="X14" s="41">
        <f>$F$20*[7]Inventory!BB84</f>
        <v>6.1913063347356005E-6</v>
      </c>
      <c r="Y14" s="41">
        <f>$F$20*[7]Inventory!BC84</f>
        <v>3.5904134791905033E-9</v>
      </c>
      <c r="Z14" s="41">
        <f>$F$20*[7]Inventory!BD84</f>
        <v>1.6044419532427895E-4</v>
      </c>
      <c r="AA14" s="41">
        <f>$F$20*[7]Inventory!BE84</f>
        <v>1.6589163623841811E-4</v>
      </c>
      <c r="AB14" s="41">
        <f>$F$20*[7]Inventory!BF84</f>
        <v>6.9771284358260141E-4</v>
      </c>
      <c r="AC14" s="41">
        <f>$F$20*[7]Inventory!BG84</f>
        <v>2.99872377651063E-4</v>
      </c>
      <c r="AD14" s="41">
        <f>$F$20*[7]Inventory!BH84</f>
        <v>8.0971261112950388E-5</v>
      </c>
      <c r="AE14" s="41">
        <f>$F$20*[7]Inventory!BI84</f>
        <v>3.8207534940145927E-5</v>
      </c>
      <c r="AF14" s="41">
        <f>$F$20*[7]Inventory!BJ84</f>
        <v>1.3557704922337629E-3</v>
      </c>
      <c r="AG14" s="41">
        <f>$F$20*[7]Inventory!BK84</f>
        <v>6.6190553912701504E-3</v>
      </c>
      <c r="AH14" s="41">
        <f>$F$20*[7]Inventory!BL84</f>
        <v>2.3819254845185789E-3</v>
      </c>
    </row>
    <row r="15" spans="1:35">
      <c r="A15" s="39" t="s">
        <v>5</v>
      </c>
      <c r="B15" s="43">
        <f>$B$11/$I$16*I14</f>
        <v>54.978475984913608</v>
      </c>
      <c r="C15" s="39">
        <v>0.8</v>
      </c>
      <c r="D15" s="39">
        <v>700</v>
      </c>
      <c r="E15" s="39">
        <v>1</v>
      </c>
      <c r="F15" s="41">
        <f t="shared" si="1"/>
        <v>3.0787946551551619E-5</v>
      </c>
      <c r="G15" s="39"/>
      <c r="H15" s="39">
        <f>SUM(H13:H14)</f>
        <v>5.5440199335548179E-4</v>
      </c>
      <c r="I15" s="39"/>
      <c r="J15" s="39"/>
      <c r="K15" s="50" t="s">
        <v>156</v>
      </c>
      <c r="L15" s="53">
        <f>$F$23*[6]production!D133</f>
        <v>7.2295014400000001E-3</v>
      </c>
      <c r="M15" s="53">
        <f>$F$23*[6]production!M133</f>
        <v>0.103960138283008</v>
      </c>
      <c r="N15" s="53">
        <f>$F$23*[6]production!N133</f>
        <v>5.2869734399999999E-4</v>
      </c>
      <c r="O15" s="53">
        <f>$F$23*[6]production!O133</f>
        <v>6.5984307199999995E-3</v>
      </c>
      <c r="P15" s="53">
        <f>$F$23*[6]production!P133</f>
        <v>1.9158630399999999E-3</v>
      </c>
      <c r="Q15" s="53">
        <f>$F$23*[6]production!Q133</f>
        <v>7.1140966399999995E-3</v>
      </c>
      <c r="R15" s="53">
        <f>$F$23*[6]production!R133</f>
        <v>2.0959231999999998E-4</v>
      </c>
      <c r="S15" s="53">
        <f>$F$23*[6]production!S133</f>
        <v>17.904230399999999</v>
      </c>
      <c r="T15" s="53">
        <f>$F$23*[6]production!T133</f>
        <v>6.6877440000000005E-4</v>
      </c>
      <c r="U15" s="53">
        <f>$F$23*[6]production!U133</f>
        <v>9.36155136</v>
      </c>
      <c r="V15" s="53">
        <f>$F$23*[6]production!V133</f>
        <v>4.3071078400000001E-5</v>
      </c>
      <c r="W15" s="53">
        <f>$F$23*[6]production!W133</f>
        <v>6.8633600000000003E-2</v>
      </c>
      <c r="X15" s="53">
        <f>$F$23*[6]production!X133</f>
        <v>2.8534374399999995E-6</v>
      </c>
      <c r="Y15" s="53">
        <f>$F$23*[6]production!Y133</f>
        <v>4.3019468800000001E-10</v>
      </c>
      <c r="Z15" s="53">
        <f>$F$23*[6]production!Z133</f>
        <v>2.0845977599999999E-4</v>
      </c>
      <c r="AA15" s="53">
        <f>$F$23*[6]production!AA133</f>
        <v>1.3396848639999999E-4</v>
      </c>
      <c r="AB15" s="53">
        <f>$F$23*[6]production!AB133</f>
        <v>6.9865062399999999E-4</v>
      </c>
      <c r="AC15" s="53">
        <f>$F$23*[6]production!AC133</f>
        <v>8.8196505599999996E-4</v>
      </c>
      <c r="AD15" s="53">
        <f>$F$23*[6]production!AD133</f>
        <v>6.2549401599999992E-4</v>
      </c>
      <c r="AE15" s="53">
        <f>$F$23*[6]production!AE133</f>
        <v>2.3164108799999999E-4</v>
      </c>
      <c r="AF15" s="53">
        <f>$F$23*[6]production!AF133</f>
        <v>3.3034444799999998E-3</v>
      </c>
      <c r="AG15" s="53">
        <f>$F$23*[6]production!AG133</f>
        <v>0.12301148159999999</v>
      </c>
      <c r="AH15" s="53">
        <f>$F$23*[6]production!AH133</f>
        <v>3.4155519999999997E-3</v>
      </c>
      <c r="AI15" s="53"/>
    </row>
    <row r="16" spans="1:35">
      <c r="A16" s="39" t="s">
        <v>16</v>
      </c>
      <c r="B16" s="43"/>
      <c r="C16" s="39"/>
      <c r="D16" s="39">
        <v>944</v>
      </c>
      <c r="E16" s="39">
        <v>1</v>
      </c>
      <c r="F16" s="41">
        <f>F12*1000/461/1.3*1000*0.8*0.948/1000</f>
        <v>9.7087897167888796E-4</v>
      </c>
      <c r="G16" s="39"/>
      <c r="H16" s="39"/>
      <c r="I16" s="39">
        <f>SUM(I11:I15)</f>
        <v>1.6240121736043533E-7</v>
      </c>
      <c r="J16" s="39"/>
      <c r="K16" s="50" t="s">
        <v>154</v>
      </c>
      <c r="L16" s="53">
        <f>$F$24*[6]production!D46</f>
        <v>0.29058656969696967</v>
      </c>
      <c r="M16" s="53">
        <f>$F$24*[6]production!M46</f>
        <v>4.3659558183030303</v>
      </c>
      <c r="N16" s="53">
        <f>$F$24*[6]production!N46</f>
        <v>1.5204004848484845E-2</v>
      </c>
      <c r="O16" s="53">
        <f>$F$24*[6]production!O46</f>
        <v>0.26877852121212115</v>
      </c>
      <c r="P16" s="53">
        <f>$F$24*[6]production!P46</f>
        <v>7.7184489696969685E-2</v>
      </c>
      <c r="Q16" s="53">
        <f>$F$24*[6]production!Q46</f>
        <v>3.8203549090909082E-3</v>
      </c>
      <c r="R16" s="53">
        <f>$F$24*[6]production!R46</f>
        <v>1.5748935757575755E-4</v>
      </c>
      <c r="S16" s="53">
        <f>$F$24*[6]production!S46</f>
        <v>5.0588833939393929</v>
      </c>
      <c r="T16" s="53">
        <f>$F$24*[6]production!T46</f>
        <v>4.4774075151515144E-2</v>
      </c>
      <c r="U16" s="53">
        <f>$F$24*[6]production!U46</f>
        <v>4.3602041212121208</v>
      </c>
      <c r="V16" s="53">
        <f>$F$24*[6]production!V46</f>
        <v>2.6226962424242417E-4</v>
      </c>
      <c r="W16" s="53">
        <f>$F$24*[6]production!W46</f>
        <v>3.5047490909090903E-3</v>
      </c>
      <c r="X16" s="53">
        <f>$F$24*[6]production!X46</f>
        <v>3.1948736969696965E-5</v>
      </c>
      <c r="Y16" s="53">
        <f>$F$24*[6]production!Y46</f>
        <v>1.6083030303030301E-8</v>
      </c>
      <c r="Z16" s="53">
        <f>$F$24*[6]production!Z46</f>
        <v>9.0081187878787868E-4</v>
      </c>
      <c r="AA16" s="53">
        <f>$F$24*[6]production!AA46</f>
        <v>7.1664901818181801E-4</v>
      </c>
      <c r="AB16" s="53">
        <f>$F$24*[6]production!AB46</f>
        <v>1.4193071515151512E-3</v>
      </c>
      <c r="AC16" s="53">
        <f>$F$24*[6]production!AC46</f>
        <v>9.7240974545454532E-5</v>
      </c>
      <c r="AD16" s="53">
        <f>$F$24*[6]production!AD46</f>
        <v>1.7287500606060604E-3</v>
      </c>
      <c r="AE16" s="53">
        <f>$F$24*[6]production!AE46</f>
        <v>1.1379757575757574E-3</v>
      </c>
      <c r="AF16" s="53">
        <f>$F$24*[6]production!AF46</f>
        <v>1.1503015757575756E-2</v>
      </c>
      <c r="AG16" s="53">
        <f>$F$24*[6]production!AG46</f>
        <v>4.5996926060606055E-2</v>
      </c>
      <c r="AH16" s="53">
        <f>$F$24*[6]production!AH46</f>
        <v>9.4180063030303018E-3</v>
      </c>
      <c r="AI16" s="53"/>
    </row>
    <row r="17" spans="1:35">
      <c r="A17" s="39" t="s">
        <v>17</v>
      </c>
      <c r="B17" s="43"/>
      <c r="C17" s="39"/>
      <c r="D17" s="39">
        <v>1100</v>
      </c>
      <c r="E17" s="39">
        <v>1</v>
      </c>
      <c r="F17" s="41">
        <f>F12*1000/461/1.3*1000*0.2*1.1/1000</f>
        <v>2.8163683250178711E-4</v>
      </c>
      <c r="G17" s="39"/>
      <c r="H17" s="39"/>
      <c r="I17" s="39"/>
      <c r="J17" s="39"/>
      <c r="K17" s="50" t="s">
        <v>155</v>
      </c>
      <c r="L17" s="53">
        <f>$F$25*[6]production!D91</f>
        <v>1.2806957575757575E-4</v>
      </c>
      <c r="M17" s="53">
        <f>$F$25*[6]production!M91</f>
        <v>1.7448388645818179E-3</v>
      </c>
      <c r="N17" s="53">
        <f>$F$25*[6]production!N91</f>
        <v>5.0365023030303021E-6</v>
      </c>
      <c r="O17" s="53">
        <f>$F$25*[6]production!O91</f>
        <v>1.1821973333333331E-4</v>
      </c>
      <c r="P17" s="53">
        <f>$F$25*[6]production!P91</f>
        <v>3.3462433939393932E-5</v>
      </c>
      <c r="Q17" s="53">
        <f>$F$25*[6]production!Q91</f>
        <v>1.5462414545454542E-6</v>
      </c>
      <c r="R17" s="53">
        <f>$F$25*[6]production!R91</f>
        <v>6.2809774545454535E-8</v>
      </c>
      <c r="S17" s="53">
        <f>$F$25*[6]production!S91</f>
        <v>2.0907398787878783E-3</v>
      </c>
      <c r="T17" s="53">
        <f>$F$25*[6]production!T91</f>
        <v>1.3000494545454543E-5</v>
      </c>
      <c r="U17" s="53">
        <f>$F$25*[6]production!U91</f>
        <v>1.7876761212121208E-3</v>
      </c>
      <c r="V17" s="53">
        <f>$F$25*[6]production!V91</f>
        <v>1.1685740606060604E-7</v>
      </c>
      <c r="W17" s="53">
        <f>$F$25*[6]production!W91</f>
        <v>1.3077260606060604E-6</v>
      </c>
      <c r="X17" s="53">
        <f>$F$25*[6]production!X91</f>
        <v>1.3889250909090907E-8</v>
      </c>
      <c r="Y17" s="53">
        <f>$F$25*[6]production!Y91</f>
        <v>5.8068659393939386E-12</v>
      </c>
      <c r="Z17" s="53">
        <f>$F$25*[6]production!Z91</f>
        <v>4.3156581818181813E-7</v>
      </c>
      <c r="AA17" s="53">
        <f>$F$25*[6]production!AA91</f>
        <v>3.2327161212121209E-7</v>
      </c>
      <c r="AB17" s="53">
        <f>$F$25*[6]production!AB91</f>
        <v>6.3258477575757571E-7</v>
      </c>
      <c r="AC17" s="53">
        <f>$F$25*[6]production!AC91</f>
        <v>4.0537886060606053E-8</v>
      </c>
      <c r="AD17" s="53">
        <f>$F$25*[6]production!AD91</f>
        <v>7.6982303030303019E-7</v>
      </c>
      <c r="AE17" s="53">
        <f>$F$25*[6]production!AE91</f>
        <v>4.6972179393939389E-7</v>
      </c>
      <c r="AF17" s="53">
        <f>$F$25*[6]production!AF91</f>
        <v>4.8958366060606059E-6</v>
      </c>
      <c r="AG17" s="53">
        <f>$F$25*[6]production!AG91</f>
        <v>1.9418569696969696E-5</v>
      </c>
      <c r="AH17" s="53">
        <f>$F$25*[6]production!AH91</f>
        <v>4.0733585454545447E-6</v>
      </c>
      <c r="AI17" s="53"/>
    </row>
    <row r="18" spans="1:35">
      <c r="A18" s="39" t="s">
        <v>20</v>
      </c>
      <c r="B18" s="43"/>
      <c r="C18" s="39"/>
      <c r="D18" s="39"/>
      <c r="E18" s="39"/>
      <c r="F18" s="41">
        <f>F14*1000/G13*1*0.786/1000</f>
        <v>2.4199325989519575E-3</v>
      </c>
      <c r="G18" s="39"/>
      <c r="H18" s="39"/>
      <c r="I18" s="39"/>
      <c r="J18" s="39"/>
      <c r="K18" s="51" t="str">
        <f>A27</f>
        <v>Adhesive</v>
      </c>
      <c r="L18" s="54">
        <f>$F$27*[2]production!D113</f>
        <v>5.8513339999999997E-2</v>
      </c>
      <c r="M18" s="54">
        <f>$F$27*[2]production!M113</f>
        <v>1.121768096012</v>
      </c>
      <c r="N18" s="54">
        <f>$F$27*[2]production!N113</f>
        <v>1.9549964000000002E-3</v>
      </c>
      <c r="O18" s="54">
        <f>$F$27*[2]production!O113</f>
        <v>5.3267399999999999E-2</v>
      </c>
      <c r="P18" s="54">
        <f>$F$27*[2]production!P113</f>
        <v>2.4177380000000002E-2</v>
      </c>
      <c r="Q18" s="54">
        <f>$F$27*[2]production!Q113</f>
        <v>6.0432339999999995E-4</v>
      </c>
      <c r="R18" s="54">
        <f>$F$27*[2]production!R113</f>
        <v>1.9439469999999997E-5</v>
      </c>
      <c r="S18" s="54">
        <f>$F$27*[2]production!S113</f>
        <v>0.90098060000000002</v>
      </c>
      <c r="T18" s="54">
        <f>$F$27*[2]production!T113</f>
        <v>3.5624719999999997E-3</v>
      </c>
      <c r="U18" s="54">
        <f>$F$27*[2]production!U113</f>
        <v>0.69086020000000004</v>
      </c>
      <c r="V18" s="54">
        <f>$F$27*[2]production!V113</f>
        <v>4.7078119999999994E-5</v>
      </c>
      <c r="W18" s="54">
        <f>$F$27*[2]production!W113</f>
        <v>3.4358179999999998E-3</v>
      </c>
      <c r="X18" s="54">
        <f>$F$27*[2]production!X113</f>
        <v>6.1276699999999994E-6</v>
      </c>
      <c r="Y18" s="54">
        <f>$F$27*[2]production!Y113</f>
        <v>5.7868959999999999E-9</v>
      </c>
      <c r="Z18" s="54">
        <f>$F$27*[2]production!Z113</f>
        <v>1.0165448000000001E-4</v>
      </c>
      <c r="AA18" s="54">
        <f>$F$27*[2]production!AA113</f>
        <v>2.0535319999999998E-4</v>
      </c>
      <c r="AB18" s="54">
        <f>$F$27*[2]production!AB113</f>
        <v>2.0896899999999998E-4</v>
      </c>
      <c r="AC18" s="54">
        <f>$F$27*[2]production!AC113</f>
        <v>4.8904199999999998E-5</v>
      </c>
      <c r="AD18" s="54">
        <f>$F$27*[2]production!AD113</f>
        <v>5.1992780000000005E-4</v>
      </c>
      <c r="AE18" s="54">
        <f>$F$27*[2]production!AE113</f>
        <v>1.6944567999999999E-4</v>
      </c>
      <c r="AF18" s="54">
        <f>$F$27*[2]production!AF113</f>
        <v>2.2575519999999999E-3</v>
      </c>
      <c r="AG18" s="54">
        <f>$F$27*[2]production!AG113</f>
        <v>8.1579719999999994E-3</v>
      </c>
      <c r="AH18" s="54">
        <f>$F$27*[2]production!AH113</f>
        <v>3.0584819999999995E-3</v>
      </c>
    </row>
    <row r="19" spans="1:35">
      <c r="A19" s="44" t="s">
        <v>6</v>
      </c>
      <c r="B19" s="43"/>
      <c r="C19" s="39"/>
      <c r="D19" s="39"/>
      <c r="E19" s="39"/>
      <c r="F19" s="41"/>
      <c r="G19" s="39"/>
      <c r="H19" s="39"/>
      <c r="I19" s="39"/>
      <c r="J19" s="39"/>
      <c r="K19" s="51" t="str">
        <f>A28</f>
        <v>PET</v>
      </c>
      <c r="L19" s="54">
        <f>$F$28*[2]production!D112</f>
        <v>0.19433649</v>
      </c>
      <c r="M19" s="54">
        <f>$F$28*[2]production!M112</f>
        <v>4.876431431436</v>
      </c>
      <c r="N19" s="54">
        <f>$F$28*[2]production!N112</f>
        <v>6.1952969999999998E-3</v>
      </c>
      <c r="O19" s="54">
        <f>$F$28*[2]production!O112</f>
        <v>0.17387676999999999</v>
      </c>
      <c r="P19" s="54">
        <f>$F$28*[2]production!P112</f>
        <v>0.10758629</v>
      </c>
      <c r="Q19" s="54">
        <f>$F$28*[2]production!Q112</f>
        <v>1.6921225000000001E-3</v>
      </c>
      <c r="R19" s="54">
        <f>$F$28*[2]production!R112</f>
        <v>5.3572875999999998E-5</v>
      </c>
      <c r="S19" s="54">
        <f>$F$28*[2]production!S112</f>
        <v>2.6013953999999999</v>
      </c>
      <c r="T19" s="54">
        <f>$F$28*[2]production!T112</f>
        <v>1.0938793E-2</v>
      </c>
      <c r="U19" s="54">
        <f>$F$28*[2]production!U112</f>
        <v>2.0643585999999998</v>
      </c>
      <c r="V19" s="54">
        <f>$F$28*[2]production!V112</f>
        <v>1.5557654999999999E-4</v>
      </c>
      <c r="W19" s="54">
        <f>$F$28*[2]production!W112</f>
        <v>8.7410389999999991E-3</v>
      </c>
      <c r="X19" s="54">
        <f>$F$28*[2]production!X112</f>
        <v>1.8848732999999998E-5</v>
      </c>
      <c r="Y19" s="54">
        <f>$F$28*[2]production!Y112</f>
        <v>8.897757E-9</v>
      </c>
      <c r="Z19" s="54">
        <f>$F$28*[2]production!Z112</f>
        <v>3.1222667999999997E-4</v>
      </c>
      <c r="AA19" s="54">
        <f>$F$28*[2]production!AA112</f>
        <v>5.844594199999999E-4</v>
      </c>
      <c r="AB19" s="54">
        <f>$F$28*[2]production!AB112</f>
        <v>7.4009149999999997E-4</v>
      </c>
      <c r="AC19" s="54">
        <f>$F$28*[2]production!AC112</f>
        <v>1.9091831E-4</v>
      </c>
      <c r="AD19" s="54">
        <f>$F$28*[2]production!AD112</f>
        <v>1.3298200999999998E-3</v>
      </c>
      <c r="AE19" s="54">
        <f>$F$28*[2]production!AE112</f>
        <v>3.5293016999999997E-4</v>
      </c>
      <c r="AF19" s="54">
        <f>$F$28*[2]production!AF112</f>
        <v>6.9066979999999993E-3</v>
      </c>
      <c r="AG19" s="54">
        <f>$F$28*[2]production!AG112</f>
        <v>2.4245015000000002E-2</v>
      </c>
      <c r="AH19" s="54">
        <f>$F$28*[2]production!AH112</f>
        <v>1.3306221999999999E-2</v>
      </c>
    </row>
    <row r="20" spans="1:35">
      <c r="A20" s="39" t="s">
        <v>15</v>
      </c>
      <c r="B20" s="43"/>
      <c r="C20" s="39"/>
      <c r="D20" s="39"/>
      <c r="E20" s="39">
        <v>1</v>
      </c>
      <c r="F20" s="41">
        <f>[7]Inventory!$E$23/1000</f>
        <v>8.9086200000000008E-4</v>
      </c>
      <c r="G20" s="39"/>
      <c r="H20" s="39"/>
      <c r="I20" s="39"/>
      <c r="J20" s="39"/>
      <c r="K20" s="44" t="s">
        <v>18</v>
      </c>
      <c r="L20" s="84">
        <f t="shared" ref="L20:AH20" si="2">SUM(L21:L32)</f>
        <v>0</v>
      </c>
      <c r="M20" s="84">
        <f t="shared" si="2"/>
        <v>0</v>
      </c>
      <c r="N20" s="84">
        <f t="shared" si="2"/>
        <v>0</v>
      </c>
      <c r="O20" s="84">
        <f t="shared" si="2"/>
        <v>0</v>
      </c>
      <c r="P20" s="84">
        <f t="shared" si="2"/>
        <v>0</v>
      </c>
      <c r="Q20" s="84">
        <f t="shared" si="2"/>
        <v>2.8761011380081667E-2</v>
      </c>
      <c r="R20" s="84">
        <f t="shared" si="2"/>
        <v>0</v>
      </c>
      <c r="S20" s="84">
        <f t="shared" si="2"/>
        <v>4.3858442124377395E-2</v>
      </c>
      <c r="T20" s="84">
        <f t="shared" si="2"/>
        <v>0</v>
      </c>
      <c r="U20" s="84">
        <f t="shared" si="2"/>
        <v>65.577504360439931</v>
      </c>
      <c r="V20" s="84">
        <f t="shared" si="2"/>
        <v>0</v>
      </c>
      <c r="W20" s="84">
        <f t="shared" si="2"/>
        <v>0</v>
      </c>
      <c r="X20" s="84">
        <f t="shared" si="2"/>
        <v>0</v>
      </c>
      <c r="Y20" s="84">
        <f t="shared" si="2"/>
        <v>0</v>
      </c>
      <c r="Z20" s="84">
        <f t="shared" si="2"/>
        <v>0</v>
      </c>
      <c r="AA20" s="84">
        <f t="shared" si="2"/>
        <v>2.0050884227609559E-3</v>
      </c>
      <c r="AB20" s="84">
        <f t="shared" si="2"/>
        <v>0</v>
      </c>
      <c r="AC20" s="84">
        <f t="shared" si="2"/>
        <v>0.3011390954760253</v>
      </c>
      <c r="AD20" s="84">
        <f t="shared" si="2"/>
        <v>0</v>
      </c>
      <c r="AE20" s="84">
        <f t="shared" si="2"/>
        <v>0</v>
      </c>
      <c r="AF20" s="84">
        <f t="shared" si="2"/>
        <v>8.2794118469419198E-2</v>
      </c>
      <c r="AG20" s="84">
        <f t="shared" si="2"/>
        <v>2.6163181429858452E-4</v>
      </c>
      <c r="AH20" s="84">
        <f t="shared" si="2"/>
        <v>0</v>
      </c>
    </row>
    <row r="21" spans="1:35">
      <c r="A21" s="50" t="s">
        <v>20</v>
      </c>
      <c r="B21" s="55"/>
      <c r="C21" s="50"/>
      <c r="D21" s="50"/>
      <c r="E21" s="50"/>
      <c r="F21" s="53">
        <f>25.77/1000</f>
        <v>2.5770000000000001E-2</v>
      </c>
      <c r="G21" s="39" t="s">
        <v>81</v>
      </c>
      <c r="H21" s="39" t="s">
        <v>82</v>
      </c>
      <c r="I21" s="39"/>
      <c r="J21" s="39" t="s">
        <v>142</v>
      </c>
      <c r="K21" s="39" t="str">
        <f t="shared" ref="K21:K29" si="3">A30</f>
        <v>Titanium tetrachloride</v>
      </c>
      <c r="L21" s="41">
        <v>0</v>
      </c>
      <c r="M21" s="41">
        <v>0</v>
      </c>
      <c r="N21" s="41">
        <v>0</v>
      </c>
      <c r="O21" s="41">
        <v>0</v>
      </c>
      <c r="P21" s="41">
        <v>0</v>
      </c>
      <c r="Q21" s="41">
        <v>0</v>
      </c>
      <c r="R21" s="41">
        <v>0</v>
      </c>
      <c r="S21" s="41">
        <v>0</v>
      </c>
      <c r="T21" s="41">
        <v>0</v>
      </c>
      <c r="U21" s="41">
        <v>0</v>
      </c>
      <c r="V21" s="41">
        <v>0</v>
      </c>
      <c r="W21" s="41">
        <v>0</v>
      </c>
      <c r="X21" s="41">
        <v>0</v>
      </c>
      <c r="Y21" s="41">
        <v>0</v>
      </c>
      <c r="Z21" s="41">
        <v>0</v>
      </c>
      <c r="AA21" s="41">
        <v>0</v>
      </c>
      <c r="AB21" s="41">
        <v>0</v>
      </c>
      <c r="AC21" s="41">
        <v>0</v>
      </c>
      <c r="AD21" s="41">
        <v>0</v>
      </c>
      <c r="AE21" s="41">
        <v>0</v>
      </c>
      <c r="AF21" s="41">
        <v>0</v>
      </c>
      <c r="AG21" s="41">
        <v>0</v>
      </c>
      <c r="AH21" s="41">
        <v>0</v>
      </c>
    </row>
    <row r="22" spans="1:35">
      <c r="A22" s="44" t="s">
        <v>7</v>
      </c>
      <c r="B22" s="43"/>
      <c r="C22" s="39"/>
      <c r="D22" s="39"/>
      <c r="E22" s="39"/>
      <c r="F22" s="41"/>
      <c r="G22" s="39"/>
      <c r="H22" s="39"/>
      <c r="I22" s="39"/>
      <c r="J22" s="39"/>
      <c r="K22" s="39" t="str">
        <f t="shared" si="3"/>
        <v>Isopropanol</v>
      </c>
      <c r="L22" s="41">
        <f>$F$31*'[2]direct emissions'!D24</f>
        <v>0</v>
      </c>
      <c r="M22" s="41">
        <f>$F$31*'[2]direct emissions'!M24</f>
        <v>0</v>
      </c>
      <c r="N22" s="41">
        <f>$F$31*'[2]direct emissions'!N24</f>
        <v>0</v>
      </c>
      <c r="O22" s="41">
        <f>$F$31*'[2]direct emissions'!O24</f>
        <v>0</v>
      </c>
      <c r="P22" s="41">
        <f>$F$31*'[2]direct emissions'!P24</f>
        <v>0</v>
      </c>
      <c r="Q22" s="41">
        <f>$F$31*'[2]direct emissions'!Q24</f>
        <v>0</v>
      </c>
      <c r="R22" s="41">
        <f>$F$31*'[2]direct emissions'!R24</f>
        <v>0</v>
      </c>
      <c r="S22" s="41">
        <f>$F$31*'[2]direct emissions'!S24</f>
        <v>0</v>
      </c>
      <c r="T22" s="41">
        <f>$F$31*'[2]direct emissions'!T24</f>
        <v>0</v>
      </c>
      <c r="U22" s="41">
        <f>$F$31*'[2]direct emissions'!U24</f>
        <v>0</v>
      </c>
      <c r="V22" s="41">
        <f>$F$31*'[2]direct emissions'!V24</f>
        <v>0</v>
      </c>
      <c r="W22" s="41">
        <f>$F$31*'[2]direct emissions'!W24</f>
        <v>0</v>
      </c>
      <c r="X22" s="41">
        <f>$F$31*'[2]direct emissions'!X24</f>
        <v>0</v>
      </c>
      <c r="Y22" s="41">
        <f>$F$31*'[2]direct emissions'!Y24</f>
        <v>0</v>
      </c>
      <c r="Z22" s="41">
        <f>$F$31*'[2]direct emissions'!Z24</f>
        <v>0</v>
      </c>
      <c r="AA22" s="41">
        <f>$F$31*'[2]direct emissions'!AA24</f>
        <v>1.0104556198306865E-3</v>
      </c>
      <c r="AB22" s="41">
        <f>$F$31*'[2]direct emissions'!AB24</f>
        <v>0</v>
      </c>
      <c r="AC22" s="41">
        <f>$F$31*'[2]direct emissions'!AC24</f>
        <v>0</v>
      </c>
      <c r="AD22" s="41">
        <f>$F$31*'[2]direct emissions'!AD24</f>
        <v>0</v>
      </c>
      <c r="AE22" s="41">
        <f>$F$31*'[2]direct emissions'!AE24</f>
        <v>0</v>
      </c>
      <c r="AF22" s="41">
        <f>$F$31*'[2]direct emissions'!AF24</f>
        <v>0</v>
      </c>
      <c r="AG22" s="41">
        <f>$F$31*'[2]direct emissions'!AG24</f>
        <v>3.844660407152858E-7</v>
      </c>
      <c r="AH22" s="41">
        <f>$F$31*'[2]direct emissions'!AH24</f>
        <v>0</v>
      </c>
    </row>
    <row r="23" spans="1:35">
      <c r="A23" s="50" t="s">
        <v>156</v>
      </c>
      <c r="B23" s="55">
        <v>100</v>
      </c>
      <c r="C23" s="50">
        <v>0.8</v>
      </c>
      <c r="D23" s="50">
        <v>8960</v>
      </c>
      <c r="E23" s="50">
        <v>0.5</v>
      </c>
      <c r="F23" s="53">
        <f>B23/1000000000*C23*D23/E23</f>
        <v>1.4335999999999999E-3</v>
      </c>
      <c r="G23" s="39"/>
      <c r="H23" s="39"/>
      <c r="I23" s="39"/>
      <c r="J23" s="39"/>
      <c r="K23" s="39" t="str">
        <f t="shared" si="3"/>
        <v>Acetone</v>
      </c>
      <c r="L23" s="41">
        <f>$F$32*'[2]direct emissions'!D25</f>
        <v>0</v>
      </c>
      <c r="M23" s="41">
        <f>$F$32*'[2]direct emissions'!M25</f>
        <v>0</v>
      </c>
      <c r="N23" s="41">
        <f>$F$32*'[2]direct emissions'!N25</f>
        <v>0</v>
      </c>
      <c r="O23" s="41">
        <f>$F$32*'[2]direct emissions'!O25</f>
        <v>0</v>
      </c>
      <c r="P23" s="41">
        <f>$F$32*'[2]direct emissions'!P25</f>
        <v>0</v>
      </c>
      <c r="Q23" s="41">
        <f>$F$32*'[2]direct emissions'!Q25</f>
        <v>6.7369398556287639E-9</v>
      </c>
      <c r="R23" s="41">
        <f>$F$32*'[2]direct emissions'!R25</f>
        <v>0</v>
      </c>
      <c r="S23" s="41">
        <f>$F$32*'[2]direct emissions'!S25</f>
        <v>5.4884504509128462E-5</v>
      </c>
      <c r="T23" s="41">
        <f>$F$32*'[2]direct emissions'!T25</f>
        <v>0</v>
      </c>
      <c r="U23" s="41">
        <f>$F$32*'[2]direct emissions'!U25</f>
        <v>2.7473067687853449E-8</v>
      </c>
      <c r="V23" s="41">
        <f>$F$32*'[2]direct emissions'!V25</f>
        <v>0</v>
      </c>
      <c r="W23" s="41">
        <f>$F$32*'[2]direct emissions'!W25</f>
        <v>0</v>
      </c>
      <c r="X23" s="41">
        <f>$F$32*'[2]direct emissions'!X25</f>
        <v>0</v>
      </c>
      <c r="Y23" s="41">
        <f>$F$32*'[2]direct emissions'!Y25</f>
        <v>0</v>
      </c>
      <c r="Z23" s="41">
        <f>$F$32*'[2]direct emissions'!Z25</f>
        <v>0</v>
      </c>
      <c r="AA23" s="41">
        <f>$F$32*'[2]direct emissions'!AA25</f>
        <v>5.8501046173512396E-5</v>
      </c>
      <c r="AB23" s="41">
        <f>$F$32*'[2]direct emissions'!AB25</f>
        <v>0</v>
      </c>
      <c r="AC23" s="41">
        <f>$F$32*'[2]direct emissions'!AC25</f>
        <v>1.118092916472595E-8</v>
      </c>
      <c r="AD23" s="41">
        <f>$F$32*'[2]direct emissions'!AD25</f>
        <v>0</v>
      </c>
      <c r="AE23" s="41">
        <f>$F$32*'[2]direct emissions'!AE25</f>
        <v>0</v>
      </c>
      <c r="AF23" s="41">
        <f>$F$32*'[2]direct emissions'!AF25</f>
        <v>2.4644940090999058E-9</v>
      </c>
      <c r="AG23" s="41">
        <f>$F$32*'[2]direct emissions'!AG25</f>
        <v>3.9707994104363718E-7</v>
      </c>
      <c r="AH23" s="41">
        <f>$F$32*'[2]direct emissions'!AH25</f>
        <v>0</v>
      </c>
    </row>
    <row r="24" spans="1:35">
      <c r="A24" s="50" t="s">
        <v>154</v>
      </c>
      <c r="B24" s="50"/>
      <c r="C24" s="50"/>
      <c r="D24" s="50"/>
      <c r="E24" s="50"/>
      <c r="F24" s="53">
        <f>20/10*10000/1000*1.784/1000*'energy consumption'!D17/60</f>
        <v>0.1081212121212121</v>
      </c>
      <c r="G24" s="39"/>
      <c r="H24" s="39"/>
      <c r="I24" s="39"/>
      <c r="J24" s="39"/>
      <c r="K24" s="39" t="str">
        <f t="shared" si="3"/>
        <v>Acetic anhydride</v>
      </c>
      <c r="L24" s="41">
        <f>$F$33*'[2]direct emissions'!D26</f>
        <v>0</v>
      </c>
      <c r="M24" s="41">
        <f>$F$33*'[2]direct emissions'!M26</f>
        <v>0</v>
      </c>
      <c r="N24" s="41">
        <f>$F$33*'[2]direct emissions'!N26</f>
        <v>0</v>
      </c>
      <c r="O24" s="41">
        <f>$F$33*'[2]direct emissions'!O26</f>
        <v>0</v>
      </c>
      <c r="P24" s="41">
        <f>$F$33*'[2]direct emissions'!P26</f>
        <v>0</v>
      </c>
      <c r="Q24" s="41">
        <f>$F$33*'[2]direct emissions'!Q26</f>
        <v>3.5858186933489765E-9</v>
      </c>
      <c r="R24" s="41">
        <f>$F$33*'[2]direct emissions'!R26</f>
        <v>0</v>
      </c>
      <c r="S24" s="41">
        <f>$F$33*'[2]direct emissions'!S26</f>
        <v>0</v>
      </c>
      <c r="T24" s="41">
        <f>$F$33*'[2]direct emissions'!T26</f>
        <v>0</v>
      </c>
      <c r="U24" s="41">
        <f>$F$33*'[2]direct emissions'!U26</f>
        <v>2.0866293162706E-10</v>
      </c>
      <c r="V24" s="41">
        <f>$F$33*'[2]direct emissions'!V26</f>
        <v>0</v>
      </c>
      <c r="W24" s="41">
        <f>$F$33*'[2]direct emissions'!W26</f>
        <v>0</v>
      </c>
      <c r="X24" s="41">
        <f>$F$33*'[2]direct emissions'!X26</f>
        <v>0</v>
      </c>
      <c r="Y24" s="41">
        <f>$F$33*'[2]direct emissions'!Y26</f>
        <v>0</v>
      </c>
      <c r="Z24" s="41">
        <f>$F$33*'[2]direct emissions'!Z26</f>
        <v>0</v>
      </c>
      <c r="AA24" s="41">
        <f>$F$33*'[2]direct emissions'!AA26</f>
        <v>0</v>
      </c>
      <c r="AB24" s="41">
        <f>$F$33*'[2]direct emissions'!AB26</f>
        <v>0</v>
      </c>
      <c r="AC24" s="41">
        <f>$F$33*'[2]direct emissions'!AC26</f>
        <v>8.4415841550289538E-8</v>
      </c>
      <c r="AD24" s="41">
        <f>$F$33*'[2]direct emissions'!AD26</f>
        <v>0</v>
      </c>
      <c r="AE24" s="41">
        <f>$F$33*'[2]direct emissions'!AE26</f>
        <v>0</v>
      </c>
      <c r="AF24" s="41">
        <f>$F$33*'[2]direct emissions'!AF26</f>
        <v>0</v>
      </c>
      <c r="AG24" s="41">
        <f>$F$33*'[2]direct emissions'!AG26</f>
        <v>0</v>
      </c>
      <c r="AH24" s="41">
        <f>$F$33*'[2]direct emissions'!AH26</f>
        <v>0</v>
      </c>
    </row>
    <row r="25" spans="1:35">
      <c r="A25" s="50" t="s">
        <v>155</v>
      </c>
      <c r="B25" s="50"/>
      <c r="C25" s="50"/>
      <c r="D25" s="50"/>
      <c r="E25" s="50"/>
      <c r="F25" s="53">
        <f>F24*0.1/100</f>
        <v>1.0812121212121211E-4</v>
      </c>
      <c r="G25" s="39"/>
      <c r="H25" s="39"/>
      <c r="I25" s="39"/>
      <c r="J25" s="39"/>
      <c r="K25" s="39" t="str">
        <f t="shared" si="3"/>
        <v>2-methoxyethanol</v>
      </c>
      <c r="L25" s="41">
        <f>$F$34*'[2]direct emissions'!D27</f>
        <v>0</v>
      </c>
      <c r="M25" s="41">
        <f>$F$34*'[2]direct emissions'!M27</f>
        <v>0</v>
      </c>
      <c r="N25" s="41">
        <f>$F$34*'[2]direct emissions'!N27</f>
        <v>0</v>
      </c>
      <c r="O25" s="41">
        <f>$F$34*'[2]direct emissions'!O27</f>
        <v>0</v>
      </c>
      <c r="P25" s="41">
        <f>$F$34*'[2]direct emissions'!P27</f>
        <v>0</v>
      </c>
      <c r="Q25" s="41">
        <f>$F$34*'[2]direct emissions'!Q27</f>
        <v>1.8516131634170174E-10</v>
      </c>
      <c r="R25" s="41">
        <f>$F$34*'[2]direct emissions'!R27</f>
        <v>0</v>
      </c>
      <c r="S25" s="41">
        <f>$F$34*'[2]direct emissions'!S27</f>
        <v>5.7487529232817958E-3</v>
      </c>
      <c r="T25" s="41">
        <f>$F$34*'[2]direct emissions'!T27</f>
        <v>0</v>
      </c>
      <c r="U25" s="41">
        <f>$F$34*'[2]direct emissions'!U27</f>
        <v>2.4941485235573917E-9</v>
      </c>
      <c r="V25" s="41">
        <f>$F$34*'[2]direct emissions'!V27</f>
        <v>0</v>
      </c>
      <c r="W25" s="41">
        <f>$F$34*'[2]direct emissions'!W27</f>
        <v>0</v>
      </c>
      <c r="X25" s="41">
        <f>$F$34*'[2]direct emissions'!X27</f>
        <v>0</v>
      </c>
      <c r="Y25" s="41">
        <f>$F$34*'[2]direct emissions'!Y27</f>
        <v>0</v>
      </c>
      <c r="Z25" s="41">
        <f>$F$34*'[2]direct emissions'!Z27</f>
        <v>0</v>
      </c>
      <c r="AA25" s="41">
        <f>$F$34*'[2]direct emissions'!AA27</f>
        <v>0</v>
      </c>
      <c r="AB25" s="41">
        <f>$F$34*'[2]direct emissions'!AB27</f>
        <v>0</v>
      </c>
      <c r="AC25" s="41">
        <f>$F$34*'[2]direct emissions'!AC27</f>
        <v>3.1159906604239844E-10</v>
      </c>
      <c r="AD25" s="41">
        <f>$F$34*'[2]direct emissions'!AD27</f>
        <v>0</v>
      </c>
      <c r="AE25" s="41">
        <f>$F$34*'[2]direct emissions'!AE27</f>
        <v>0</v>
      </c>
      <c r="AF25" s="41">
        <f>$F$34*'[2]direct emissions'!AF27</f>
        <v>0</v>
      </c>
      <c r="AG25" s="41">
        <f>$F$34*'[2]direct emissions'!AG27</f>
        <v>6.0761050065999493E-7</v>
      </c>
      <c r="AH25" s="41">
        <f>$F$34*'[2]direct emissions'!AH27</f>
        <v>0</v>
      </c>
    </row>
    <row r="26" spans="1:35">
      <c r="A26" s="44" t="s">
        <v>83</v>
      </c>
      <c r="B26" s="43"/>
      <c r="C26" s="39"/>
      <c r="D26" s="39"/>
      <c r="E26" s="39"/>
      <c r="F26" s="41"/>
      <c r="G26" s="39"/>
      <c r="H26" s="39"/>
      <c r="I26" s="39"/>
      <c r="J26" s="39"/>
      <c r="K26" s="39" t="str">
        <f t="shared" si="3"/>
        <v>DMF</v>
      </c>
      <c r="L26" s="41">
        <f>$F$35*'[2]direct emissions'!D28</f>
        <v>0</v>
      </c>
      <c r="M26" s="41">
        <f>$F$35*'[2]direct emissions'!M28</f>
        <v>0</v>
      </c>
      <c r="N26" s="41">
        <f>$F$35*'[2]direct emissions'!N28</f>
        <v>0</v>
      </c>
      <c r="O26" s="41">
        <f>$F$35*'[2]direct emissions'!O28</f>
        <v>0</v>
      </c>
      <c r="P26" s="41">
        <f>$F$35*'[2]direct emissions'!P28</f>
        <v>0</v>
      </c>
      <c r="Q26" s="41">
        <f>$F$35*'[2]direct emissions'!Q28</f>
        <v>0</v>
      </c>
      <c r="R26" s="41">
        <f>$F$35*'[2]direct emissions'!R28</f>
        <v>0</v>
      </c>
      <c r="S26" s="41">
        <f>$F$35*'[2]direct emissions'!S28</f>
        <v>0</v>
      </c>
      <c r="T26" s="41">
        <f>$F$35*'[2]direct emissions'!T28</f>
        <v>0</v>
      </c>
      <c r="U26" s="41">
        <f>$F$35*'[2]direct emissions'!U28</f>
        <v>0</v>
      </c>
      <c r="V26" s="41">
        <f>$F$35*'[2]direct emissions'!V28</f>
        <v>0</v>
      </c>
      <c r="W26" s="41">
        <f>$F$35*'[2]direct emissions'!W28</f>
        <v>0</v>
      </c>
      <c r="X26" s="41">
        <f>$F$35*'[2]direct emissions'!X28</f>
        <v>0</v>
      </c>
      <c r="Y26" s="41">
        <f>$F$35*'[2]direct emissions'!Y28</f>
        <v>0</v>
      </c>
      <c r="Z26" s="41">
        <f>$F$35*'[2]direct emissions'!Z28</f>
        <v>0</v>
      </c>
      <c r="AA26" s="41">
        <f>$F$35*'[2]direct emissions'!AA28</f>
        <v>0</v>
      </c>
      <c r="AB26" s="41">
        <f>$F$35*'[2]direct emissions'!AB28</f>
        <v>0</v>
      </c>
      <c r="AC26" s="41">
        <f>$F$35*'[2]direct emissions'!AC28</f>
        <v>0</v>
      </c>
      <c r="AD26" s="41">
        <f>$F$35*'[2]direct emissions'!AD28</f>
        <v>0</v>
      </c>
      <c r="AE26" s="41">
        <f>$F$35*'[2]direct emissions'!AE28</f>
        <v>0</v>
      </c>
      <c r="AF26" s="41">
        <f>$F$35*'[2]direct emissions'!AF28</f>
        <v>0</v>
      </c>
      <c r="AG26" s="41">
        <f>$F$35*'[2]direct emissions'!AG28</f>
        <v>0</v>
      </c>
      <c r="AH26" s="41">
        <f>$F$35*'[2]direct emissions'!AH28</f>
        <v>0</v>
      </c>
    </row>
    <row r="27" spans="1:35">
      <c r="A27" s="51" t="s">
        <v>84</v>
      </c>
      <c r="B27" s="56"/>
      <c r="C27" s="51"/>
      <c r="D27" s="51"/>
      <c r="E27" s="51"/>
      <c r="F27" s="54">
        <f>2.02/100</f>
        <v>2.0199999999999999E-2</v>
      </c>
      <c r="G27" s="39"/>
      <c r="H27" s="39"/>
      <c r="I27" s="39"/>
      <c r="J27" s="39"/>
      <c r="K27" s="39" t="str">
        <f t="shared" si="3"/>
        <v>DMSO</v>
      </c>
      <c r="L27" s="41">
        <f>$F$36*'[2]direct emissions'!D38</f>
        <v>0</v>
      </c>
      <c r="M27" s="41">
        <f>$F$36*'[2]direct emissions'!M38</f>
        <v>0</v>
      </c>
      <c r="N27" s="41">
        <f>$F$36*'[2]direct emissions'!N38</f>
        <v>0</v>
      </c>
      <c r="O27" s="41">
        <f>$F$36*'[2]direct emissions'!O38</f>
        <v>0</v>
      </c>
      <c r="P27" s="41">
        <f>$F$36*'[2]direct emissions'!P38</f>
        <v>0</v>
      </c>
      <c r="Q27" s="41">
        <f>$F$36*'[2]direct emissions'!Q38</f>
        <v>0</v>
      </c>
      <c r="R27" s="41">
        <f>$F$36*'[2]direct emissions'!R38</f>
        <v>0</v>
      </c>
      <c r="S27" s="41">
        <f>$F$36*'[2]direct emissions'!S38</f>
        <v>0</v>
      </c>
      <c r="T27" s="41">
        <f>$F$36*'[2]direct emissions'!T38</f>
        <v>0</v>
      </c>
      <c r="U27" s="41">
        <f>$F$36*'[2]direct emissions'!U38</f>
        <v>0</v>
      </c>
      <c r="V27" s="41">
        <f>$F$36*'[2]direct emissions'!V38</f>
        <v>0</v>
      </c>
      <c r="W27" s="41">
        <f>$F$36*'[2]direct emissions'!W38</f>
        <v>0</v>
      </c>
      <c r="X27" s="41">
        <f>$F$36*'[2]direct emissions'!X38</f>
        <v>0</v>
      </c>
      <c r="Y27" s="41">
        <f>$F$36*'[2]direct emissions'!Y38</f>
        <v>0</v>
      </c>
      <c r="Z27" s="41">
        <f>$F$36*'[2]direct emissions'!Z38</f>
        <v>0</v>
      </c>
      <c r="AA27" s="41">
        <f>$F$36*'[2]direct emissions'!AA38</f>
        <v>0</v>
      </c>
      <c r="AB27" s="41">
        <f>$F$36*'[2]direct emissions'!AB38</f>
        <v>0</v>
      </c>
      <c r="AC27" s="41">
        <f>$F$36*'[2]direct emissions'!AC38</f>
        <v>0</v>
      </c>
      <c r="AD27" s="41">
        <f>$F$36*'[2]direct emissions'!AD38</f>
        <v>0</v>
      </c>
      <c r="AE27" s="41">
        <f>$F$36*'[2]direct emissions'!AE38</f>
        <v>0</v>
      </c>
      <c r="AF27" s="41">
        <f>$F$36*'[2]direct emissions'!AF38</f>
        <v>0</v>
      </c>
      <c r="AG27" s="41">
        <f>$F$36*'[2]direct emissions'!AG38</f>
        <v>0</v>
      </c>
      <c r="AH27" s="41">
        <f>$F$36*'[2]direct emissions'!AH38</f>
        <v>0</v>
      </c>
    </row>
    <row r="28" spans="1:35">
      <c r="A28" s="51" t="s">
        <v>85</v>
      </c>
      <c r="B28" s="56"/>
      <c r="C28" s="51"/>
      <c r="D28" s="51"/>
      <c r="E28" s="51"/>
      <c r="F28" s="54">
        <f>6.17/100</f>
        <v>6.1699999999999998E-2</v>
      </c>
      <c r="G28" s="39"/>
      <c r="H28" s="39"/>
      <c r="I28" s="39"/>
      <c r="J28" s="39"/>
      <c r="K28" s="39" t="str">
        <f t="shared" si="3"/>
        <v>Toluene</v>
      </c>
      <c r="L28" s="41">
        <f>$F$37*'[2]direct emissions'!D29</f>
        <v>0</v>
      </c>
      <c r="M28" s="41">
        <f>$F$37*'[2]direct emissions'!M29</f>
        <v>0</v>
      </c>
      <c r="N28" s="41">
        <f>$F$37*'[2]direct emissions'!N29</f>
        <v>0</v>
      </c>
      <c r="O28" s="41">
        <f>$F$37*'[2]direct emissions'!O29</f>
        <v>0</v>
      </c>
      <c r="P28" s="41">
        <f>$F$37*'[2]direct emissions'!P29</f>
        <v>0</v>
      </c>
      <c r="Q28" s="41">
        <f>$F$37*'[2]direct emissions'!Q29</f>
        <v>1.0223440121073739E-8</v>
      </c>
      <c r="R28" s="41">
        <f>$F$37*'[2]direct emissions'!R29</f>
        <v>0</v>
      </c>
      <c r="S28" s="41">
        <f>$F$37*'[2]direct emissions'!S29</f>
        <v>7.1299361805029148E-4</v>
      </c>
      <c r="T28" s="41">
        <f>$F$37*'[2]direct emissions'!T29</f>
        <v>0</v>
      </c>
      <c r="U28" s="41">
        <f>$F$37*'[2]direct emissions'!U29</f>
        <v>7.8935496697773709E-8</v>
      </c>
      <c r="V28" s="41">
        <f>$F$37*'[2]direct emissions'!V29</f>
        <v>0</v>
      </c>
      <c r="W28" s="41">
        <f>$F$37*'[2]direct emissions'!W29</f>
        <v>0</v>
      </c>
      <c r="X28" s="41">
        <f>$F$37*'[2]direct emissions'!X29</f>
        <v>0</v>
      </c>
      <c r="Y28" s="41">
        <f>$F$37*'[2]direct emissions'!Y29</f>
        <v>0</v>
      </c>
      <c r="Z28" s="41">
        <f>$F$37*'[2]direct emissions'!Z29</f>
        <v>0</v>
      </c>
      <c r="AA28" s="41">
        <f>$F$37*'[2]direct emissions'!AA29</f>
        <v>9.3613175675675685E-4</v>
      </c>
      <c r="AB28" s="41">
        <f>$F$37*'[2]direct emissions'!AB29</f>
        <v>0</v>
      </c>
      <c r="AC28" s="41">
        <f>$F$37*'[2]direct emissions'!AC29</f>
        <v>1.1751442020401387E-8</v>
      </c>
      <c r="AD28" s="41">
        <f>$F$37*'[2]direct emissions'!AD29</f>
        <v>0</v>
      </c>
      <c r="AE28" s="41">
        <f>$F$37*'[2]direct emissions'!AE29</f>
        <v>0</v>
      </c>
      <c r="AF28" s="41">
        <f>$F$37*'[2]direct emissions'!AF29</f>
        <v>2.6070045190514998E-9</v>
      </c>
      <c r="AG28" s="41">
        <f>$F$37*'[2]direct emissions'!AG29</f>
        <v>5.2254114258476998E-6</v>
      </c>
      <c r="AH28" s="41">
        <f>$F$37*'[2]direct emissions'!AH29</f>
        <v>0</v>
      </c>
    </row>
    <row r="29" spans="1:35">
      <c r="A29" s="44" t="s">
        <v>18</v>
      </c>
      <c r="B29" s="43"/>
      <c r="C29" s="39"/>
      <c r="D29" s="39"/>
      <c r="E29" s="39"/>
      <c r="F29" s="41"/>
      <c r="G29" s="39"/>
      <c r="H29" s="39"/>
      <c r="I29" s="39"/>
      <c r="J29" s="39"/>
      <c r="K29" s="39" t="str">
        <f t="shared" si="3"/>
        <v>Acetonitrile</v>
      </c>
      <c r="L29" s="41">
        <f>$F$38*'[2]direct emissions'!D30</f>
        <v>0</v>
      </c>
      <c r="M29" s="41">
        <f>$F$38*'[2]direct emissions'!M30</f>
        <v>0</v>
      </c>
      <c r="N29" s="41">
        <f>$F$38*'[2]direct emissions'!N30</f>
        <v>0</v>
      </c>
      <c r="O29" s="41">
        <f>$F$38*'[2]direct emissions'!O30</f>
        <v>0</v>
      </c>
      <c r="P29" s="41">
        <f>$F$38*'[2]direct emissions'!P30</f>
        <v>0</v>
      </c>
      <c r="Q29" s="41">
        <f>$F$38*'[2]direct emissions'!Q30</f>
        <v>1.0023447221851575E-9</v>
      </c>
      <c r="R29" s="41">
        <f>$F$38*'[2]direct emissions'!R30</f>
        <v>0</v>
      </c>
      <c r="S29" s="41">
        <f>$F$38*'[2]direct emissions'!S30</f>
        <v>2.7754339256220706E-6</v>
      </c>
      <c r="T29" s="41">
        <f>$F$38*'[2]direct emissions'!T30</f>
        <v>0</v>
      </c>
      <c r="U29" s="41">
        <f>$F$38*'[2]direct emissions'!U30</f>
        <v>1.0258481265784256E-8</v>
      </c>
      <c r="V29" s="41">
        <f>$F$38*'[2]direct emissions'!V30</f>
        <v>0</v>
      </c>
      <c r="W29" s="41">
        <f>$F$38*'[2]direct emissions'!W30</f>
        <v>0</v>
      </c>
      <c r="X29" s="41">
        <f>$F$38*'[2]direct emissions'!X30</f>
        <v>0</v>
      </c>
      <c r="Y29" s="41">
        <f>$F$38*'[2]direct emissions'!Y30</f>
        <v>0</v>
      </c>
      <c r="Z29" s="41">
        <f>$F$38*'[2]direct emissions'!Z30</f>
        <v>0</v>
      </c>
      <c r="AA29" s="41">
        <f>$F$38*'[2]direct emissions'!AA30</f>
        <v>0</v>
      </c>
      <c r="AB29" s="41">
        <f>$F$38*'[2]direct emissions'!AB30</f>
        <v>0</v>
      </c>
      <c r="AC29" s="41">
        <f>$F$38*'[2]direct emissions'!AC30</f>
        <v>2.1835479582031784E-9</v>
      </c>
      <c r="AD29" s="41">
        <f>$F$38*'[2]direct emissions'!AD30</f>
        <v>0</v>
      </c>
      <c r="AE29" s="41">
        <f>$F$38*'[2]direct emissions'!AE30</f>
        <v>0</v>
      </c>
      <c r="AF29" s="41">
        <f>$F$38*'[2]direct emissions'!AF30</f>
        <v>4.8215747752708954E-10</v>
      </c>
      <c r="AG29" s="41">
        <f>$F$38*'[2]direct emissions'!AG30</f>
        <v>1.8954182906685002E-8</v>
      </c>
      <c r="AH29" s="41">
        <f>$F$38*'[2]direct emissions'!AH30</f>
        <v>0</v>
      </c>
    </row>
    <row r="30" spans="1:35">
      <c r="A30" s="39" t="s">
        <v>19</v>
      </c>
      <c r="B30" s="43"/>
      <c r="C30" s="39"/>
      <c r="D30" s="39"/>
      <c r="E30" s="39"/>
      <c r="F30" s="41">
        <f>F6/1*0.0481*(1-E6)</f>
        <v>1.2055499999999996E-4</v>
      </c>
      <c r="G30" s="39"/>
      <c r="H30" s="39"/>
      <c r="I30" s="39"/>
      <c r="J30" s="39" t="s">
        <v>151</v>
      </c>
      <c r="K30" s="94" t="s">
        <v>156</v>
      </c>
      <c r="L30" s="95">
        <f>$F$39*'[6]direct emissions'!D39</f>
        <v>0</v>
      </c>
      <c r="M30" s="95">
        <f>$F$39*'[6]direct emissions'!M39</f>
        <v>0</v>
      </c>
      <c r="N30" s="95">
        <f>$F$39*'[6]direct emissions'!N39</f>
        <v>0</v>
      </c>
      <c r="O30" s="95">
        <f>$F$39*'[6]direct emissions'!O39</f>
        <v>0</v>
      </c>
      <c r="P30" s="95">
        <f>$F$39*'[6]direct emissions'!P39</f>
        <v>0</v>
      </c>
      <c r="Q30" s="95">
        <f>$F$39*'[6]direct emissions'!Q39</f>
        <v>2.876098964637696E-2</v>
      </c>
      <c r="R30" s="95">
        <f>$F$39*'[6]direct emissions'!R39</f>
        <v>0</v>
      </c>
      <c r="S30" s="95">
        <f>$F$39*'[6]direct emissions'!S39</f>
        <v>3.7339035644610559E-2</v>
      </c>
      <c r="T30" s="95">
        <f>$F$39*'[6]direct emissions'!T39</f>
        <v>0</v>
      </c>
      <c r="U30" s="95">
        <f>$F$39*'[6]direct emissions'!U39</f>
        <v>65.577504241070073</v>
      </c>
      <c r="V30" s="95">
        <f>$F$39*'[6]direct emissions'!V39</f>
        <v>0</v>
      </c>
      <c r="W30" s="95">
        <f>$F$39*'[6]direct emissions'!W39</f>
        <v>0</v>
      </c>
      <c r="X30" s="95">
        <f>$F$39*'[6]direct emissions'!X39</f>
        <v>0</v>
      </c>
      <c r="Y30" s="95">
        <f>$F$39*'[6]direct emissions'!Y39</f>
        <v>0</v>
      </c>
      <c r="Z30" s="95">
        <f>$F$39*'[6]direct emissions'!Z39</f>
        <v>0</v>
      </c>
      <c r="AA30" s="95">
        <f>$F$39*'[6]direct emissions'!AA39</f>
        <v>0</v>
      </c>
      <c r="AB30" s="95">
        <f>$F$39*'[6]direct emissions'!AB39</f>
        <v>0</v>
      </c>
      <c r="AC30" s="95">
        <f>$F$39*'[6]direct emissions'!AC39</f>
        <v>0.30113898563266556</v>
      </c>
      <c r="AD30" s="95">
        <f>$F$39*'[6]direct emissions'!AD39</f>
        <v>0</v>
      </c>
      <c r="AE30" s="95">
        <f>$F$39*'[6]direct emissions'!AE39</f>
        <v>0</v>
      </c>
      <c r="AF30" s="95">
        <f>$F$39*'[6]direct emissions'!AF39</f>
        <v>8.2794112915763191E-2</v>
      </c>
      <c r="AG30" s="95">
        <f>$F$39*'[6]direct emissions'!AG39</f>
        <v>2.549982922074112E-4</v>
      </c>
      <c r="AH30" s="95">
        <f>$F$39*'[6]direct emissions'!AH39</f>
        <v>0</v>
      </c>
      <c r="AI30" s="95"/>
    </row>
    <row r="31" spans="1:35">
      <c r="A31" s="39" t="s">
        <v>20</v>
      </c>
      <c r="B31" s="43"/>
      <c r="C31" s="39"/>
      <c r="D31" s="39"/>
      <c r="E31" s="39"/>
      <c r="F31" s="41">
        <f>F6/1*0.0608+F18</f>
        <v>3.1818602496796085E-3</v>
      </c>
      <c r="G31" s="39"/>
      <c r="H31" s="39"/>
      <c r="I31" s="39"/>
      <c r="J31" s="39" t="s">
        <v>151</v>
      </c>
      <c r="K31" s="39" t="s">
        <v>154</v>
      </c>
      <c r="L31" s="41"/>
      <c r="M31" s="41"/>
      <c r="N31" s="41"/>
      <c r="O31" s="41"/>
      <c r="P31" s="41"/>
      <c r="Q31" s="41"/>
      <c r="R31" s="41"/>
      <c r="S31" s="41"/>
      <c r="T31" s="41"/>
      <c r="U31" s="41"/>
      <c r="V31" s="41"/>
      <c r="W31" s="41"/>
      <c r="X31" s="41"/>
      <c r="Y31" s="41"/>
      <c r="Z31" s="41"/>
      <c r="AA31" s="41"/>
      <c r="AB31" s="41"/>
      <c r="AC31" s="41"/>
      <c r="AD31" s="41"/>
      <c r="AE31" s="41"/>
      <c r="AF31" s="41"/>
      <c r="AG31" s="41"/>
      <c r="AH31" s="41"/>
    </row>
    <row r="32" spans="1:35">
      <c r="A32" s="39" t="s">
        <v>112</v>
      </c>
      <c r="B32" s="43"/>
      <c r="C32" s="39"/>
      <c r="D32" s="39"/>
      <c r="E32" s="39"/>
      <c r="F32" s="41">
        <f>F6/1*0.0294</f>
        <v>3.6843212058212059E-4</v>
      </c>
      <c r="G32" s="39"/>
      <c r="H32" s="39"/>
      <c r="I32" s="39"/>
      <c r="J32" s="39" t="s">
        <v>151</v>
      </c>
      <c r="K32" s="39" t="s">
        <v>155</v>
      </c>
    </row>
    <row r="33" spans="1:35">
      <c r="A33" s="39" t="s">
        <v>113</v>
      </c>
      <c r="B33" s="43"/>
      <c r="C33" s="39"/>
      <c r="D33" s="39"/>
      <c r="E33" s="39"/>
      <c r="F33" s="41">
        <f>F6/1*0.0518</f>
        <v>6.4914230769230774E-4</v>
      </c>
      <c r="G33" s="39"/>
      <c r="H33" s="39"/>
      <c r="I33" s="39"/>
      <c r="J33" s="39" t="s">
        <v>151</v>
      </c>
      <c r="K33" s="39"/>
      <c r="L33" s="39"/>
      <c r="M33" s="39"/>
      <c r="N33" s="39"/>
      <c r="O33" s="39"/>
      <c r="P33" s="39"/>
      <c r="Q33" s="39"/>
      <c r="R33" s="39"/>
      <c r="S33" s="39"/>
      <c r="T33" s="39"/>
      <c r="U33" s="39"/>
      <c r="V33" s="39"/>
      <c r="W33" s="39"/>
      <c r="X33" s="39"/>
      <c r="Y33" s="39"/>
      <c r="Z33" s="39"/>
      <c r="AA33" s="39"/>
      <c r="AB33" s="39"/>
      <c r="AC33" s="39"/>
      <c r="AD33" s="39"/>
      <c r="AE33" s="39"/>
      <c r="AF33" s="39"/>
      <c r="AG33" s="39"/>
      <c r="AH33" s="39"/>
    </row>
    <row r="34" spans="1:35">
      <c r="A34" s="39" t="s">
        <v>80</v>
      </c>
      <c r="B34" s="43"/>
      <c r="C34" s="39"/>
      <c r="D34" s="39"/>
      <c r="E34" s="39"/>
      <c r="F34" s="41">
        <f>F9</f>
        <v>2.4491699999999996E-3</v>
      </c>
      <c r="G34" s="39"/>
      <c r="H34" s="39"/>
      <c r="I34" s="39"/>
      <c r="J34" s="39" t="s">
        <v>151</v>
      </c>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41"/>
    </row>
    <row r="35" spans="1:35">
      <c r="A35" s="39" t="s">
        <v>16</v>
      </c>
      <c r="B35" s="43"/>
      <c r="C35" s="39"/>
      <c r="D35" s="39"/>
      <c r="E35" s="39"/>
      <c r="F35" s="41">
        <f>F16</f>
        <v>9.7087897167888796E-4</v>
      </c>
      <c r="G35" s="39"/>
      <c r="H35" s="39"/>
      <c r="I35" s="39"/>
      <c r="J35" s="39" t="s">
        <v>151</v>
      </c>
      <c r="K35" s="39"/>
      <c r="L35" s="39"/>
      <c r="M35" s="39"/>
      <c r="N35" s="39"/>
      <c r="O35" s="39"/>
      <c r="P35" s="39"/>
      <c r="Q35" s="39"/>
      <c r="R35" s="39"/>
      <c r="S35" s="39"/>
      <c r="T35" s="39"/>
      <c r="U35" s="39"/>
      <c r="V35" s="39"/>
      <c r="W35" s="39"/>
      <c r="X35" s="39"/>
      <c r="Y35" s="39"/>
      <c r="Z35" s="39"/>
      <c r="AA35" s="39"/>
      <c r="AB35" s="39"/>
      <c r="AC35" s="39"/>
      <c r="AD35" s="39"/>
      <c r="AE35" s="39"/>
      <c r="AF35" s="39"/>
      <c r="AG35" s="39"/>
      <c r="AH35" s="39"/>
    </row>
    <row r="36" spans="1:35">
      <c r="A36" s="39" t="s">
        <v>17</v>
      </c>
      <c r="B36" s="43"/>
      <c r="C36" s="39"/>
      <c r="D36" s="39"/>
      <c r="E36" s="39"/>
      <c r="F36" s="41">
        <f>F17</f>
        <v>2.8163683250178711E-4</v>
      </c>
      <c r="G36" s="39"/>
      <c r="H36" s="39"/>
      <c r="I36" s="39"/>
      <c r="J36" s="39" t="s">
        <v>151</v>
      </c>
      <c r="K36" s="39"/>
      <c r="L36" s="39"/>
      <c r="M36" s="39"/>
      <c r="N36" s="39"/>
      <c r="O36" s="39"/>
      <c r="P36" s="39"/>
      <c r="Q36" s="39"/>
      <c r="R36" s="39"/>
      <c r="S36" s="39"/>
      <c r="T36" s="39"/>
      <c r="U36" s="39"/>
      <c r="V36" s="39"/>
      <c r="W36" s="39"/>
      <c r="X36" s="39"/>
      <c r="Y36" s="39"/>
      <c r="Z36" s="39"/>
      <c r="AA36" s="39"/>
      <c r="AB36" s="39"/>
      <c r="AC36" s="39"/>
      <c r="AD36" s="39"/>
      <c r="AE36" s="39"/>
      <c r="AF36" s="39"/>
      <c r="AG36" s="39"/>
      <c r="AH36" s="39"/>
    </row>
    <row r="37" spans="1:35">
      <c r="A37" s="39" t="s">
        <v>114</v>
      </c>
      <c r="B37" s="43"/>
      <c r="C37" s="39"/>
      <c r="D37" s="39"/>
      <c r="E37" s="39"/>
      <c r="F37" s="41">
        <f>F20/[7]Inventory!$E$23*[7]Inventory!$E$19</f>
        <v>8.7000000000000001E-4</v>
      </c>
      <c r="G37" s="39"/>
      <c r="H37" s="39"/>
      <c r="I37" s="39"/>
      <c r="J37" s="39" t="s">
        <v>151</v>
      </c>
      <c r="K37" s="39" t="s">
        <v>89</v>
      </c>
      <c r="L37" s="41">
        <f>$F$44/1000*[6]production!D3</f>
        <v>1.2757696199999999E-4</v>
      </c>
      <c r="M37" s="41">
        <f>$F$44/1000*[6]production!M3</f>
        <v>1.0661210680980003E-3</v>
      </c>
      <c r="N37" s="41">
        <f>$F$44/1000*[6]production!N3</f>
        <v>4.5807721199999999E-6</v>
      </c>
      <c r="O37" s="41">
        <f>$F$44/1000*[6]production!O3</f>
        <v>1.1673294600000001E-4</v>
      </c>
      <c r="P37" s="41">
        <f>$F$44/1000*[6]production!P3</f>
        <v>2.0171209800000002E-5</v>
      </c>
      <c r="Q37" s="41">
        <f>$F$44/1000*[6]production!Q3</f>
        <v>1.7836447800000002E-6</v>
      </c>
      <c r="R37" s="41">
        <f>$F$44/1000*[6]production!R3</f>
        <v>7.2485856000000006E-7</v>
      </c>
      <c r="S37" s="41">
        <f>$F$44/1000*[6]production!S3</f>
        <v>1.6467545400000001E-3</v>
      </c>
      <c r="T37" s="41">
        <f>$F$44/1000*[6]production!T3</f>
        <v>8.1773364000000004E-6</v>
      </c>
      <c r="U37" s="41">
        <f>$F$44/1000*[6]production!U3</f>
        <v>1.6016055E-3</v>
      </c>
      <c r="V37" s="41">
        <f>$F$44/1000*[6]production!V3</f>
        <v>6.7182390000000003E-6</v>
      </c>
      <c r="W37" s="41">
        <f>$F$44/1000*[6]production!W3</f>
        <v>9.001976400000002E-6</v>
      </c>
      <c r="X37" s="41">
        <f>$F$44/1000*[6]production!X3</f>
        <v>9.3617256000000016E-9</v>
      </c>
      <c r="Y37" s="41">
        <f>$F$44/1000*[6]production!Y3</f>
        <v>9.4591362000000011E-12</v>
      </c>
      <c r="Z37" s="41">
        <f>$F$44/1000*[6]production!Z3</f>
        <v>2.6064808800000005E-7</v>
      </c>
      <c r="AA37" s="41">
        <f>$F$44/1000*[6]production!AA3</f>
        <v>3.0646199400000004E-7</v>
      </c>
      <c r="AB37" s="41">
        <f>$F$44/1000*[6]production!AB3</f>
        <v>5.3446980000000006E-7</v>
      </c>
      <c r="AC37" s="41">
        <f>$F$44/1000*[6]production!AC3</f>
        <v>7.1202510000000002E-8</v>
      </c>
      <c r="AD37" s="41">
        <f>$F$44/1000*[6]production!AD3</f>
        <v>1.2040259400000001E-6</v>
      </c>
      <c r="AE37" s="41">
        <f>$F$44/1000*[6]production!AE3</f>
        <v>5.488494600000001E-7</v>
      </c>
      <c r="AF37" s="41">
        <f>$F$44/1000*[6]production!AF3</f>
        <v>5.2287330000000007E-6</v>
      </c>
      <c r="AG37" s="41">
        <f>$F$44/1000*[6]production!AG3</f>
        <v>1.58258724E-5</v>
      </c>
      <c r="AH37" s="41">
        <f>$F$44/1000*[6]production!AH3</f>
        <v>2.8364008200000001E-6</v>
      </c>
    </row>
    <row r="38" spans="1:35">
      <c r="A38" s="39" t="s">
        <v>115</v>
      </c>
      <c r="B38" s="43"/>
      <c r="C38" s="39"/>
      <c r="D38" s="39"/>
      <c r="E38" s="39"/>
      <c r="F38" s="41">
        <f>F20/[7]Inventory!$E$23*[7]Inventory!$E$21</f>
        <v>5.8950000000000003E-6</v>
      </c>
      <c r="G38" s="39"/>
      <c r="H38" s="39"/>
      <c r="I38" s="39"/>
      <c r="J38" s="39" t="s">
        <v>151</v>
      </c>
      <c r="K38" s="44" t="s">
        <v>63</v>
      </c>
      <c r="L38" s="85">
        <f t="shared" ref="L38:AH38" si="4">SUM(L3:L20)+L37</f>
        <v>4.3408948856256995</v>
      </c>
      <c r="M38" s="85">
        <f t="shared" si="4"/>
        <v>102.82516860568273</v>
      </c>
      <c r="N38" s="85">
        <f t="shared" si="4"/>
        <v>6.2434097182067276</v>
      </c>
      <c r="O38" s="85">
        <f t="shared" si="4"/>
        <v>4.3726718959844124</v>
      </c>
      <c r="P38" s="85">
        <f t="shared" si="4"/>
        <v>1.2094043592030772</v>
      </c>
      <c r="Q38" s="85">
        <f t="shared" si="4"/>
        <v>0.1409536760925815</v>
      </c>
      <c r="R38" s="85">
        <f t="shared" si="4"/>
        <v>2.5062994588446216E-3</v>
      </c>
      <c r="S38" s="85">
        <f t="shared" si="4"/>
        <v>154.56605891568964</v>
      </c>
      <c r="T38" s="85">
        <f t="shared" si="4"/>
        <v>0.28586388664033846</v>
      </c>
      <c r="U38" s="85">
        <f t="shared" si="4"/>
        <v>172.25918313571984</v>
      </c>
      <c r="V38" s="85">
        <f t="shared" si="4"/>
        <v>1.1443287275991957E-2</v>
      </c>
      <c r="W38" s="85">
        <f t="shared" si="4"/>
        <v>37.822712615954757</v>
      </c>
      <c r="X38" s="85">
        <f t="shared" si="4"/>
        <v>2.7743342248496491E-3</v>
      </c>
      <c r="Y38" s="85">
        <f t="shared" si="4"/>
        <v>3.1327894776903651E-7</v>
      </c>
      <c r="Z38" s="85">
        <f t="shared" si="4"/>
        <v>3.3304582206142991E-2</v>
      </c>
      <c r="AA38" s="85">
        <f t="shared" si="4"/>
        <v>5.2881834623727961E-2</v>
      </c>
      <c r="AB38" s="85">
        <f t="shared" si="4"/>
        <v>6.7554991486513186E-2</v>
      </c>
      <c r="AC38" s="85">
        <f t="shared" si="4"/>
        <v>0.31025203033086729</v>
      </c>
      <c r="AD38" s="85">
        <f t="shared" si="4"/>
        <v>0.15326794373975527</v>
      </c>
      <c r="AE38" s="85">
        <f t="shared" si="4"/>
        <v>1.4356029935656775E-2</v>
      </c>
      <c r="AF38" s="85">
        <f t="shared" si="4"/>
        <v>0.62958876112208151</v>
      </c>
      <c r="AG38" s="85">
        <f t="shared" si="4"/>
        <v>1.2609263972441218</v>
      </c>
      <c r="AH38" s="85">
        <f t="shared" si="4"/>
        <v>1.9010404784447905</v>
      </c>
    </row>
    <row r="39" spans="1:35">
      <c r="A39" s="94" t="str">
        <f>A23</f>
        <v>Cu</v>
      </c>
      <c r="B39" s="93"/>
      <c r="C39" s="94"/>
      <c r="D39" s="94"/>
      <c r="E39" s="94"/>
      <c r="F39" s="95">
        <f>F23*(1-E23)</f>
        <v>7.1679999999999997E-4</v>
      </c>
      <c r="G39" s="94"/>
      <c r="H39" s="94"/>
      <c r="I39" s="94"/>
      <c r="J39" s="94" t="s">
        <v>151</v>
      </c>
    </row>
    <row r="40" spans="1:35">
      <c r="A40" s="39" t="str">
        <f>A24</f>
        <v>Ar</v>
      </c>
      <c r="B40" s="43"/>
      <c r="C40" s="39"/>
      <c r="D40" s="39"/>
      <c r="E40" s="39"/>
      <c r="F40" s="41">
        <f>F24</f>
        <v>0.1081212121212121</v>
      </c>
      <c r="G40" s="39"/>
      <c r="H40" s="39"/>
      <c r="I40" s="39"/>
      <c r="J40" s="39" t="s">
        <v>151</v>
      </c>
    </row>
    <row r="41" spans="1:35">
      <c r="A41" s="39" t="str">
        <f>A25</f>
        <v>O₂</v>
      </c>
      <c r="B41" s="43"/>
      <c r="C41" s="39"/>
      <c r="D41" s="39"/>
      <c r="E41" s="39"/>
      <c r="F41" s="41">
        <f>F25</f>
        <v>1.0812121212121211E-4</v>
      </c>
      <c r="G41" s="39"/>
      <c r="H41" s="39"/>
      <c r="I41" s="39"/>
      <c r="J41" s="39" t="s">
        <v>151</v>
      </c>
      <c r="AI41" s="52"/>
    </row>
    <row r="42" spans="1:35">
      <c r="A42" s="44" t="s">
        <v>21</v>
      </c>
      <c r="B42" s="43"/>
      <c r="C42" s="39"/>
      <c r="D42" s="39"/>
      <c r="E42" s="39"/>
      <c r="F42" s="41">
        <f>SUM(F4:F28)-SUM(F30:F41)-F44</f>
        <v>5.1348309712715272</v>
      </c>
      <c r="G42" s="39"/>
      <c r="H42" s="39"/>
      <c r="I42" s="39"/>
      <c r="J42" s="39"/>
      <c r="K42" s="39" t="s">
        <v>143</v>
      </c>
      <c r="L42" s="41">
        <f>$F$42*[6]production!D104</f>
        <v>2.786107936702218E-2</v>
      </c>
      <c r="M42" s="52">
        <f>$F$42*[6]production!M104</f>
        <v>0.89169456299091465</v>
      </c>
      <c r="N42" s="52">
        <f>$F$42*[6]production!N104</f>
        <v>1.4404227840610886E-3</v>
      </c>
      <c r="O42" s="52">
        <f>$F$42*[6]production!O104</f>
        <v>2.6219473905506673E-2</v>
      </c>
      <c r="P42" s="52">
        <f>$F$42*[6]production!P104</f>
        <v>2.0784255322415762E-2</v>
      </c>
      <c r="Q42" s="52">
        <f>$F$42*[6]production!Q104</f>
        <v>1.282937518172191E-4</v>
      </c>
      <c r="R42" s="52">
        <f>$F$42*[6]production!R104</f>
        <v>3.090141278511205E-6</v>
      </c>
      <c r="S42" s="52">
        <f>$F$42*[6]production!S104</f>
        <v>0.19763964408424109</v>
      </c>
      <c r="T42" s="52">
        <f>$F$42*[6]production!T104</f>
        <v>3.8128687377176726E-3</v>
      </c>
      <c r="U42" s="52">
        <f>$F$42*[6]production!U104</f>
        <v>0.14018602034668395</v>
      </c>
      <c r="V42" s="52">
        <f>$F$42*[6]production!V104</f>
        <v>8.8765823000370891E-5</v>
      </c>
      <c r="W42" s="52">
        <f>$F$42*[6]production!W104</f>
        <v>1.0816007957886345E-3</v>
      </c>
      <c r="X42" s="52">
        <f>$F$42*[6]production!X104</f>
        <v>-2.0439708164243439E-4</v>
      </c>
      <c r="Y42" s="52">
        <f>$F$42*[6]production!Y104</f>
        <v>9.7972574931860742E-9</v>
      </c>
      <c r="Z42" s="52">
        <f>$F$42*[6]production!Z104</f>
        <v>9.3777418028331914E-5</v>
      </c>
      <c r="AA42" s="52">
        <f>$F$42*[6]production!AA104</f>
        <v>2.835761752194414E-4</v>
      </c>
      <c r="AB42" s="52">
        <f>$F$42*[6]production!AB104</f>
        <v>2.3723946053468711E-4</v>
      </c>
      <c r="AC42" s="52">
        <f>$F$42*[6]production!AC104</f>
        <v>2.8601008509982408E-5</v>
      </c>
      <c r="AD42" s="52">
        <f>$F$42*[6]production!AD104</f>
        <v>5.249337701930883E-3</v>
      </c>
      <c r="AE42" s="52">
        <f>$F$42*[6]production!AE104</f>
        <v>3.7909430094703429E-5</v>
      </c>
      <c r="AF42" s="52">
        <f>$F$42*[6]production!AF104</f>
        <v>2.134908672925563E-3</v>
      </c>
      <c r="AG42" s="52">
        <f>$F$42*[6]production!AG104</f>
        <v>2.4661052705725762E-3</v>
      </c>
      <c r="AH42" s="52">
        <f>$F$42*[6]production!AH104</f>
        <v>2.5425629037348096E-3</v>
      </c>
    </row>
    <row r="44" spans="1:35">
      <c r="A44" s="36" t="s">
        <v>152</v>
      </c>
      <c r="F44" s="41">
        <f>F10+F21</f>
        <v>5.1540000000000002E-2</v>
      </c>
      <c r="J44" s="1" t="s">
        <v>153</v>
      </c>
    </row>
  </sheetData>
  <mergeCells count="9">
    <mergeCell ref="N1:AE1"/>
    <mergeCell ref="AF1:AH1"/>
    <mergeCell ref="B1:B2"/>
    <mergeCell ref="A1:A2"/>
    <mergeCell ref="J1:J2"/>
    <mergeCell ref="F1:F2"/>
    <mergeCell ref="E1:E2"/>
    <mergeCell ref="D1:D2"/>
    <mergeCell ref="C1:C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73148-D486-4271-8664-BC466A603C19}">
  <dimension ref="A1:AM25"/>
  <sheetViews>
    <sheetView zoomScale="85" zoomScaleNormal="85" workbookViewId="0">
      <selection activeCell="F17" sqref="F17"/>
    </sheetView>
  </sheetViews>
  <sheetFormatPr defaultRowHeight="15"/>
  <cols>
    <col min="2" max="2" width="31.28515625" customWidth="1"/>
    <col min="3" max="5" width="24.85546875" customWidth="1"/>
    <col min="6" max="6" width="12.7109375" style="42" customWidth="1"/>
    <col min="7" max="7" width="23.7109375" style="39" customWidth="1"/>
    <col min="8" max="8" width="33.28515625" style="37" customWidth="1"/>
    <col min="9" max="9" width="21" customWidth="1"/>
    <col min="10" max="10" width="0" hidden="1" customWidth="1"/>
    <col min="11" max="11" width="12.5703125" hidden="1" customWidth="1"/>
    <col min="12" max="17" width="0" hidden="1" customWidth="1"/>
    <col min="18" max="18" width="9.85546875" customWidth="1"/>
    <col min="20" max="20" width="10.42578125" customWidth="1"/>
    <col min="24" max="24" width="12.140625" customWidth="1"/>
    <col min="26" max="26" width="10.140625" customWidth="1"/>
  </cols>
  <sheetData>
    <row r="1" spans="1:39">
      <c r="B1" s="106" t="s">
        <v>147</v>
      </c>
      <c r="C1" s="106"/>
      <c r="D1" s="106"/>
      <c r="E1" s="106"/>
      <c r="F1" s="106"/>
      <c r="I1" s="103" t="s">
        <v>22</v>
      </c>
      <c r="J1" s="104" t="s">
        <v>23</v>
      </c>
      <c r="K1" s="104"/>
      <c r="L1" s="104"/>
      <c r="M1" s="104"/>
      <c r="N1" s="104"/>
      <c r="O1" s="104"/>
      <c r="P1" s="104"/>
      <c r="Q1" s="104"/>
      <c r="R1" s="104"/>
      <c r="S1" s="105" t="s">
        <v>24</v>
      </c>
      <c r="T1" s="105"/>
      <c r="U1" s="105"/>
      <c r="V1" s="105"/>
      <c r="W1" s="105"/>
      <c r="X1" s="105"/>
      <c r="Y1" s="105"/>
      <c r="Z1" s="105"/>
      <c r="AA1" s="105"/>
      <c r="AB1" s="105"/>
      <c r="AC1" s="105"/>
      <c r="AD1" s="105"/>
      <c r="AE1" s="105"/>
      <c r="AF1" s="105"/>
      <c r="AG1" s="105"/>
      <c r="AH1" s="105"/>
      <c r="AI1" s="105"/>
      <c r="AJ1" s="105"/>
      <c r="AK1" s="104" t="s">
        <v>25</v>
      </c>
      <c r="AL1" s="104"/>
      <c r="AM1" s="104"/>
    </row>
    <row r="2" spans="1:39" ht="15.75" thickBot="1">
      <c r="A2" s="40" t="s">
        <v>146</v>
      </c>
      <c r="B2" s="3"/>
      <c r="C2" s="3" t="s">
        <v>56</v>
      </c>
      <c r="D2" s="3" t="s">
        <v>57</v>
      </c>
      <c r="E2" s="3" t="s">
        <v>58</v>
      </c>
      <c r="I2" s="103"/>
      <c r="J2" s="6" t="s">
        <v>26</v>
      </c>
      <c r="K2" s="6" t="s">
        <v>27</v>
      </c>
      <c r="L2" s="6" t="s">
        <v>28</v>
      </c>
      <c r="M2" s="6" t="s">
        <v>29</v>
      </c>
      <c r="N2" s="6" t="s">
        <v>30</v>
      </c>
      <c r="O2" s="6" t="s">
        <v>31</v>
      </c>
      <c r="P2" s="6" t="s">
        <v>32</v>
      </c>
      <c r="Q2" s="6" t="s">
        <v>33</v>
      </c>
      <c r="R2" s="6" t="s">
        <v>34</v>
      </c>
      <c r="S2" s="6" t="s">
        <v>35</v>
      </c>
      <c r="T2" s="6" t="s">
        <v>36</v>
      </c>
      <c r="U2" s="6" t="s">
        <v>37</v>
      </c>
      <c r="V2" s="6" t="s">
        <v>38</v>
      </c>
      <c r="W2" s="6" t="s">
        <v>39</v>
      </c>
      <c r="X2" s="6" t="s">
        <v>40</v>
      </c>
      <c r="Y2" s="6" t="s">
        <v>41</v>
      </c>
      <c r="Z2" s="6" t="s">
        <v>42</v>
      </c>
      <c r="AA2" s="6" t="s">
        <v>43</v>
      </c>
      <c r="AB2" s="6" t="s">
        <v>44</v>
      </c>
      <c r="AC2" s="6" t="s">
        <v>45</v>
      </c>
      <c r="AD2" s="6" t="s">
        <v>46</v>
      </c>
      <c r="AE2" s="6" t="s">
        <v>47</v>
      </c>
      <c r="AF2" s="6" t="s">
        <v>48</v>
      </c>
      <c r="AG2" s="6" t="s">
        <v>49</v>
      </c>
      <c r="AH2" s="6" t="s">
        <v>50</v>
      </c>
      <c r="AI2" s="6" t="s">
        <v>51</v>
      </c>
      <c r="AJ2" s="6" t="s">
        <v>52</v>
      </c>
      <c r="AK2" s="7" t="s">
        <v>53</v>
      </c>
      <c r="AL2" s="7" t="s">
        <v>54</v>
      </c>
      <c r="AM2" s="7" t="s">
        <v>55</v>
      </c>
    </row>
    <row r="3" spans="1:39">
      <c r="B3" s="61" t="s">
        <v>59</v>
      </c>
      <c r="C3" s="67"/>
      <c r="D3" s="68"/>
      <c r="E3" s="67"/>
      <c r="F3" s="109"/>
      <c r="H3" s="86" t="str">
        <f>B4</f>
        <v>Spray pyrolysis</v>
      </c>
      <c r="I3" s="5">
        <f>$F4*[2]production!D$7</f>
        <v>4.0717716608465655E-4</v>
      </c>
      <c r="J3" s="5">
        <f>$F4*[2]production!E$7</f>
        <v>3.306651169020822E-6</v>
      </c>
      <c r="K3" s="5">
        <f>$F4*[2]production!F$7</f>
        <v>7.1258298279183192E-3</v>
      </c>
      <c r="L3" s="5">
        <f>$F4*[2]production!G$7</f>
        <v>2.3370588216209575E-7</v>
      </c>
      <c r="M3" s="5">
        <f>$F4*[2]production!H$7</f>
        <v>2.4588816045773201E-5</v>
      </c>
      <c r="N3" s="5">
        <f>$F4*[2]production!I$7</f>
        <v>2.6755127963033945E-8</v>
      </c>
      <c r="O3" s="5">
        <f>$F4*[2]production!J$7</f>
        <v>1.6095060900760131E-9</v>
      </c>
      <c r="P3" s="5">
        <f>$F4*[2]production!K$7</f>
        <v>9.5697416837425266E-6</v>
      </c>
      <c r="Q3" s="5">
        <f>$F4*[2]production!L$7</f>
        <v>1.0465058840968904E-6</v>
      </c>
      <c r="R3" s="5">
        <f>$F4*[2]production!M$7</f>
        <v>7.1646036132171692E-3</v>
      </c>
      <c r="S3" s="5">
        <f>$F4*[2]production!N$7</f>
        <v>4.6616715302939246E-7</v>
      </c>
      <c r="T3" s="5">
        <f>$F4*[2]production!O$7</f>
        <v>3.8427517115317085E-4</v>
      </c>
      <c r="U3" s="5">
        <f>$F4*[2]production!P$7</f>
        <v>1.697145078944809E-4</v>
      </c>
      <c r="V3" s="5">
        <f>$F4*[2]production!Q$7</f>
        <v>1.4631352133789144E-6</v>
      </c>
      <c r="W3" s="5">
        <f>$F4*[2]production!R$7</f>
        <v>7.1401686677201515E-9</v>
      </c>
      <c r="X3" s="5">
        <f>$F4*[2]production!S$7</f>
        <v>2.9930894202343647E-3</v>
      </c>
      <c r="Y3" s="5">
        <f>$F4*[2]production!T$7</f>
        <v>2.4221168193254235E-6</v>
      </c>
      <c r="Z3" s="5">
        <f>$F4*[2]production!U$7</f>
        <v>9.0013500739979154E-4</v>
      </c>
      <c r="AA3" s="5">
        <f>$F4*[2]production!V$7</f>
        <v>3.5259207072704332E-7</v>
      </c>
      <c r="AB3" s="5">
        <f>$F4*[2]production!W$7</f>
        <v>1.7200872226277398E-6</v>
      </c>
      <c r="AC3" s="5">
        <f>$F4*[2]production!X$7</f>
        <v>6.3291638885285464E-8</v>
      </c>
      <c r="AD3" s="5">
        <f>$F4*[2]production!Y$7</f>
        <v>3.4008286688392534E-11</v>
      </c>
      <c r="AE3" s="5">
        <f>$F4*[2]production!Z$7</f>
        <v>4.2937369009789216E-7</v>
      </c>
      <c r="AF3" s="5">
        <f>$F4*[2]production!AA$7</f>
        <v>1.1549075129987385E-6</v>
      </c>
      <c r="AG3" s="5">
        <f>$F4*[2]production!AB$7</f>
        <v>1.6633054170124858E-6</v>
      </c>
      <c r="AH3" s="5">
        <f>$F4*[2]production!AC$7</f>
        <v>2.9769152089378988E-8</v>
      </c>
      <c r="AI3" s="5">
        <f>$F4*[2]production!AD$7</f>
        <v>1.836002403585748E-7</v>
      </c>
      <c r="AJ3" s="5">
        <f>$F4*[2]production!AE$7</f>
        <v>4.5990968333987309E-8</v>
      </c>
      <c r="AK3" s="5">
        <f>$F4*[2]production!AF$7</f>
        <v>1.1249680154925137E-5</v>
      </c>
      <c r="AL3" s="5">
        <f>$F4*[2]production!AG$7</f>
        <v>3.4689668355775576E-5</v>
      </c>
      <c r="AM3" s="5">
        <f>$F4*[2]production!AH$7</f>
        <v>2.0430552503241989E-5</v>
      </c>
    </row>
    <row r="4" spans="1:39" ht="15.75" thickBot="1">
      <c r="B4" s="62" t="s">
        <v>60</v>
      </c>
      <c r="C4" s="69">
        <v>130</v>
      </c>
      <c r="D4" s="70">
        <f>'[8]energy consumption'!$K$9/'[8]material inventory'!$F$9*'material inventory'!F6</f>
        <v>15.883022537014934</v>
      </c>
      <c r="E4" s="69">
        <f>C4*D4/1000000</f>
        <v>2.0647929298119416E-3</v>
      </c>
      <c r="F4" s="110">
        <f>E4*0.277777778</f>
        <v>5.7355359207327103E-4</v>
      </c>
      <c r="H4" s="86" t="str">
        <f>B6</f>
        <v>ETL slot-die coating</v>
      </c>
      <c r="I4" s="5">
        <f>$F6*[2]production!D$7</f>
        <v>1.4790000011831998E-2</v>
      </c>
      <c r="J4" s="5">
        <f>$F6*[2]production!E$7</f>
        <v>1.2010833342941998E-4</v>
      </c>
      <c r="K4" s="5">
        <f>$F6*[2]production!F$7</f>
        <v>0.25883333354039995</v>
      </c>
      <c r="L4" s="5">
        <f>$F6*[2]production!G$7</f>
        <v>8.488958340124499E-6</v>
      </c>
      <c r="M4" s="5">
        <f>$F6*[2]production!H$7</f>
        <v>8.931458340478498E-4</v>
      </c>
      <c r="N4" s="5">
        <f>$F6*[2]production!I$7</f>
        <v>9.718333341107997E-7</v>
      </c>
      <c r="O4" s="5">
        <f>$F6*[2]production!J$7</f>
        <v>5.8462500046769988E-8</v>
      </c>
      <c r="P4" s="5">
        <f>$F6*[2]production!K$7</f>
        <v>3.4760416694474991E-4</v>
      </c>
      <c r="Q4" s="5">
        <f>$F6*[2]production!L$7</f>
        <v>3.8012500030409996E-5</v>
      </c>
      <c r="R4" s="5">
        <f>$F6*[2]production!M$7</f>
        <v>0.2602417236290267</v>
      </c>
      <c r="S4" s="5">
        <f>$F6*[2]production!N$7</f>
        <v>1.6932708346879497E-5</v>
      </c>
      <c r="T4" s="5">
        <f>$F6*[2]production!O$7</f>
        <v>1.3958125011166497E-2</v>
      </c>
      <c r="U4" s="5">
        <f>$F6*[2]production!P$7</f>
        <v>6.1645833382649989E-3</v>
      </c>
      <c r="V4" s="5">
        <f>$F6*[2]production!Q$7</f>
        <v>5.3145833375849992E-5</v>
      </c>
      <c r="W4" s="5">
        <f>$F6*[2]production!R$7</f>
        <v>2.5935416687414999E-7</v>
      </c>
      <c r="X4" s="5">
        <f>$F6*[2]production!S$7</f>
        <v>0.10871875008697497</v>
      </c>
      <c r="Y4" s="5">
        <f>$F6*[2]production!T$7</f>
        <v>8.7979166737049995E-5</v>
      </c>
      <c r="Z4" s="5">
        <f>$F6*[2]production!U$7</f>
        <v>3.2695833359489994E-2</v>
      </c>
      <c r="AA4" s="5">
        <f>$F6*[2]production!V$7</f>
        <v>1.2807291676912498E-5</v>
      </c>
      <c r="AB4" s="5">
        <f>$F6*[2]production!W$7</f>
        <v>6.2479166716649989E-5</v>
      </c>
      <c r="AC4" s="5">
        <f>$F6*[2]production!X$7</f>
        <v>2.2989583351724996E-6</v>
      </c>
      <c r="AD4" s="5">
        <f>$F6*[2]production!Y$7</f>
        <v>1.2352916676548999E-9</v>
      </c>
      <c r="AE4" s="5">
        <f>$F6*[2]production!Z$7</f>
        <v>1.5596250012476997E-5</v>
      </c>
      <c r="AF4" s="5">
        <f>$F6*[2]production!AA$7</f>
        <v>4.1950000033559991E-5</v>
      </c>
      <c r="AG4" s="5">
        <f>$F6*[2]production!AB$7</f>
        <v>6.0416666714999987E-5</v>
      </c>
      <c r="AH4" s="5">
        <f>$F6*[2]production!AC$7</f>
        <v>1.0813125008650499E-6</v>
      </c>
      <c r="AI4" s="5">
        <f>$F6*[2]production!AD$7</f>
        <v>6.6689583386684999E-6</v>
      </c>
      <c r="AJ4" s="5">
        <f>$F6*[2]production!AE$7</f>
        <v>1.6705416680030996E-6</v>
      </c>
      <c r="AK4" s="5">
        <f>$F6*[2]production!AF$7</f>
        <v>4.0862500032689994E-4</v>
      </c>
      <c r="AL4" s="5">
        <f>$F6*[2]production!AG$7</f>
        <v>1.2600416676746998E-3</v>
      </c>
      <c r="AM4" s="5">
        <f>$F6*[2]production!AH$7</f>
        <v>7.4210416726034993E-4</v>
      </c>
    </row>
    <row r="5" spans="1:39">
      <c r="B5" s="61" t="s">
        <v>2</v>
      </c>
      <c r="C5" s="67"/>
      <c r="D5" s="68"/>
      <c r="E5" s="67"/>
      <c r="F5" s="109"/>
      <c r="H5" s="86" t="str">
        <f>B7</f>
        <v>ETL calcining</v>
      </c>
      <c r="I5" s="5">
        <f>$F7*[2]production!D$7</f>
        <v>30.425142881482966</v>
      </c>
      <c r="J5" s="5">
        <f>$F7*[2]production!E$7</f>
        <v>0.24708000019766396</v>
      </c>
      <c r="K5" s="5">
        <f>$F7*[2]production!F$7</f>
        <v>532.45714328310851</v>
      </c>
      <c r="L5" s="5">
        <f>$F7*[2]production!G$7</f>
        <v>1.7463000013970397E-2</v>
      </c>
      <c r="M5" s="5">
        <f>$F7*[2]production!H$7</f>
        <v>1.8373285728984341</v>
      </c>
      <c r="N5" s="5">
        <f>$F7*[2]production!I$7</f>
        <v>1.9992000015993596E-3</v>
      </c>
      <c r="O5" s="5">
        <f>$F7*[2]production!J$7</f>
        <v>1.2026571438192684E-4</v>
      </c>
      <c r="P5" s="5">
        <f>$F7*[2]production!K$7</f>
        <v>0.71507142914348554</v>
      </c>
      <c r="Q5" s="5">
        <f>$F7*[2]production!L$7</f>
        <v>7.8197142919700563E-2</v>
      </c>
      <c r="R5" s="5">
        <f>$F7*[2]production!M$7</f>
        <v>535.35440289399776</v>
      </c>
      <c r="S5" s="5">
        <f>$F7*[2]production!N$7</f>
        <v>3.4833000027866393E-2</v>
      </c>
      <c r="T5" s="5">
        <f>$F7*[2]production!O$7</f>
        <v>28.713857165828223</v>
      </c>
      <c r="U5" s="5">
        <f>$F7*[2]production!P$7</f>
        <v>12.681428581573712</v>
      </c>
      <c r="V5" s="5">
        <f>$F7*[2]production!Q$7</f>
        <v>0.10932857151603427</v>
      </c>
      <c r="W5" s="5">
        <f>$F7*[2]production!R$7</f>
        <v>5.3352857185539422E-4</v>
      </c>
      <c r="X5" s="5">
        <f>$F7*[2]production!S$7</f>
        <v>223.65000017891995</v>
      </c>
      <c r="Y5" s="5">
        <f>$F7*[2]production!T$7</f>
        <v>0.18098571443050285</v>
      </c>
      <c r="Z5" s="5">
        <f>$F7*[2]production!U$7</f>
        <v>67.260000053807985</v>
      </c>
      <c r="AA5" s="5">
        <f>$F7*[2]production!V$7</f>
        <v>2.6346428592505709E-2</v>
      </c>
      <c r="AB5" s="5">
        <f>$F7*[2]production!W$7</f>
        <v>0.12852857153139427</v>
      </c>
      <c r="AC5" s="5">
        <f>$F7*[2]production!X$7</f>
        <v>4.7292857180691421E-3</v>
      </c>
      <c r="AD5" s="5">
        <f>$F7*[2]production!Y$7</f>
        <v>2.5411714306043655E-6</v>
      </c>
      <c r="AE5" s="5">
        <f>$F7*[2]production!Z$7</f>
        <v>3.2083714311381253E-2</v>
      </c>
      <c r="AF5" s="5">
        <f>$F7*[2]production!AA$7</f>
        <v>8.6297142926180556E-2</v>
      </c>
      <c r="AG5" s="5">
        <f>$F7*[2]production!AB$7</f>
        <v>0.12428571438514284</v>
      </c>
      <c r="AH5" s="5">
        <f>$F7*[2]production!AC$7</f>
        <v>2.224414287493817E-3</v>
      </c>
      <c r="AI5" s="5">
        <f>$F7*[2]production!AD$7</f>
        <v>1.3719000010975198E-2</v>
      </c>
      <c r="AJ5" s="5">
        <f>$F7*[2]production!AE$7</f>
        <v>3.4365428598920906E-3</v>
      </c>
      <c r="AK5" s="5">
        <f>$F7*[2]production!AF$7</f>
        <v>0.84060000067247986</v>
      </c>
      <c r="AL5" s="5">
        <f>$F7*[2]production!AG$7</f>
        <v>2.5920857163593825</v>
      </c>
      <c r="AM5" s="5">
        <f>$F7*[2]production!AH$7</f>
        <v>1.526614286935577</v>
      </c>
    </row>
    <row r="6" spans="1:39">
      <c r="B6" s="63" t="s">
        <v>116</v>
      </c>
      <c r="C6" s="71">
        <v>2500</v>
      </c>
      <c r="D6" s="72">
        <f>1/120*3600</f>
        <v>30</v>
      </c>
      <c r="E6" s="73">
        <f>C6*D6/1000000</f>
        <v>7.4999999999999997E-2</v>
      </c>
      <c r="F6" s="111">
        <f t="shared" ref="F6:F19" si="0">E6*0.277777778</f>
        <v>2.0833333349999997E-2</v>
      </c>
      <c r="G6" s="39" t="s">
        <v>145</v>
      </c>
      <c r="H6" s="86" t="str">
        <f>B9</f>
        <v>PL 1st-step slot-die coating</v>
      </c>
      <c r="I6" s="5">
        <f>$F9*[2]production!D$7</f>
        <v>2.1128571445474281E-2</v>
      </c>
      <c r="J6" s="5">
        <f>$F9*[2]production!E$7</f>
        <v>1.7158333347059996E-4</v>
      </c>
      <c r="K6" s="5">
        <f>$F9*[2]production!F$7</f>
        <v>0.36976190505771422</v>
      </c>
      <c r="L6" s="5">
        <f>$F9*[2]production!G$7</f>
        <v>1.2127083343034997E-5</v>
      </c>
      <c r="M6" s="5">
        <f>$F9*[2]production!H$7</f>
        <v>1.275922620068357E-3</v>
      </c>
      <c r="N6" s="5">
        <f>$F9*[2]production!I$7</f>
        <v>1.3883333344439998E-6</v>
      </c>
      <c r="O6" s="5">
        <f>$F9*[2]production!J$7</f>
        <v>8.3517857209671417E-8</v>
      </c>
      <c r="P6" s="5">
        <f>$F9*[2]production!K$7</f>
        <v>4.9657738134964273E-4</v>
      </c>
      <c r="Q6" s="5">
        <f>$F9*[2]production!L$7</f>
        <v>5.4303571472014274E-5</v>
      </c>
      <c r="R6" s="5">
        <f>$F9*[2]production!M$7</f>
        <v>0.37177389089860957</v>
      </c>
      <c r="S6" s="5">
        <f>$F9*[2]production!N$7</f>
        <v>2.4189583352684997E-5</v>
      </c>
      <c r="T6" s="5">
        <f>$F9*[2]production!O$7</f>
        <v>1.9940178587380709E-2</v>
      </c>
      <c r="U6" s="5">
        <f>$F9*[2]production!P$7</f>
        <v>8.806547626092856E-3</v>
      </c>
      <c r="V6" s="5">
        <f>$F9*[2]production!Q$7</f>
        <v>7.5922619108357133E-5</v>
      </c>
      <c r="W6" s="5">
        <f>$F9*[2]production!R$7</f>
        <v>3.7050595267735709E-7</v>
      </c>
      <c r="X6" s="5">
        <f>$F9*[2]production!S$7</f>
        <v>0.15531250012424996</v>
      </c>
      <c r="Y6" s="5">
        <f>$F9*[2]production!T$7</f>
        <v>1.2568452391007142E-4</v>
      </c>
      <c r="Z6" s="5">
        <f>$F9*[2]production!U$7</f>
        <v>4.6708333370699989E-2</v>
      </c>
      <c r="AA6" s="5">
        <f>$F9*[2]production!V$7</f>
        <v>1.8296130967017852E-5</v>
      </c>
      <c r="AB6" s="5">
        <f>$F9*[2]production!W$7</f>
        <v>8.9255952452357121E-5</v>
      </c>
      <c r="AC6" s="5">
        <f>$F9*[2]production!X$7</f>
        <v>3.2842261931035708E-6</v>
      </c>
      <c r="AD6" s="5">
        <f>$F9*[2]production!Y$7</f>
        <v>1.7647023823641425E-9</v>
      </c>
      <c r="AE6" s="5">
        <f>$F9*[2]production!Z$7</f>
        <v>2.2280357160681425E-5</v>
      </c>
      <c r="AF6" s="5">
        <f>$F9*[2]production!AA$7</f>
        <v>5.9928571476514276E-5</v>
      </c>
      <c r="AG6" s="5">
        <f>$F9*[2]production!AB$7</f>
        <v>8.6309523878571413E-5</v>
      </c>
      <c r="AH6" s="5">
        <f>$F9*[2]production!AC$7</f>
        <v>1.5447321440929283E-6</v>
      </c>
      <c r="AI6" s="5">
        <f>$F9*[2]production!AD$7</f>
        <v>9.5270833409549991E-6</v>
      </c>
      <c r="AJ6" s="5">
        <f>$F9*[2]production!AE$7</f>
        <v>2.3864880971472853E-6</v>
      </c>
      <c r="AK6" s="5">
        <f>$F9*[2]production!AF$7</f>
        <v>5.8375000046699988E-4</v>
      </c>
      <c r="AL6" s="5">
        <f>$F9*[2]production!AG$7</f>
        <v>1.8000595252495712E-3</v>
      </c>
      <c r="AM6" s="5">
        <f>$F9*[2]production!AH$7</f>
        <v>1.0601488103719283E-3</v>
      </c>
    </row>
    <row r="7" spans="1:39" ht="15.75" thickBot="1">
      <c r="A7">
        <v>500</v>
      </c>
      <c r="B7" s="62" t="s">
        <v>120</v>
      </c>
      <c r="C7" s="74">
        <f>12000/140*A7</f>
        <v>42857.142857142855</v>
      </c>
      <c r="D7" s="70">
        <v>3600</v>
      </c>
      <c r="E7" s="69">
        <f>C7*D7/1000000</f>
        <v>154.28571428571428</v>
      </c>
      <c r="F7" s="110">
        <f t="shared" si="0"/>
        <v>42.857142891428566</v>
      </c>
      <c r="H7" s="86" t="str">
        <f>B10</f>
        <v>PL 2nd-step slot-die coating</v>
      </c>
      <c r="I7" s="5">
        <f>$F10*[2]production!D$7</f>
        <v>2.1128571445474281E-2</v>
      </c>
      <c r="J7" s="5">
        <f>$F10*[2]production!E$7</f>
        <v>1.7158333347059996E-4</v>
      </c>
      <c r="K7" s="5">
        <f>$F10*[2]production!F$7</f>
        <v>0.36976190505771422</v>
      </c>
      <c r="L7" s="5">
        <f>$F10*[2]production!G$7</f>
        <v>1.2127083343034997E-5</v>
      </c>
      <c r="M7" s="5">
        <f>$F10*[2]production!H$7</f>
        <v>1.275922620068357E-3</v>
      </c>
      <c r="N7" s="5">
        <f>$F10*[2]production!I$7</f>
        <v>1.3883333344439998E-6</v>
      </c>
      <c r="O7" s="5">
        <f>$F10*[2]production!J$7</f>
        <v>8.3517857209671417E-8</v>
      </c>
      <c r="P7" s="5">
        <f>$F10*[2]production!K$7</f>
        <v>4.9657738134964273E-4</v>
      </c>
      <c r="Q7" s="5">
        <f>$F10*[2]production!L$7</f>
        <v>5.4303571472014274E-5</v>
      </c>
      <c r="R7" s="5">
        <f>$F10*[2]production!M$7</f>
        <v>0.37177389089860957</v>
      </c>
      <c r="S7" s="5">
        <f>$F10*[2]production!N$7</f>
        <v>2.4189583352684997E-5</v>
      </c>
      <c r="T7" s="5">
        <f>$F10*[2]production!O$7</f>
        <v>1.9940178587380709E-2</v>
      </c>
      <c r="U7" s="5">
        <f>$F10*[2]production!P$7</f>
        <v>8.806547626092856E-3</v>
      </c>
      <c r="V7" s="5">
        <f>$F10*[2]production!Q$7</f>
        <v>7.5922619108357133E-5</v>
      </c>
      <c r="W7" s="5">
        <f>$F10*[2]production!R$7</f>
        <v>3.7050595267735709E-7</v>
      </c>
      <c r="X7" s="5">
        <f>$F10*[2]production!S$7</f>
        <v>0.15531250012424996</v>
      </c>
      <c r="Y7" s="5">
        <f>$F10*[2]production!T$7</f>
        <v>1.2568452391007142E-4</v>
      </c>
      <c r="Z7" s="5">
        <f>$F10*[2]production!U$7</f>
        <v>4.6708333370699989E-2</v>
      </c>
      <c r="AA7" s="5">
        <f>$F10*[2]production!V$7</f>
        <v>1.8296130967017852E-5</v>
      </c>
      <c r="AB7" s="5">
        <f>$F10*[2]production!W$7</f>
        <v>8.9255952452357121E-5</v>
      </c>
      <c r="AC7" s="5">
        <f>$F10*[2]production!X$7</f>
        <v>3.2842261931035708E-6</v>
      </c>
      <c r="AD7" s="5">
        <f>$F10*[2]production!Y$7</f>
        <v>1.7647023823641425E-9</v>
      </c>
      <c r="AE7" s="5">
        <f>$F10*[2]production!Z$7</f>
        <v>2.2280357160681425E-5</v>
      </c>
      <c r="AF7" s="5">
        <f>$F10*[2]production!AA$7</f>
        <v>5.9928571476514276E-5</v>
      </c>
      <c r="AG7" s="5">
        <f>$F10*[2]production!AB$7</f>
        <v>8.6309523878571413E-5</v>
      </c>
      <c r="AH7" s="5">
        <f>$F10*[2]production!AC$7</f>
        <v>1.5447321440929283E-6</v>
      </c>
      <c r="AI7" s="5">
        <f>$F10*[2]production!AD$7</f>
        <v>9.5270833409549991E-6</v>
      </c>
      <c r="AJ7" s="5">
        <f>$F10*[2]production!AE$7</f>
        <v>2.3864880971472853E-6</v>
      </c>
      <c r="AK7" s="5">
        <f>$F10*[2]production!AF$7</f>
        <v>5.8375000046699988E-4</v>
      </c>
      <c r="AL7" s="5">
        <f>$F10*[2]production!AG$7</f>
        <v>1.8000595252495712E-3</v>
      </c>
      <c r="AM7" s="5">
        <f>$F10*[2]production!AH$7</f>
        <v>1.0601488103719283E-3</v>
      </c>
    </row>
    <row r="8" spans="1:39">
      <c r="B8" s="61" t="s">
        <v>61</v>
      </c>
      <c r="C8" s="75"/>
      <c r="D8" s="68"/>
      <c r="E8" s="67"/>
      <c r="F8" s="109"/>
      <c r="H8" s="86" t="str">
        <f>B11</f>
        <v>PL 1st-step drying</v>
      </c>
      <c r="I8" s="5">
        <f>$F11*[2]production!D$7</f>
        <v>3.0425142881482961</v>
      </c>
      <c r="J8" s="5">
        <f>$F11*[2]production!E$7</f>
        <v>2.4708000019766391E-2</v>
      </c>
      <c r="K8" s="5">
        <f>$F11*[2]production!F$7</f>
        <v>53.245714328310839</v>
      </c>
      <c r="L8" s="5">
        <f>$F11*[2]production!G$7</f>
        <v>1.7463000013970395E-3</v>
      </c>
      <c r="M8" s="5">
        <f>$F11*[2]production!H$7</f>
        <v>0.18373285728984337</v>
      </c>
      <c r="N8" s="5">
        <f>$F11*[2]production!I$7</f>
        <v>1.9992000015993594E-4</v>
      </c>
      <c r="O8" s="5">
        <f>$F11*[2]production!J$7</f>
        <v>1.2026571438192681E-5</v>
      </c>
      <c r="P8" s="5">
        <f>$F11*[2]production!K$7</f>
        <v>7.1507142914348551E-2</v>
      </c>
      <c r="Q8" s="5">
        <f>$F11*[2]production!L$7</f>
        <v>7.8197142919700542E-3</v>
      </c>
      <c r="R8" s="5">
        <f>$F11*[2]production!M$7</f>
        <v>53.535440289399773</v>
      </c>
      <c r="S8" s="5">
        <f>$F11*[2]production!N$7</f>
        <v>3.4833000027866389E-3</v>
      </c>
      <c r="T8" s="5">
        <f>$F11*[2]production!O$7</f>
        <v>2.871385716582822</v>
      </c>
      <c r="U8" s="5">
        <f>$F11*[2]production!P$7</f>
        <v>1.268142858157371</v>
      </c>
      <c r="V8" s="5">
        <f>$F11*[2]production!Q$7</f>
        <v>1.0932857151603425E-2</v>
      </c>
      <c r="W8" s="5">
        <f>$F11*[2]production!R$7</f>
        <v>5.3352857185539414E-5</v>
      </c>
      <c r="X8" s="5">
        <f>$F11*[2]production!S$7</f>
        <v>22.365000017891994</v>
      </c>
      <c r="Y8" s="5">
        <f>$F11*[2]production!T$7</f>
        <v>1.8098571443050281E-2</v>
      </c>
      <c r="Z8" s="5">
        <f>$F11*[2]production!U$7</f>
        <v>6.726000005380798</v>
      </c>
      <c r="AA8" s="5">
        <f>$F11*[2]production!V$7</f>
        <v>2.6346428592505704E-3</v>
      </c>
      <c r="AB8" s="5">
        <f>$F11*[2]production!W$7</f>
        <v>1.2852857153139425E-2</v>
      </c>
      <c r="AC8" s="5">
        <f>$F11*[2]production!X$7</f>
        <v>4.7292857180691416E-4</v>
      </c>
      <c r="AD8" s="5">
        <f>$F11*[2]production!Y$7</f>
        <v>2.541171430604365E-7</v>
      </c>
      <c r="AE8" s="5">
        <f>$F11*[2]production!Z$7</f>
        <v>3.2083714311381246E-3</v>
      </c>
      <c r="AF8" s="5">
        <f>$F11*[2]production!AA$7</f>
        <v>8.6297142926180549E-3</v>
      </c>
      <c r="AG8" s="5">
        <f>$F11*[2]production!AB$7</f>
        <v>1.2428571438514282E-2</v>
      </c>
      <c r="AH8" s="5">
        <f>$F11*[2]production!AC$7</f>
        <v>2.2244142874938165E-4</v>
      </c>
      <c r="AI8" s="5">
        <f>$F11*[2]production!AD$7</f>
        <v>1.3719000010975198E-3</v>
      </c>
      <c r="AJ8" s="5">
        <f>$F11*[2]production!AE$7</f>
        <v>3.4365428598920903E-4</v>
      </c>
      <c r="AK8" s="5">
        <f>$F11*[2]production!AF$7</f>
        <v>8.4060000067247967E-2</v>
      </c>
      <c r="AL8" s="5">
        <f>$F11*[2]production!AG$7</f>
        <v>0.25920857163593819</v>
      </c>
      <c r="AM8" s="5">
        <f>$F11*[2]production!AH$7</f>
        <v>0.15266142869355767</v>
      </c>
    </row>
    <row r="9" spans="1:39">
      <c r="B9" s="63" t="s">
        <v>117</v>
      </c>
      <c r="C9" s="71">
        <v>2500</v>
      </c>
      <c r="D9" s="72">
        <f>1/84*3600</f>
        <v>42.857142857142854</v>
      </c>
      <c r="E9" s="73">
        <f>C9*D9/1000000</f>
        <v>0.10714285714285714</v>
      </c>
      <c r="F9" s="111">
        <f t="shared" si="0"/>
        <v>2.9761904785714281E-2</v>
      </c>
      <c r="G9" s="39" t="s">
        <v>145</v>
      </c>
      <c r="H9" s="86" t="str">
        <f>B12</f>
        <v>PL 2nd-step drying</v>
      </c>
      <c r="I9" s="5">
        <f>$F12*[2]production!D$7</f>
        <v>4.5637714322224454</v>
      </c>
      <c r="J9" s="5">
        <f>$F12*[2]production!E$7</f>
        <v>3.7062000029649593E-2</v>
      </c>
      <c r="K9" s="5">
        <f>$F12*[2]production!F$7</f>
        <v>79.868571492466273</v>
      </c>
      <c r="L9" s="5">
        <f>$F12*[2]production!G$7</f>
        <v>2.6194500020955596E-3</v>
      </c>
      <c r="M9" s="5">
        <f>$F12*[2]production!H$7</f>
        <v>0.27559928593476507</v>
      </c>
      <c r="N9" s="5">
        <f>$F12*[2]production!I$7</f>
        <v>2.9988000023990394E-4</v>
      </c>
      <c r="O9" s="5">
        <f>$F12*[2]production!J$7</f>
        <v>1.8039857157289026E-5</v>
      </c>
      <c r="P9" s="5">
        <f>$F12*[2]production!K$7</f>
        <v>0.10726071437152283</v>
      </c>
      <c r="Q9" s="5">
        <f>$F12*[2]production!L$7</f>
        <v>1.1729571437955085E-2</v>
      </c>
      <c r="R9" s="5">
        <f>$F12*[2]production!M$7</f>
        <v>80.303160434099667</v>
      </c>
      <c r="S9" s="5">
        <f>$F12*[2]production!N$7</f>
        <v>5.2249500041799592E-3</v>
      </c>
      <c r="T9" s="5">
        <f>$F12*[2]production!O$7</f>
        <v>4.3070785748742333</v>
      </c>
      <c r="U9" s="5">
        <f>$F12*[2]production!P$7</f>
        <v>1.9022142872360568</v>
      </c>
      <c r="V9" s="5">
        <f>$F12*[2]production!Q$7</f>
        <v>1.6399285727405139E-2</v>
      </c>
      <c r="W9" s="5">
        <f>$F12*[2]production!R$7</f>
        <v>8.0029285778309141E-5</v>
      </c>
      <c r="X9" s="5">
        <f>$F12*[2]production!S$7</f>
        <v>33.547500026837994</v>
      </c>
      <c r="Y9" s="5">
        <f>$F12*[2]production!T$7</f>
        <v>2.7147857164575427E-2</v>
      </c>
      <c r="Z9" s="5">
        <f>$F12*[2]production!U$7</f>
        <v>10.089000008071197</v>
      </c>
      <c r="AA9" s="5">
        <f>$F12*[2]production!V$7</f>
        <v>3.951964288875856E-3</v>
      </c>
      <c r="AB9" s="5">
        <f>$F12*[2]production!W$7</f>
        <v>1.9279285729709141E-2</v>
      </c>
      <c r="AC9" s="5">
        <f>$F12*[2]production!X$7</f>
        <v>7.0939285771037136E-4</v>
      </c>
      <c r="AD9" s="5">
        <f>$F12*[2]production!Y$7</f>
        <v>3.8117571459065481E-7</v>
      </c>
      <c r="AE9" s="5">
        <f>$F12*[2]production!Z$7</f>
        <v>4.8125571467071875E-3</v>
      </c>
      <c r="AF9" s="5">
        <f>$F12*[2]production!AA$7</f>
        <v>1.2944571438927084E-2</v>
      </c>
      <c r="AG9" s="5">
        <f>$F12*[2]production!AB$7</f>
        <v>1.8642857157771423E-2</v>
      </c>
      <c r="AH9" s="5">
        <f>$F12*[2]production!AC$7</f>
        <v>3.3366214312407252E-4</v>
      </c>
      <c r="AI9" s="5">
        <f>$F12*[2]production!AD$7</f>
        <v>2.0578500016462799E-3</v>
      </c>
      <c r="AJ9" s="5">
        <f>$F12*[2]production!AE$7</f>
        <v>5.1548142898381357E-4</v>
      </c>
      <c r="AK9" s="5">
        <f>$F12*[2]production!AF$7</f>
        <v>0.12609000010087199</v>
      </c>
      <c r="AL9" s="5">
        <f>$F12*[2]production!AG$7</f>
        <v>0.38881285745390737</v>
      </c>
      <c r="AM9" s="5">
        <f>$F12*[2]production!AH$7</f>
        <v>0.22899214304033655</v>
      </c>
    </row>
    <row r="10" spans="1:39">
      <c r="B10" s="63" t="s">
        <v>118</v>
      </c>
      <c r="C10" s="71">
        <v>2500</v>
      </c>
      <c r="D10" s="72">
        <f>1/84*3600</f>
        <v>42.857142857142854</v>
      </c>
      <c r="E10" s="73">
        <f>C10*D10/1000000</f>
        <v>0.10714285714285714</v>
      </c>
      <c r="F10" s="111">
        <f t="shared" si="0"/>
        <v>2.9761904785714281E-2</v>
      </c>
      <c r="H10" s="86" t="str">
        <f>B13</f>
        <v>PL annealing</v>
      </c>
      <c r="I10" s="5">
        <f>$F13*[2]production!D$7</f>
        <v>3.0425142881482961</v>
      </c>
      <c r="J10" s="5">
        <f>$F13*[2]production!E$7</f>
        <v>2.4708000019766391E-2</v>
      </c>
      <c r="K10" s="5">
        <f>$F13*[2]production!F$7</f>
        <v>53.245714328310839</v>
      </c>
      <c r="L10" s="5">
        <f>$F13*[2]production!G$7</f>
        <v>1.7463000013970395E-3</v>
      </c>
      <c r="M10" s="5">
        <f>$F13*[2]production!H$7</f>
        <v>0.18373285728984337</v>
      </c>
      <c r="N10" s="5">
        <f>$F13*[2]production!I$7</f>
        <v>1.9992000015993594E-4</v>
      </c>
      <c r="O10" s="5">
        <f>$F13*[2]production!J$7</f>
        <v>1.2026571438192681E-5</v>
      </c>
      <c r="P10" s="5">
        <f>$F13*[2]production!K$7</f>
        <v>7.1507142914348551E-2</v>
      </c>
      <c r="Q10" s="5">
        <f>$F13*[2]production!L$7</f>
        <v>7.8197142919700542E-3</v>
      </c>
      <c r="R10" s="5">
        <f>$F13*[2]production!M$7</f>
        <v>53.535440289399773</v>
      </c>
      <c r="S10" s="5">
        <f>$F13*[2]production!N$7</f>
        <v>3.4833000027866389E-3</v>
      </c>
      <c r="T10" s="5">
        <f>$F13*[2]production!O$7</f>
        <v>2.871385716582822</v>
      </c>
      <c r="U10" s="5">
        <f>$F13*[2]production!P$7</f>
        <v>1.268142858157371</v>
      </c>
      <c r="V10" s="5">
        <f>$F13*[2]production!Q$7</f>
        <v>1.0932857151603425E-2</v>
      </c>
      <c r="W10" s="5">
        <f>$F13*[2]production!R$7</f>
        <v>5.3352857185539414E-5</v>
      </c>
      <c r="X10" s="5">
        <f>$F13*[2]production!S$7</f>
        <v>22.365000017891994</v>
      </c>
      <c r="Y10" s="5">
        <f>$F13*[2]production!T$7</f>
        <v>1.8098571443050281E-2</v>
      </c>
      <c r="Z10" s="5">
        <f>$F13*[2]production!U$7</f>
        <v>6.726000005380798</v>
      </c>
      <c r="AA10" s="5">
        <f>$F13*[2]production!V$7</f>
        <v>2.6346428592505704E-3</v>
      </c>
      <c r="AB10" s="5">
        <f>$F13*[2]production!W$7</f>
        <v>1.2852857153139425E-2</v>
      </c>
      <c r="AC10" s="5">
        <f>$F13*[2]production!X$7</f>
        <v>4.7292857180691416E-4</v>
      </c>
      <c r="AD10" s="5">
        <f>$F13*[2]production!Y$7</f>
        <v>2.541171430604365E-7</v>
      </c>
      <c r="AE10" s="5">
        <f>$F13*[2]production!Z$7</f>
        <v>3.2083714311381246E-3</v>
      </c>
      <c r="AF10" s="5">
        <f>$F13*[2]production!AA$7</f>
        <v>8.6297142926180549E-3</v>
      </c>
      <c r="AG10" s="5">
        <f>$F13*[2]production!AB$7</f>
        <v>1.2428571438514282E-2</v>
      </c>
      <c r="AH10" s="5">
        <f>$F13*[2]production!AC$7</f>
        <v>2.2244142874938165E-4</v>
      </c>
      <c r="AI10" s="5">
        <f>$F13*[2]production!AD$7</f>
        <v>1.3719000010975198E-3</v>
      </c>
      <c r="AJ10" s="5">
        <f>$F13*[2]production!AE$7</f>
        <v>3.4365428598920903E-4</v>
      </c>
      <c r="AK10" s="5">
        <f>$F13*[2]production!AF$7</f>
        <v>8.4060000067247967E-2</v>
      </c>
      <c r="AL10" s="5">
        <f>$F13*[2]production!AG$7</f>
        <v>0.25920857163593819</v>
      </c>
      <c r="AM10" s="5">
        <f>$F13*[2]production!AH$7</f>
        <v>0.15266142869355767</v>
      </c>
    </row>
    <row r="11" spans="1:39">
      <c r="A11">
        <v>100</v>
      </c>
      <c r="B11" s="64" t="s">
        <v>149</v>
      </c>
      <c r="C11" s="76">
        <f>12000/140*A11</f>
        <v>8571.4285714285706</v>
      </c>
      <c r="D11" s="77">
        <f>30*60</f>
        <v>1800</v>
      </c>
      <c r="E11" s="78">
        <f>C11*D11/1000000</f>
        <v>15.428571428571427</v>
      </c>
      <c r="F11" s="112">
        <f t="shared" si="0"/>
        <v>4.2857142891428559</v>
      </c>
      <c r="G11" s="59">
        <f>F11+F12</f>
        <v>10.714285722857142</v>
      </c>
      <c r="H11" s="87" t="str">
        <f>B15</f>
        <v>HTL slot-die coating</v>
      </c>
      <c r="I11" s="5">
        <f>$F15*[2]production!D$7</f>
        <v>9.8600000078879993E-2</v>
      </c>
      <c r="J11" s="5">
        <f>$F15*[2]production!E$7</f>
        <v>8.0072222286279996E-4</v>
      </c>
      <c r="K11" s="5">
        <f>$F15*[2]production!F$7</f>
        <v>1.7255555569359997</v>
      </c>
      <c r="L11" s="5">
        <f>$F15*[2]production!G$7</f>
        <v>5.6593055600829996E-5</v>
      </c>
      <c r="M11" s="5">
        <f>$F15*[2]production!H$7</f>
        <v>5.9543055603189995E-3</v>
      </c>
      <c r="N11" s="5">
        <f>$F15*[2]production!I$7</f>
        <v>6.4788888940719992E-6</v>
      </c>
      <c r="O11" s="5">
        <f>$F15*[2]production!J$7</f>
        <v>3.8975000031179993E-7</v>
      </c>
      <c r="P11" s="5">
        <f>$F15*[2]production!K$7</f>
        <v>2.3173611129649998E-3</v>
      </c>
      <c r="Q11" s="5">
        <f>$F15*[2]production!L$7</f>
        <v>2.5341666686939999E-4</v>
      </c>
      <c r="R11" s="5">
        <f>$F15*[2]production!M$7</f>
        <v>1.7349448241935115</v>
      </c>
      <c r="S11" s="5">
        <f>$F15*[2]production!N$7</f>
        <v>1.1288472231252999E-4</v>
      </c>
      <c r="T11" s="5">
        <f>$F15*[2]production!O$7</f>
        <v>9.3054166741109987E-2</v>
      </c>
      <c r="U11" s="5">
        <f>$F15*[2]production!P$7</f>
        <v>4.1097222255099992E-2</v>
      </c>
      <c r="V11" s="5">
        <f>$F15*[2]production!Q$7</f>
        <v>3.5430555583899995E-4</v>
      </c>
      <c r="W11" s="5">
        <f>$F15*[2]production!R$7</f>
        <v>1.729027779161E-6</v>
      </c>
      <c r="X11" s="5">
        <f>$F15*[2]production!S$7</f>
        <v>0.7247916672464999</v>
      </c>
      <c r="Y11" s="5">
        <f>$F15*[2]production!T$7</f>
        <v>5.8652777824699993E-4</v>
      </c>
      <c r="Z11" s="5">
        <f>$F15*[2]production!U$7</f>
        <v>0.21797222239659997</v>
      </c>
      <c r="AA11" s="5">
        <f>$F15*[2]production!V$7</f>
        <v>8.5381944512749982E-5</v>
      </c>
      <c r="AB11" s="5">
        <f>$F15*[2]production!W$7</f>
        <v>4.1652777811099993E-4</v>
      </c>
      <c r="AC11" s="5">
        <f>$F15*[2]production!X$7</f>
        <v>1.5326388901149997E-5</v>
      </c>
      <c r="AD11" s="5">
        <f>$F15*[2]production!Y$7</f>
        <v>8.2352777843660001E-9</v>
      </c>
      <c r="AE11" s="5">
        <f>$F15*[2]production!Z$7</f>
        <v>1.0397500008317998E-4</v>
      </c>
      <c r="AF11" s="5">
        <f>$F15*[2]production!AA$7</f>
        <v>2.7966666689039997E-4</v>
      </c>
      <c r="AG11" s="5">
        <f>$F15*[2]production!AB$7</f>
        <v>4.0277777809999996E-4</v>
      </c>
      <c r="AH11" s="5">
        <f>$F15*[2]production!AC$7</f>
        <v>7.2087500057669995E-6</v>
      </c>
      <c r="AI11" s="5">
        <f>$F15*[2]production!AD$7</f>
        <v>4.4459722257790003E-5</v>
      </c>
      <c r="AJ11" s="5">
        <f>$F15*[2]production!AE$7</f>
        <v>1.1136944453353999E-5</v>
      </c>
      <c r="AK11" s="5">
        <f>$F15*[2]production!AF$7</f>
        <v>2.7241666688459995E-3</v>
      </c>
      <c r="AL11" s="5">
        <f>$F15*[2]production!AG$7</f>
        <v>8.4002777844979989E-3</v>
      </c>
      <c r="AM11" s="5">
        <f>$F15*[2]production!AH$7</f>
        <v>4.9473611150689994E-3</v>
      </c>
    </row>
    <row r="12" spans="1:39">
      <c r="A12">
        <v>150</v>
      </c>
      <c r="B12" s="64" t="s">
        <v>150</v>
      </c>
      <c r="C12" s="76">
        <f>12000/140*A12</f>
        <v>12857.142857142857</v>
      </c>
      <c r="D12" s="77">
        <f>30*60</f>
        <v>1800</v>
      </c>
      <c r="E12" s="78">
        <f>C12*D12/1000000</f>
        <v>23.142857142857142</v>
      </c>
      <c r="F12" s="112">
        <f t="shared" si="0"/>
        <v>6.4285714337142847</v>
      </c>
      <c r="H12" s="86" t="s">
        <v>158</v>
      </c>
      <c r="I12" s="5">
        <f>$F17*[2]production!D$7</f>
        <v>5.5216000044172793</v>
      </c>
      <c r="J12" s="5">
        <f>$F17*[2]production!E$7</f>
        <v>4.4840444480316793E-2</v>
      </c>
      <c r="K12" s="5">
        <f>$F17*[2]production!F$7</f>
        <v>96.631111188415986</v>
      </c>
      <c r="L12" s="5">
        <f>$F17*[2]production!G$7</f>
        <v>3.1692111136464797E-3</v>
      </c>
      <c r="M12" s="5">
        <f>$F17*[2]production!H$7</f>
        <v>0.33344111137786397</v>
      </c>
      <c r="N12" s="5">
        <f>$F17*[2]production!I$7</f>
        <v>3.6281777806803197E-4</v>
      </c>
      <c r="O12" s="5">
        <f>$F17*[2]production!J$7</f>
        <v>2.1826000017460799E-5</v>
      </c>
      <c r="P12" s="5">
        <f>$F17*[2]production!K$7</f>
        <v>0.12977222232603999</v>
      </c>
      <c r="Q12" s="5">
        <f>$F17*[2]production!L$7</f>
        <v>1.41913333446864E-2</v>
      </c>
      <c r="R12" s="5">
        <f>$F17*[2]production!M$7</f>
        <v>97.156910154836652</v>
      </c>
      <c r="S12" s="5">
        <f>$F17*[2]production!N$7</f>
        <v>6.3215444495016799E-3</v>
      </c>
      <c r="T12" s="5">
        <f>$F17*[2]production!O$7</f>
        <v>5.2110333375021591</v>
      </c>
      <c r="U12" s="5">
        <f>$F17*[2]production!P$7</f>
        <v>2.3014444462855996</v>
      </c>
      <c r="V12" s="5">
        <f>$F17*[2]production!Q$7</f>
        <v>1.9841111126983998E-2</v>
      </c>
      <c r="W12" s="5">
        <f>$F17*[2]production!R$7</f>
        <v>9.6825555633015992E-5</v>
      </c>
      <c r="X12" s="5">
        <f>$F17*[2]production!S$7</f>
        <v>40.588333365803997</v>
      </c>
      <c r="Y12" s="5">
        <f>$F17*[2]production!T$7</f>
        <v>3.2845555581831998E-2</v>
      </c>
      <c r="Z12" s="5">
        <f>$F17*[2]production!U$7</f>
        <v>12.206444454209599</v>
      </c>
      <c r="AA12" s="5">
        <f>$F17*[2]production!V$7</f>
        <v>4.7813888927139992E-3</v>
      </c>
      <c r="AB12" s="5">
        <f>$F17*[2]production!W$7</f>
        <v>2.3325555574215999E-2</v>
      </c>
      <c r="AC12" s="5">
        <f>$F17*[2]production!X$7</f>
        <v>8.5827777846439999E-4</v>
      </c>
      <c r="AD12" s="5">
        <f>$F17*[2]production!Y$7</f>
        <v>4.6117555592449599E-7</v>
      </c>
      <c r="AE12" s="5">
        <f>$F17*[2]production!Z$7</f>
        <v>5.8226000046580793E-3</v>
      </c>
      <c r="AF12" s="5">
        <f>$F17*[2]production!AA$7</f>
        <v>1.5661333345862397E-2</v>
      </c>
      <c r="AG12" s="5">
        <f>$F17*[2]production!AB$7</f>
        <v>2.2555555573599999E-2</v>
      </c>
      <c r="AH12" s="5">
        <f>$F17*[2]production!AC$7</f>
        <v>4.0369000032295196E-4</v>
      </c>
      <c r="AI12" s="5">
        <f>$F17*[2]production!AD$7</f>
        <v>2.4897444464362399E-3</v>
      </c>
      <c r="AJ12" s="5">
        <f>$F17*[2]production!AE$7</f>
        <v>6.2366888938782388E-4</v>
      </c>
      <c r="AK12" s="5">
        <f>$F17*[2]production!AF$7</f>
        <v>0.152553333455376</v>
      </c>
      <c r="AL12" s="5">
        <f>$F17*[2]production!AG$7</f>
        <v>0.470415555931888</v>
      </c>
      <c r="AM12" s="5">
        <f>$F17*[2]production!AH$7</f>
        <v>0.27705222244386396</v>
      </c>
    </row>
    <row r="13" spans="1:39" ht="15.75" thickBot="1">
      <c r="A13">
        <v>100</v>
      </c>
      <c r="B13" s="64" t="s">
        <v>121</v>
      </c>
      <c r="C13" s="76">
        <f>12000/140*A13</f>
        <v>8571.4285714285706</v>
      </c>
      <c r="D13" s="77">
        <f>60*30</f>
        <v>1800</v>
      </c>
      <c r="E13" s="78">
        <f>C13*D13/1000000</f>
        <v>15.428571428571427</v>
      </c>
      <c r="F13" s="112">
        <f t="shared" si="0"/>
        <v>4.2857142891428559</v>
      </c>
      <c r="H13" s="86" t="str">
        <f>B19</f>
        <v>Lamination</v>
      </c>
      <c r="I13" s="5">
        <f>$F19*[2]production!D$7</f>
        <v>8.8740000070991979E-3</v>
      </c>
      <c r="J13" s="5">
        <f>$F19*[2]production!E$7</f>
        <v>7.2065000057651985E-5</v>
      </c>
      <c r="K13" s="5">
        <f>$F19*[2]production!F$7</f>
        <v>0.15530000012423997</v>
      </c>
      <c r="L13" s="5">
        <f>$F19*[2]production!G$7</f>
        <v>5.0933750040746996E-6</v>
      </c>
      <c r="M13" s="5">
        <f>$F19*[2]production!H$7</f>
        <v>5.3588750042870995E-4</v>
      </c>
      <c r="N13" s="5">
        <f>$F19*[2]production!I$7</f>
        <v>5.8310000046647986E-7</v>
      </c>
      <c r="O13" s="5">
        <f>$F19*[2]production!J$7</f>
        <v>3.5077500028061994E-8</v>
      </c>
      <c r="P13" s="5">
        <f>$F19*[2]production!K$7</f>
        <v>2.0856250016684994E-4</v>
      </c>
      <c r="Q13" s="5">
        <f>$F19*[2]production!L$7</f>
        <v>2.2807500018245996E-5</v>
      </c>
      <c r="R13" s="5">
        <f>$F19*[2]production!M$7</f>
        <v>0.15614503417741601</v>
      </c>
      <c r="S13" s="5">
        <f>$F19*[2]production!N$7</f>
        <v>1.0159625008127698E-5</v>
      </c>
      <c r="T13" s="5">
        <f>$F19*[2]production!O$7</f>
        <v>8.374875006699898E-3</v>
      </c>
      <c r="U13" s="5">
        <f>$F19*[2]production!P$7</f>
        <v>3.6987500029589996E-3</v>
      </c>
      <c r="V13" s="5">
        <f>$F19*[2]production!Q$7</f>
        <v>3.1887500025509992E-5</v>
      </c>
      <c r="W13" s="5">
        <f>$F19*[2]production!R$7</f>
        <v>1.5561250012448999E-7</v>
      </c>
      <c r="X13" s="5">
        <f>$F19*[2]production!S$7</f>
        <v>6.5231250052184983E-2</v>
      </c>
      <c r="Y13" s="5">
        <f>$F19*[2]production!T$7</f>
        <v>5.2787500042229995E-5</v>
      </c>
      <c r="Z13" s="5">
        <f>$F19*[2]production!U$7</f>
        <v>1.9617500015693994E-2</v>
      </c>
      <c r="AA13" s="5">
        <f>$F19*[2]production!V$7</f>
        <v>7.6843750061474979E-6</v>
      </c>
      <c r="AB13" s="5">
        <f>$F19*[2]production!W$7</f>
        <v>3.7487500029989991E-5</v>
      </c>
      <c r="AC13" s="5">
        <f>$F19*[2]production!X$7</f>
        <v>1.3793750011034997E-6</v>
      </c>
      <c r="AD13" s="5">
        <f>$F19*[2]production!Y$7</f>
        <v>7.4117500059293989E-10</v>
      </c>
      <c r="AE13" s="5">
        <f>$F19*[2]production!Z$7</f>
        <v>9.3577500074861978E-6</v>
      </c>
      <c r="AF13" s="5">
        <f>$F19*[2]production!AA$7</f>
        <v>2.5170000020135994E-5</v>
      </c>
      <c r="AG13" s="5">
        <f>$F19*[2]production!AB$7</f>
        <v>3.6250000028999989E-5</v>
      </c>
      <c r="AH13" s="5">
        <f>$F19*[2]production!AC$7</f>
        <v>6.4878750051902993E-7</v>
      </c>
      <c r="AI13" s="5">
        <f>$F19*[2]production!AD$7</f>
        <v>4.0013750032010996E-6</v>
      </c>
      <c r="AJ13" s="5">
        <f>$F19*[2]production!AE$7</f>
        <v>1.0023250008018598E-6</v>
      </c>
      <c r="AK13" s="5">
        <f>$F19*[2]production!AF$7</f>
        <v>2.4517500019613996E-4</v>
      </c>
      <c r="AL13" s="5">
        <f>$F19*[2]production!AG$7</f>
        <v>7.5602500060481992E-4</v>
      </c>
      <c r="AM13" s="5">
        <f>$F19*[2]production!AH$7</f>
        <v>4.4526250035620995E-4</v>
      </c>
    </row>
    <row r="14" spans="1:39">
      <c r="B14" s="61" t="s">
        <v>62</v>
      </c>
      <c r="C14" s="75"/>
      <c r="D14" s="68"/>
      <c r="E14" s="67"/>
      <c r="F14" s="109"/>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ht="15.75" thickBot="1">
      <c r="B15" s="65" t="s">
        <v>119</v>
      </c>
      <c r="C15" s="79">
        <v>2500</v>
      </c>
      <c r="D15" s="80">
        <f>1/18*3600</f>
        <v>200</v>
      </c>
      <c r="E15" s="81">
        <f>C15*D15/1000000</f>
        <v>0.5</v>
      </c>
      <c r="F15" s="113">
        <f t="shared" si="0"/>
        <v>0.13888888899999999</v>
      </c>
      <c r="G15" s="39" t="s">
        <v>145</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B16" s="66" t="s">
        <v>7</v>
      </c>
      <c r="C16" s="67"/>
      <c r="D16" s="67"/>
      <c r="E16" s="67"/>
      <c r="F16" s="109"/>
    </row>
    <row r="17" spans="1:18" ht="15.75" thickBot="1">
      <c r="A17">
        <v>150</v>
      </c>
      <c r="B17" s="62" t="s">
        <v>64</v>
      </c>
      <c r="C17" s="69">
        <f>(2.8*10000/240*A17*'material inventory'!C23+57500)</f>
        <v>71500</v>
      </c>
      <c r="D17" s="70">
        <f>'material inventory'!B23/33*60</f>
        <v>181.81818181818181</v>
      </c>
      <c r="E17" s="78">
        <f>(C17*D17+50000*5*60)/1000000</f>
        <v>28</v>
      </c>
      <c r="F17" s="110">
        <f t="shared" si="0"/>
        <v>7.7777777839999995</v>
      </c>
    </row>
    <row r="18" spans="1:18">
      <c r="B18" s="66" t="s">
        <v>83</v>
      </c>
      <c r="C18" s="67"/>
      <c r="D18" s="68"/>
      <c r="E18" s="67"/>
      <c r="F18" s="109"/>
      <c r="H18" s="20" t="s">
        <v>157</v>
      </c>
      <c r="I18" s="20">
        <v>1.6328160013062525E-2</v>
      </c>
      <c r="J18" s="20"/>
      <c r="K18" s="20"/>
      <c r="L18" s="20"/>
      <c r="M18" s="20"/>
      <c r="N18" s="20"/>
      <c r="O18" s="20"/>
      <c r="P18" s="20"/>
      <c r="Q18" s="20"/>
      <c r="R18" s="20">
        <v>0.28730686288644547</v>
      </c>
    </row>
    <row r="19" spans="1:18" ht="15.75" thickBot="1">
      <c r="B19" s="62" t="s">
        <v>86</v>
      </c>
      <c r="C19" s="69">
        <v>1500</v>
      </c>
      <c r="D19" s="70">
        <f>1/120*3600</f>
        <v>30</v>
      </c>
      <c r="E19" s="69">
        <f>C19*D19/1000000</f>
        <v>4.4999999999999998E-2</v>
      </c>
      <c r="F19" s="110">
        <f t="shared" si="0"/>
        <v>1.2500000009999998E-2</v>
      </c>
    </row>
    <row r="20" spans="1:18">
      <c r="B20" s="4"/>
      <c r="C20" s="4"/>
      <c r="D20" s="4"/>
      <c r="E20" s="4"/>
    </row>
    <row r="21" spans="1:18">
      <c r="B21" s="4" t="s">
        <v>63</v>
      </c>
      <c r="C21" s="4"/>
      <c r="D21" s="4"/>
      <c r="E21" s="58">
        <f>SUM(E3:E20)*0.277777778</f>
        <v>65.86724027295206</v>
      </c>
      <c r="F21" s="4">
        <f>SUM(F4:F20)</f>
        <v>65.86724027295206</v>
      </c>
      <c r="G21" s="39" t="s">
        <v>148</v>
      </c>
    </row>
    <row r="24" spans="1:18">
      <c r="B24" s="83" t="s">
        <v>109</v>
      </c>
      <c r="C24" s="82">
        <v>138</v>
      </c>
      <c r="D24" s="82">
        <f>10*60</f>
        <v>600</v>
      </c>
      <c r="E24" s="82">
        <f>C24*D24/1000000</f>
        <v>8.2799999999999999E-2</v>
      </c>
      <c r="F24" s="114">
        <f>E24*0.277777778</f>
        <v>2.3000000018399996E-2</v>
      </c>
      <c r="G24" s="60"/>
      <c r="H24" s="88"/>
    </row>
    <row r="25" spans="1:18">
      <c r="C25" s="40"/>
      <c r="D25" s="40"/>
      <c r="E25" s="40"/>
      <c r="F25" s="4"/>
    </row>
  </sheetData>
  <mergeCells count="5">
    <mergeCell ref="I1:I2"/>
    <mergeCell ref="J1:R1"/>
    <mergeCell ref="S1:AJ1"/>
    <mergeCell ref="AK1:AM1"/>
    <mergeCell ref="B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B5678-A2C7-4CED-9918-10F89A56ACF3}">
  <dimension ref="A1:Y33"/>
  <sheetViews>
    <sheetView tabSelected="1" zoomScaleNormal="100" workbookViewId="0">
      <pane ySplit="1" topLeftCell="A2" activePane="bottomLeft" state="frozen"/>
      <selection pane="bottomLeft" activeCell="C33" sqref="C33"/>
    </sheetView>
  </sheetViews>
  <sheetFormatPr defaultRowHeight="15"/>
  <cols>
    <col min="1" max="1" width="33.42578125" customWidth="1"/>
    <col min="2" max="2" width="13.28515625" bestFit="1" customWidth="1"/>
    <col min="3" max="3" width="9.28515625" bestFit="1" customWidth="1"/>
    <col min="4" max="4" width="13.140625" bestFit="1" customWidth="1"/>
    <col min="5" max="6" width="9.28515625" bestFit="1" customWidth="1"/>
    <col min="7" max="8" width="13.140625" bestFit="1" customWidth="1"/>
    <col min="9" max="9" width="9.28515625" bestFit="1" customWidth="1"/>
    <col min="10" max="10" width="13.140625" bestFit="1" customWidth="1"/>
    <col min="11" max="11" width="9.28515625" bestFit="1" customWidth="1"/>
    <col min="12" max="24" width="13.140625" bestFit="1" customWidth="1"/>
  </cols>
  <sheetData>
    <row r="1" spans="1:24" s="89" customFormat="1">
      <c r="B1" s="89" t="s">
        <v>87</v>
      </c>
      <c r="C1" s="89" t="s">
        <v>88</v>
      </c>
      <c r="D1" s="89" t="s">
        <v>35</v>
      </c>
      <c r="E1" s="89" t="s">
        <v>36</v>
      </c>
      <c r="F1" s="89" t="s">
        <v>37</v>
      </c>
      <c r="G1" s="89" t="s">
        <v>38</v>
      </c>
      <c r="H1" s="89" t="s">
        <v>39</v>
      </c>
      <c r="I1" s="89" t="s">
        <v>40</v>
      </c>
      <c r="J1" s="89" t="s">
        <v>41</v>
      </c>
      <c r="K1" s="89" t="s">
        <v>42</v>
      </c>
      <c r="L1" s="89" t="s">
        <v>43</v>
      </c>
      <c r="M1" s="89" t="s">
        <v>44</v>
      </c>
      <c r="N1" s="89" t="s">
        <v>45</v>
      </c>
      <c r="O1" s="89" t="s">
        <v>46</v>
      </c>
      <c r="P1" s="89" t="s">
        <v>47</v>
      </c>
      <c r="Q1" s="89" t="s">
        <v>48</v>
      </c>
      <c r="R1" s="89" t="s">
        <v>49</v>
      </c>
      <c r="S1" s="89" t="s">
        <v>50</v>
      </c>
      <c r="T1" s="89" t="s">
        <v>51</v>
      </c>
      <c r="U1" s="89" t="s">
        <v>52</v>
      </c>
      <c r="V1" s="89" t="s">
        <v>53</v>
      </c>
      <c r="W1" s="89" t="s">
        <v>54</v>
      </c>
      <c r="X1" s="89" t="s">
        <v>55</v>
      </c>
    </row>
    <row r="2" spans="1:24">
      <c r="A2" s="90" t="str">
        <f>'material inventory'!K3</f>
        <v>FTO glass</v>
      </c>
      <c r="B2" s="38">
        <f>'material inventory'!L3</f>
        <v>3.4780676817599994</v>
      </c>
      <c r="C2" s="38">
        <f>'material inventory'!M3</f>
        <v>85.029036949120112</v>
      </c>
      <c r="D2" s="38">
        <f>'material inventory'!N3</f>
        <v>6.2012667171672007</v>
      </c>
      <c r="E2" s="38">
        <f>'material inventory'!O3</f>
        <v>3.5862291309599996</v>
      </c>
      <c r="F2" s="38">
        <f>'material inventory'!P3</f>
        <v>0.83657114503199992</v>
      </c>
      <c r="G2" s="38">
        <f>'material inventory'!Q3</f>
        <v>9.6806916922641872E-2</v>
      </c>
      <c r="H2" s="38">
        <f>'material inventory'!R3</f>
        <v>2.0273180159735998E-3</v>
      </c>
      <c r="I2" s="38">
        <f>'material inventory'!S3</f>
        <v>124.88415725309692</v>
      </c>
      <c r="J2" s="38">
        <f>'material inventory'!T3</f>
        <v>0.21998732374079996</v>
      </c>
      <c r="K2" s="38">
        <f>'material inventory'!U3</f>
        <v>88.426822169151336</v>
      </c>
      <c r="L2" s="38">
        <f>'material inventory'!V3</f>
        <v>1.0613301240527999E-2</v>
      </c>
      <c r="M2" s="38">
        <f>'material inventory'!W3</f>
        <v>37.727846160631195</v>
      </c>
      <c r="N2" s="38">
        <f>'material inventory'!X3</f>
        <v>2.6633363931215996E-3</v>
      </c>
      <c r="O2" s="38">
        <f>'material inventory'!Y3</f>
        <v>2.2588717898879995E-7</v>
      </c>
      <c r="P2" s="38">
        <f>'material inventory'!Z3</f>
        <v>3.1256384650847999E-2</v>
      </c>
      <c r="Q2" s="38">
        <f>'material inventory'!AA3</f>
        <v>4.8130512783804966E-2</v>
      </c>
      <c r="R2" s="38">
        <f>'material inventory'!AB3</f>
        <v>6.2621029628639996E-2</v>
      </c>
      <c r="S2" s="38">
        <f>'material inventory'!AC3</f>
        <v>7.4279348593848408E-3</v>
      </c>
      <c r="T2" s="38">
        <f>'material inventory'!AD3</f>
        <v>0.14772324234023998</v>
      </c>
      <c r="U2" s="38">
        <f>'material inventory'!AE3</f>
        <v>7.7349191552639985E-3</v>
      </c>
      <c r="V2" s="38">
        <f>'material inventory'!AF3</f>
        <v>0.50998414695703564</v>
      </c>
      <c r="W2" s="38">
        <f>'material inventory'!AG3</f>
        <v>1.0265223189718116</v>
      </c>
      <c r="X2" s="38">
        <f>'material inventory'!AH3</f>
        <v>1.8519365587967997</v>
      </c>
    </row>
    <row r="3" spans="1:24">
      <c r="A3" s="90" t="str">
        <f>'material inventory'!K4</f>
        <v>BL-TiO₂ ink</v>
      </c>
      <c r="B3" s="38">
        <f>'material inventory'!L4</f>
        <v>2.2765392121238102E-2</v>
      </c>
      <c r="C3" s="38">
        <f>'material inventory'!M4</f>
        <v>0.61700956254785699</v>
      </c>
      <c r="D3" s="38">
        <f>'material inventory'!N4</f>
        <v>1.293199433448129E-2</v>
      </c>
      <c r="E3" s="38">
        <f>'material inventory'!O4</f>
        <v>1.9695817554351288E-2</v>
      </c>
      <c r="F3" s="38">
        <f>'material inventory'!P4</f>
        <v>7.0744935330554022E-3</v>
      </c>
      <c r="G3" s="38">
        <f>'material inventory'!Q4</f>
        <v>4.5729244499394381E-4</v>
      </c>
      <c r="H3" s="38">
        <f>'material inventory'!R4</f>
        <v>8.4917838143480997E-6</v>
      </c>
      <c r="I3" s="38">
        <f>'material inventory'!S4</f>
        <v>0.27776640399273711</v>
      </c>
      <c r="J3" s="38">
        <f>'material inventory'!T4</f>
        <v>1.3782653163698427E-3</v>
      </c>
      <c r="K3" s="38">
        <f>'material inventory'!U4</f>
        <v>0.22877280080022183</v>
      </c>
      <c r="L3" s="38">
        <f>'material inventory'!V4</f>
        <v>7.6318507950416941E-5</v>
      </c>
      <c r="M3" s="38">
        <f>'material inventory'!W4</f>
        <v>8.6460236902545723E-4</v>
      </c>
      <c r="N3" s="38">
        <f>'material inventory'!X4</f>
        <v>1.3390051863348496E-5</v>
      </c>
      <c r="O3" s="38">
        <f>'material inventory'!Y4</f>
        <v>1.799284917773163E-9</v>
      </c>
      <c r="P3" s="38">
        <f>'material inventory'!Z4</f>
        <v>5.7320391638240616E-5</v>
      </c>
      <c r="Q3" s="38">
        <f>'material inventory'!AA4</f>
        <v>7.2599651487083072E-5</v>
      </c>
      <c r="R3" s="38">
        <f>'material inventory'!AB4</f>
        <v>1.7736710634835449E-4</v>
      </c>
      <c r="S3" s="38">
        <f>'material inventory'!AC4</f>
        <v>9.6960437372414321E-5</v>
      </c>
      <c r="T3" s="38">
        <f>'material inventory'!AD4</f>
        <v>7.4044005221490523E-4</v>
      </c>
      <c r="U3" s="38">
        <f>'material inventory'!AE4</f>
        <v>4.2819083358078408E-3</v>
      </c>
      <c r="V3" s="38">
        <f>'material inventory'!AF4</f>
        <v>4.1223709611176275E-3</v>
      </c>
      <c r="W3" s="38">
        <f>'material inventory'!AG4</f>
        <v>2.7034988925174943E-3</v>
      </c>
      <c r="X3" s="38">
        <f>'material inventory'!AH4</f>
        <v>8.9747570352761215E-4</v>
      </c>
    </row>
    <row r="4" spans="1:24">
      <c r="A4" s="90" t="str">
        <f>'material inventory'!K5</f>
        <v>MP-TiO₂</v>
      </c>
      <c r="B4" s="38">
        <f>'material inventory'!L5</f>
        <v>4.3640402400000004E-3</v>
      </c>
      <c r="C4" s="38">
        <f>'material inventory'!M5</f>
        <v>4.6809738838836004E-2</v>
      </c>
      <c r="D4" s="38">
        <f>'material inventory'!N5</f>
        <v>1.8693385199999998E-4</v>
      </c>
      <c r="E4" s="38">
        <f>'material inventory'!O5</f>
        <v>3.7708588799999997E-3</v>
      </c>
      <c r="F4" s="38">
        <f>'material inventory'!P5</f>
        <v>9.2951711999999988E-4</v>
      </c>
      <c r="G4" s="38">
        <f>'material inventory'!Q5</f>
        <v>6.6916907999999998E-5</v>
      </c>
      <c r="H4" s="38">
        <f>'material inventory'!R5</f>
        <v>1.7321342399999998E-6</v>
      </c>
      <c r="I4" s="38">
        <f>'material inventory'!S5</f>
        <v>6.1632791999999999E-2</v>
      </c>
      <c r="J4" s="38">
        <f>'material inventory'!T5</f>
        <v>2.3518123199999999E-4</v>
      </c>
      <c r="K4" s="38">
        <f>'material inventory'!U5</f>
        <v>7.7231339999999996E-2</v>
      </c>
      <c r="L4" s="38">
        <f>'material inventory'!V5</f>
        <v>4.0176032400000002E-6</v>
      </c>
      <c r="M4" s="38">
        <f>'material inventory'!W5</f>
        <v>1.1684951999999999E-4</v>
      </c>
      <c r="N4" s="38">
        <f>'material inventory'!X5</f>
        <v>8.735796E-7</v>
      </c>
      <c r="O4" s="38">
        <f>'material inventory'!Y5</f>
        <v>3.8645618399999995E-10</v>
      </c>
      <c r="P4" s="38">
        <f>'material inventory'!Z5</f>
        <v>1.00372824E-5</v>
      </c>
      <c r="Q4" s="38">
        <f>'material inventory'!AA5</f>
        <v>1.47747132E-5</v>
      </c>
      <c r="R4" s="38">
        <f>'material inventory'!AB5</f>
        <v>2.0841040799999998E-5</v>
      </c>
      <c r="S4" s="38">
        <f>'material inventory'!AC5</f>
        <v>2.1978064799999997E-6</v>
      </c>
      <c r="T4" s="38">
        <f>'material inventory'!AD5</f>
        <v>5.7308039999999997E-5</v>
      </c>
      <c r="U4" s="38">
        <f>'material inventory'!AE5</f>
        <v>4.0110552000000004E-5</v>
      </c>
      <c r="V4" s="38">
        <f>'material inventory'!AF5</f>
        <v>1.66624776E-4</v>
      </c>
      <c r="W4" s="38">
        <f>'material inventory'!AG5</f>
        <v>5.7089771999999995E-4</v>
      </c>
      <c r="X4" s="38">
        <f>'material inventory'!AH5</f>
        <v>1.2806240400000001E-4</v>
      </c>
    </row>
    <row r="5" spans="1:24">
      <c r="A5" s="90" t="str">
        <f>'material inventory'!K6</f>
        <v>2-methoxyethanol</v>
      </c>
      <c r="B5" s="38">
        <f>'material inventory'!L6</f>
        <v>5.7271391279999995E-3</v>
      </c>
      <c r="C5" s="38">
        <f>'material inventory'!M6</f>
        <v>0.16125322627587776</v>
      </c>
      <c r="D5" s="38">
        <f>'material inventory'!N6</f>
        <v>1.9657773170999996E-4</v>
      </c>
      <c r="E5" s="38">
        <f>'material inventory'!O6</f>
        <v>5.0901100109999996E-3</v>
      </c>
      <c r="F5" s="38">
        <f>'material inventory'!P6</f>
        <v>3.5721144449999995E-3</v>
      </c>
      <c r="G5" s="38">
        <f>'material inventory'!Q6</f>
        <v>4.4562648149999991E-5</v>
      </c>
      <c r="H5" s="38">
        <f>'material inventory'!R6</f>
        <v>1.9132916039999996E-6</v>
      </c>
      <c r="I5" s="38">
        <f>'material inventory'!S6</f>
        <v>6.7344827489999995E-2</v>
      </c>
      <c r="J5" s="38">
        <f>'material inventory'!T6</f>
        <v>2.9852933129999993E-4</v>
      </c>
      <c r="K5" s="38">
        <f>'material inventory'!U6</f>
        <v>5.2916767019999998E-2</v>
      </c>
      <c r="L5" s="38">
        <f>'material inventory'!V6</f>
        <v>4.1481592289999997E-6</v>
      </c>
      <c r="M5" s="38">
        <f>'material inventory'!W6</f>
        <v>2.5143179219999997E-4</v>
      </c>
      <c r="N5" s="38">
        <f>'material inventory'!X6</f>
        <v>4.1106869279999992E-7</v>
      </c>
      <c r="O5" s="38">
        <f>'material inventory'!Y6</f>
        <v>1.8822606200999996E-10</v>
      </c>
      <c r="P5" s="38">
        <f>'material inventory'!Z6</f>
        <v>9.5782140359999989E-6</v>
      </c>
      <c r="Q5" s="38">
        <f>'material inventory'!AA6</f>
        <v>1.9728309266999998E-5</v>
      </c>
      <c r="R5" s="38">
        <f>'material inventory'!AB6</f>
        <v>2.0768226848999995E-5</v>
      </c>
      <c r="S5" s="38">
        <f>'material inventory'!AC6</f>
        <v>2.3957291105999993E-6</v>
      </c>
      <c r="T5" s="38">
        <f>'material inventory'!AD6</f>
        <v>2.9909264039999996E-5</v>
      </c>
      <c r="U5" s="38">
        <f>'material inventory'!AE6</f>
        <v>1.0812350798999997E-5</v>
      </c>
      <c r="V5" s="38">
        <f>'material inventory'!AF6</f>
        <v>1.9518170480999997E-4</v>
      </c>
      <c r="W5" s="38">
        <f>'material inventory'!AG6</f>
        <v>6.5890020509999983E-4</v>
      </c>
      <c r="X5" s="38">
        <f>'material inventory'!AH6</f>
        <v>4.4001788219999991E-4</v>
      </c>
    </row>
    <row r="6" spans="1:24">
      <c r="A6" s="90" t="str">
        <f>'material inventory'!K7</f>
        <v>PbI₂</v>
      </c>
      <c r="B6" s="38">
        <f>'material inventory'!L7</f>
        <v>3.5016340047384839E-3</v>
      </c>
      <c r="C6" s="38">
        <f>'material inventory'!M7</f>
        <v>4.1638537323627607E-2</v>
      </c>
      <c r="D6" s="38">
        <f>'material inventory'!N7</f>
        <v>8.0315919509735658E-4</v>
      </c>
      <c r="E6" s="38">
        <f>'material inventory'!O7</f>
        <v>2.9905093719598446E-3</v>
      </c>
      <c r="F6" s="38">
        <f>'material inventory'!P7</f>
        <v>7.9376205007695207E-4</v>
      </c>
      <c r="G6" s="38">
        <f>'material inventory'!Q7</f>
        <v>5.4673540733933863E-5</v>
      </c>
      <c r="H6" s="38">
        <f>'material inventory'!R7</f>
        <v>1.5179014444515991E-6</v>
      </c>
      <c r="I6" s="38">
        <f>'material inventory'!S7</f>
        <v>0.11963359576839162</v>
      </c>
      <c r="J6" s="38">
        <f>'material inventory'!T7</f>
        <v>1.4699736015628701E-4</v>
      </c>
      <c r="K6" s="38">
        <f>'material inventory'!U7</f>
        <v>5.9997222638626599E-2</v>
      </c>
      <c r="L6" s="38">
        <f>'material inventory'!V7</f>
        <v>3.9576161819112662E-6</v>
      </c>
      <c r="M6" s="38">
        <f>'material inventory'!W7</f>
        <v>4.8502748767224153E-4</v>
      </c>
      <c r="N6" s="38">
        <f>'material inventory'!X7</f>
        <v>5.0873998665882582E-7</v>
      </c>
      <c r="O6" s="38">
        <f>'material inventory'!Y7</f>
        <v>3.423710611539992E-10</v>
      </c>
      <c r="P6" s="38">
        <f>'material inventory'!Z7</f>
        <v>8.4754639927782855E-6</v>
      </c>
      <c r="Q6" s="38">
        <f>'material inventory'!AA7</f>
        <v>1.1929587231566769E-5</v>
      </c>
      <c r="R6" s="38">
        <f>'material inventory'!AB7</f>
        <v>2.397741249812619E-5</v>
      </c>
      <c r="S6" s="38">
        <f>'material inventory'!AC7</f>
        <v>4.1249692244903267E-6</v>
      </c>
      <c r="T6" s="38">
        <f>'material inventory'!AD7</f>
        <v>3.0844687943231479E-5</v>
      </c>
      <c r="U6" s="38">
        <f>'material inventory'!AE7</f>
        <v>9.0068282191990196E-6</v>
      </c>
      <c r="V6" s="38">
        <f>'material inventory'!AF7</f>
        <v>1.4667782600579719E-4</v>
      </c>
      <c r="W6" s="38">
        <f>'material inventory'!AG7</f>
        <v>9.3640214573677001E-4</v>
      </c>
      <c r="X6" s="38">
        <f>'material inventory'!AH7</f>
        <v>1.176927835741781E-4</v>
      </c>
    </row>
    <row r="7" spans="1:24">
      <c r="A7" s="90" t="str">
        <f>'material inventory'!K8</f>
        <v>PbBr₂</v>
      </c>
      <c r="B7" s="38">
        <f>'material inventory'!L8</f>
        <v>6.0294176243999574E-5</v>
      </c>
      <c r="C7" s="38">
        <f>'material inventory'!M8</f>
        <v>7.9057775962192297E-4</v>
      </c>
      <c r="D7" s="38">
        <f>'material inventory'!N8</f>
        <v>1.787536424718461E-5</v>
      </c>
      <c r="E7" s="38">
        <f>'material inventory'!O8</f>
        <v>5.5387418860085569E-5</v>
      </c>
      <c r="F7" s="38">
        <f>'material inventory'!P8</f>
        <v>1.4335309932108604E-5</v>
      </c>
      <c r="G7" s="38">
        <f>'material inventory'!Q8</f>
        <v>1.3650662462844921E-6</v>
      </c>
      <c r="H7" s="38">
        <f>'material inventory'!R8</f>
        <v>4.0820407658993643E-8</v>
      </c>
      <c r="I7" s="38">
        <f>'material inventory'!S8</f>
        <v>3.6829831424864158E-3</v>
      </c>
      <c r="J7" s="38">
        <f>'material inventory'!T8</f>
        <v>3.1893711547178592E-6</v>
      </c>
      <c r="K7" s="38">
        <f>'material inventory'!U8</f>
        <v>1.5845976687352324E-3</v>
      </c>
      <c r="L7" s="38">
        <f>'material inventory'!V8</f>
        <v>1.1188486671891073E-7</v>
      </c>
      <c r="M7" s="38">
        <f>'material inventory'!W8</f>
        <v>1.743929250096639E-5</v>
      </c>
      <c r="N7" s="38">
        <f>'material inventory'!X8</f>
        <v>9.0359824228299086E-9</v>
      </c>
      <c r="O7" s="38">
        <f>'material inventory'!Y8</f>
        <v>5.4919543399528897E-12</v>
      </c>
      <c r="P7" s="38">
        <f>'material inventory'!Z8</f>
        <v>3.0468485467940722E-7</v>
      </c>
      <c r="Q7" s="38">
        <f>'material inventory'!AA8</f>
        <v>7.6670125720519565E-7</v>
      </c>
      <c r="R7" s="38">
        <f>'material inventory'!AB8</f>
        <v>9.331060616620476E-7</v>
      </c>
      <c r="S7" s="38">
        <f>'material inventory'!AC8</f>
        <v>7.9564572968540095E-8</v>
      </c>
      <c r="T7" s="38">
        <f>'material inventory'!AD8</f>
        <v>6.8207202674132785E-7</v>
      </c>
      <c r="U7" s="38">
        <f>'material inventory'!AE8</f>
        <v>2.9174225954603977E-7</v>
      </c>
      <c r="V7" s="38">
        <f>'material inventory'!AF8</f>
        <v>3.056169212646908E-6</v>
      </c>
      <c r="W7" s="38">
        <f>'material inventory'!AG8</f>
        <v>2.77309347596421E-5</v>
      </c>
      <c r="X7" s="38">
        <f>'material inventory'!AH8</f>
        <v>2.5285314408568824E-6</v>
      </c>
    </row>
    <row r="8" spans="1:24">
      <c r="A8" s="90" t="str">
        <f>'material inventory'!K9</f>
        <v>FAI</v>
      </c>
      <c r="B8" s="38">
        <f>'material inventory'!L9</f>
        <v>2.0114480946874777E-2</v>
      </c>
      <c r="C8" s="38">
        <f>'material inventory'!M9</f>
        <v>0.35631319119228022</v>
      </c>
      <c r="D8" s="38">
        <f>'material inventory'!N9</f>
        <v>3.3724328029935353E-4</v>
      </c>
      <c r="E8" s="38">
        <f>'material inventory'!O9</f>
        <v>1.8893218006153331E-2</v>
      </c>
      <c r="F8" s="38">
        <f>'material inventory'!P9</f>
        <v>8.2663717912582445E-3</v>
      </c>
      <c r="G8" s="38">
        <f>'material inventory'!Q9</f>
        <v>8.7607107756067093E-5</v>
      </c>
      <c r="H8" s="38">
        <f>'material inventory'!R9</f>
        <v>6.6612200222894416E-7</v>
      </c>
      <c r="I8" s="38">
        <f>'material inventory'!S9</f>
        <v>0.15755410985478696</v>
      </c>
      <c r="J8" s="38">
        <f>'material inventory'!T9</f>
        <v>1.5380847879207469E-4</v>
      </c>
      <c r="K8" s="38">
        <f>'material inventory'!U9</f>
        <v>5.4143526470466163E-2</v>
      </c>
      <c r="L8" s="38">
        <f>'material inventory'!V9</f>
        <v>1.8620177183795496E-5</v>
      </c>
      <c r="M8" s="38">
        <f>'material inventory'!W9</f>
        <v>1.0631882345536246E-4</v>
      </c>
      <c r="N8" s="38">
        <f>'material inventory'!X9</f>
        <v>3.3223284784395848E-6</v>
      </c>
      <c r="O8" s="38">
        <f>'material inventory'!Y9</f>
        <v>3.6408292331235422E-8</v>
      </c>
      <c r="P8" s="38">
        <f>'material inventory'!Z9</f>
        <v>2.2074361746497299E-5</v>
      </c>
      <c r="Q8" s="38">
        <f>'material inventory'!AA9</f>
        <v>6.945563910145705E-5</v>
      </c>
      <c r="R8" s="38">
        <f>'material inventory'!AB9</f>
        <v>8.3806690793325662E-5</v>
      </c>
      <c r="S8" s="38">
        <f>'material inventory'!AC9</f>
        <v>3.7417686853794654E-6</v>
      </c>
      <c r="T8" s="38">
        <f>'material inventory'!AD9</f>
        <v>2.6285211569953851E-5</v>
      </c>
      <c r="U8" s="38">
        <f>'material inventory'!AE9</f>
        <v>9.5967936906898659E-5</v>
      </c>
      <c r="V8" s="38">
        <f>'material inventory'!AF9</f>
        <v>6.340999703515509E-4</v>
      </c>
      <c r="W8" s="38">
        <f>'material inventory'!AG9</f>
        <v>1.7796963954646E-3</v>
      </c>
      <c r="X8" s="38">
        <f>'material inventory'!AH9</f>
        <v>9.9616632314630436E-4</v>
      </c>
    </row>
    <row r="9" spans="1:24">
      <c r="A9" s="90" t="str">
        <f>'material inventory'!K10</f>
        <v>MABr</v>
      </c>
      <c r="B9" s="38">
        <f>'material inventory'!L10</f>
        <v>0.1114344024570799</v>
      </c>
      <c r="C9" s="38">
        <f>'material inventory'!M10</f>
        <v>1.9630136677403471</v>
      </c>
      <c r="D9" s="38">
        <f>'material inventory'!N10</f>
        <v>9.8029983179979681E-4</v>
      </c>
      <c r="E9" s="38">
        <f>'material inventory'!O10</f>
        <v>0.10515728209198488</v>
      </c>
      <c r="F9" s="38">
        <f>'material inventory'!P10</f>
        <v>4.6331785855829137E-2</v>
      </c>
      <c r="G9" s="38">
        <f>'material inventory'!Q10</f>
        <v>4.6095212396454613E-4</v>
      </c>
      <c r="H9" s="38">
        <f>'material inventory'!R10</f>
        <v>3.0538241433977869E-6</v>
      </c>
      <c r="I9" s="38">
        <f>'material inventory'!S10</f>
        <v>0.87681745824645263</v>
      </c>
      <c r="J9" s="38">
        <f>'material inventory'!T10</f>
        <v>7.1559855215042143E-4</v>
      </c>
      <c r="K9" s="38">
        <f>'material inventory'!U10</f>
        <v>0.2953084274281812</v>
      </c>
      <c r="L9" s="38">
        <f>'material inventory'!V10</f>
        <v>9.6610321320667934E-5</v>
      </c>
      <c r="M9" s="38">
        <f>'material inventory'!W10</f>
        <v>4.988499028441214E-4</v>
      </c>
      <c r="N9" s="38">
        <f>'material inventory'!X10</f>
        <v>1.733125216280493E-5</v>
      </c>
      <c r="O9" s="38">
        <f>'material inventory'!Y10</f>
        <v>9.3714347177340703E-9</v>
      </c>
      <c r="P9" s="38">
        <f>'material inventory'!Z10</f>
        <v>1.1857680738805008E-4</v>
      </c>
      <c r="Q9" s="38">
        <f>'material inventory'!AA10</f>
        <v>3.1603291954213937E-4</v>
      </c>
      <c r="R9" s="38">
        <f>'material inventory'!AB10</f>
        <v>4.5615883652045123E-4</v>
      </c>
      <c r="S9" s="38">
        <f>'material inventory'!AC10</f>
        <v>1.0079444650216779E-5</v>
      </c>
      <c r="T9" s="38">
        <f>'material inventory'!AD10</f>
        <v>6.714422923361849E-5</v>
      </c>
      <c r="U9" s="38">
        <f>'material inventory'!AE10</f>
        <v>1.514563120098777E-5</v>
      </c>
      <c r="V9" s="38">
        <f>'material inventory'!AF10</f>
        <v>3.1193811546776284E-3</v>
      </c>
      <c r="W9" s="38">
        <f>'material inventory'!AG10</f>
        <v>9.8876382210624815E-3</v>
      </c>
      <c r="X9" s="38">
        <f>'material inventory'!AH10</f>
        <v>5.5788624212909982E-3</v>
      </c>
    </row>
    <row r="10" spans="1:24">
      <c r="A10" s="90" t="str">
        <f>'material inventory'!K11</f>
        <v>DMF</v>
      </c>
      <c r="B10" s="38">
        <f>'material inventory'!L11</f>
        <v>2.7778789137676346E-3</v>
      </c>
      <c r="C10" s="38">
        <f>'material inventory'!M11</f>
        <v>7.5556306550594685E-2</v>
      </c>
      <c r="D10" s="38">
        <f>'material inventory'!N11</f>
        <v>1.130588562520065E-4</v>
      </c>
      <c r="E10" s="38">
        <f>'material inventory'!O11</f>
        <v>2.5143823608539837E-3</v>
      </c>
      <c r="F10" s="38">
        <f>'material inventory'!P11</f>
        <v>1.6907857291787833E-3</v>
      </c>
      <c r="G10" s="38">
        <f>'material inventory'!Q11</f>
        <v>3.5379800606950359E-5</v>
      </c>
      <c r="H10" s="38">
        <f>'material inventory'!R11</f>
        <v>9.5442257310893093E-7</v>
      </c>
      <c r="I10" s="38">
        <f>'material inventory'!S11</f>
        <v>5.7632346637830463E-2</v>
      </c>
      <c r="J10" s="38">
        <f>'material inventory'!T11</f>
        <v>2.4885569802073255E-4</v>
      </c>
      <c r="K10" s="38">
        <f>'material inventory'!U11</f>
        <v>3.7440005784852959E-2</v>
      </c>
      <c r="L10" s="38">
        <f>'material inventory'!V11</f>
        <v>1.2133074509071062E-5</v>
      </c>
      <c r="M10" s="38">
        <f>'material inventory'!W11</f>
        <v>1.6190377731717135E-4</v>
      </c>
      <c r="N10" s="38">
        <f>'material inventory'!X11</f>
        <v>1.0616561555308639E-6</v>
      </c>
      <c r="O10" s="38">
        <f>'material inventory'!Y11</f>
        <v>5.0529396081027726E-10</v>
      </c>
      <c r="P10" s="38">
        <f>'material inventory'!Z11</f>
        <v>7.0077073296810455E-6</v>
      </c>
      <c r="Q10" s="38">
        <f>'material inventory'!AA11</f>
        <v>8.5003366607401689E-6</v>
      </c>
      <c r="R10" s="38">
        <f>'material inventory'!AB11</f>
        <v>1.7854464289174749E-5</v>
      </c>
      <c r="S10" s="38">
        <f>'material inventory'!AC11</f>
        <v>1.7854464289174749E-5</v>
      </c>
      <c r="T10" s="38">
        <f>'material inventory'!AD11</f>
        <v>2.1457396153075101E-5</v>
      </c>
      <c r="U10" s="38">
        <f>'material inventory'!AE11</f>
        <v>7.510040109627702E-6</v>
      </c>
      <c r="V10" s="38">
        <f>'material inventory'!AF11</f>
        <v>1.1187438390655826E-4</v>
      </c>
      <c r="W10" s="38">
        <f>'material inventory'!AG11</f>
        <v>4.9684731375667095E-4</v>
      </c>
      <c r="X10" s="38">
        <f>'material inventory'!AH11</f>
        <v>2.1023413252734642E-4</v>
      </c>
    </row>
    <row r="11" spans="1:24">
      <c r="A11" s="90" t="str">
        <f>'material inventory'!K12</f>
        <v>DMSO</v>
      </c>
      <c r="B11" s="38">
        <f>'material inventory'!L12</f>
        <v>3.5756612254426892E-4</v>
      </c>
      <c r="C11" s="38">
        <f>'material inventory'!M12</f>
        <v>1.6499999309507574E-2</v>
      </c>
      <c r="D11" s="38">
        <f>'material inventory'!N12</f>
        <v>1.5253169211464288E-5</v>
      </c>
      <c r="E11" s="38">
        <f>'material inventory'!O12</f>
        <v>3.046183980339329E-4</v>
      </c>
      <c r="F11" s="38">
        <f>'material inventory'!P12</f>
        <v>3.6708544748282929E-4</v>
      </c>
      <c r="G11" s="38">
        <f>'material inventory'!Q12</f>
        <v>6.4047032079231407E-6</v>
      </c>
      <c r="H11" s="38">
        <f>'material inventory'!R12</f>
        <v>1.4246035898437896E-7</v>
      </c>
      <c r="I11" s="38">
        <f>'material inventory'!S12</f>
        <v>9.4700384928725918E-3</v>
      </c>
      <c r="J11" s="38">
        <f>'material inventory'!T12</f>
        <v>5.2161957747655995E-5</v>
      </c>
      <c r="K11" s="38">
        <f>'material inventory'!U12</f>
        <v>5.5336004849951131E-3</v>
      </c>
      <c r="L11" s="38">
        <f>'material inventory'!V12</f>
        <v>2.8007093171307721E-7</v>
      </c>
      <c r="M11" s="38">
        <f>'material inventory'!W12</f>
        <v>3.0681516532744684E-5</v>
      </c>
      <c r="N11" s="38">
        <f>'material inventory'!X12</f>
        <v>1.6001759912254039E-7</v>
      </c>
      <c r="O11" s="38">
        <f>'material inventory'!Y12</f>
        <v>8.9073281015340216E-11</v>
      </c>
      <c r="P11" s="38">
        <f>'material inventory'!Z12</f>
        <v>4.8458433400257489E-7</v>
      </c>
      <c r="Q11" s="38">
        <f>'material inventory'!AA12</f>
        <v>1.1099870842560434E-6</v>
      </c>
      <c r="R11" s="38">
        <f>'material inventory'!AB12</f>
        <v>1.4473598459099341E-6</v>
      </c>
      <c r="S11" s="38">
        <f>'material inventory'!AC12</f>
        <v>2.7437060222324104E-7</v>
      </c>
      <c r="T11" s="38">
        <f>'material inventory'!AD12</f>
        <v>2.6970106354036136E-6</v>
      </c>
      <c r="U11" s="38">
        <f>'material inventory'!AE12</f>
        <v>1.0823021836211176E-6</v>
      </c>
      <c r="V11" s="38">
        <f>'material inventory'!AF12</f>
        <v>1.4003828222486361E-5</v>
      </c>
      <c r="W11" s="38">
        <f>'material inventory'!AG12</f>
        <v>7.6137701298533141E-5</v>
      </c>
      <c r="X11" s="38">
        <f>'material inventory'!AH12</f>
        <v>4.5439286555838333E-5</v>
      </c>
    </row>
    <row r="12" spans="1:24">
      <c r="A12" s="90" t="str">
        <f>'material inventory'!K13</f>
        <v>Isopropanol</v>
      </c>
      <c r="B12" s="38">
        <f>'material inventory'!L13</f>
        <v>9.8536232918946171E-2</v>
      </c>
      <c r="C12" s="38">
        <f>'material inventory'!M13</f>
        <v>3.2570821583550118</v>
      </c>
      <c r="D12" s="38">
        <f>'material inventory'!N13</f>
        <v>1.9815706048313128E-3</v>
      </c>
      <c r="E12" s="38">
        <f>'material inventory'!O13</f>
        <v>8.5850252764932564E-2</v>
      </c>
      <c r="F12" s="38">
        <f>'material inventory'!P13</f>
        <v>7.4545646885452135E-2</v>
      </c>
      <c r="G12" s="38">
        <f>'material inventory'!Q13</f>
        <v>5.0053233478787834E-4</v>
      </c>
      <c r="H12" s="38">
        <f>'material inventory'!R13</f>
        <v>1.4179051489026607E-5</v>
      </c>
      <c r="I12" s="38">
        <f>'material inventory'!S13</f>
        <v>0.82493944957277754</v>
      </c>
      <c r="J12" s="38">
        <f>'material inventory'!T13</f>
        <v>1.9897185546537545E-3</v>
      </c>
      <c r="K12" s="38">
        <f>'material inventory'!U13</f>
        <v>0.61422591277387006</v>
      </c>
      <c r="L12" s="38">
        <f>'material inventory'!V13</f>
        <v>6.0359580605187662E-5</v>
      </c>
      <c r="M12" s="38">
        <f>'material inventory'!W13</f>
        <v>3.4854339263641039E-3</v>
      </c>
      <c r="N12" s="38">
        <f>'material inventory'!X13</f>
        <v>7.9369664859798433E-6</v>
      </c>
      <c r="O12" s="38">
        <f>'material inventory'!Y13</f>
        <v>3.4922868378041706E-9</v>
      </c>
      <c r="P12" s="38">
        <f>'material inventory'!Z13</f>
        <v>1.3004883355673412E-4</v>
      </c>
      <c r="Q12" s="38">
        <f>'material inventory'!AA13</f>
        <v>4.2438407790423735E-4</v>
      </c>
      <c r="R12" s="38">
        <f>'material inventory'!AB13</f>
        <v>3.6490944019367249E-4</v>
      </c>
      <c r="S12" s="38">
        <f>'material inventory'!AC13</f>
        <v>2.827878187713275E-5</v>
      </c>
      <c r="T12" s="38">
        <f>'material inventory'!AD13</f>
        <v>2.8099634900904236E-4</v>
      </c>
      <c r="U12" s="38">
        <f>'material inventory'!AE13</f>
        <v>2.2805625913621056E-4</v>
      </c>
      <c r="V12" s="38">
        <f>'material inventory'!AF13</f>
        <v>2.960619621906697E-3</v>
      </c>
      <c r="W12" s="38">
        <f>'material inventory'!AG13</f>
        <v>8.9390024343423812E-3</v>
      </c>
      <c r="X12" s="38">
        <f>'material inventory'!AH13</f>
        <v>9.1003426328132471E-3</v>
      </c>
    </row>
    <row r="13" spans="1:24">
      <c r="A13" s="90" t="str">
        <f>'material inventory'!K14</f>
        <v>PTAA solution</v>
      </c>
      <c r="B13" s="38">
        <f>'material inventory'!L14</f>
        <v>4.2266595161539466E-2</v>
      </c>
      <c r="C13" s="38">
        <f>'material inventory'!M14</f>
        <v>0.78923824670233655</v>
      </c>
      <c r="D13" s="38">
        <f>'material inventory'!N14</f>
        <v>6.8642195268754365E-4</v>
      </c>
      <c r="E13" s="38">
        <f>'material inventory'!O14</f>
        <v>3.9364253554828414E-2</v>
      </c>
      <c r="F13" s="38">
        <f>'material inventory'!P14</f>
        <v>1.8329659623102422E-2</v>
      </c>
      <c r="G13" s="38">
        <f>'material inventory'!Q14</f>
        <v>4.3583377608497721E-4</v>
      </c>
      <c r="H13" s="38">
        <f>'material inventory'!R14</f>
        <v>5.407938883513064E-6</v>
      </c>
      <c r="I13" s="38">
        <f>'material inventory'!S14</f>
        <v>0.71234192691182507</v>
      </c>
      <c r="J13" s="38">
        <f>'material inventory'!T14</f>
        <v>6.8896466473247189E-4</v>
      </c>
      <c r="K13" s="38">
        <f>'material inventory'!U14</f>
        <v>0.34733884222527062</v>
      </c>
      <c r="L13" s="38">
        <f>'material inventory'!V14</f>
        <v>3.8598570396987373E-5</v>
      </c>
      <c r="M13" s="38">
        <f>'material inventory'!W14</f>
        <v>4.5224011222769461E-3</v>
      </c>
      <c r="N13" s="38">
        <f>'material inventory'!X14</f>
        <v>6.1913063347356005E-6</v>
      </c>
      <c r="O13" s="38">
        <f>'material inventory'!Y14</f>
        <v>3.5904134791905033E-9</v>
      </c>
      <c r="P13" s="38">
        <f>'material inventory'!Z14</f>
        <v>1.6044419532427895E-4</v>
      </c>
      <c r="Q13" s="38">
        <f>'material inventory'!AA14</f>
        <v>1.6589163623841811E-4</v>
      </c>
      <c r="R13" s="38">
        <f>'material inventory'!AB14</f>
        <v>6.9771284358260141E-4</v>
      </c>
      <c r="S13" s="38">
        <f>'material inventory'!AC14</f>
        <v>2.99872377651063E-4</v>
      </c>
      <c r="T13" s="38">
        <f>'material inventory'!AD14</f>
        <v>8.0971261112950388E-5</v>
      </c>
      <c r="U13" s="38">
        <f>'material inventory'!AE14</f>
        <v>3.8207534940145927E-5</v>
      </c>
      <c r="V13" s="38">
        <f>'material inventory'!AF14</f>
        <v>1.3557704922337629E-3</v>
      </c>
      <c r="W13" s="38">
        <f>'material inventory'!AG14</f>
        <v>6.6190553912701504E-3</v>
      </c>
      <c r="X13" s="38">
        <f>'material inventory'!AH14</f>
        <v>2.3819254845185789E-3</v>
      </c>
    </row>
    <row r="14" spans="1:24">
      <c r="A14" s="90" t="str">
        <f>'material inventory'!K15</f>
        <v>Cu</v>
      </c>
      <c r="B14" s="38">
        <f>'material inventory'!L15</f>
        <v>7.2295014400000001E-3</v>
      </c>
      <c r="C14" s="38">
        <f>'material inventory'!M15</f>
        <v>0.103960138283008</v>
      </c>
      <c r="D14" s="38">
        <f>'material inventory'!N15</f>
        <v>5.2869734399999999E-4</v>
      </c>
      <c r="E14" s="38">
        <f>'material inventory'!O15</f>
        <v>6.5984307199999995E-3</v>
      </c>
      <c r="F14" s="38">
        <f>'material inventory'!P15</f>
        <v>1.9158630399999999E-3</v>
      </c>
      <c r="G14" s="38">
        <f>'material inventory'!Q15</f>
        <v>7.1140966399999995E-3</v>
      </c>
      <c r="H14" s="38">
        <f>'material inventory'!R15</f>
        <v>2.0959231999999998E-4</v>
      </c>
      <c r="I14" s="38">
        <f>'material inventory'!S15</f>
        <v>17.904230399999999</v>
      </c>
      <c r="J14" s="38">
        <f>'material inventory'!T15</f>
        <v>6.6877440000000005E-4</v>
      </c>
      <c r="K14" s="38">
        <f>'material inventory'!U15</f>
        <v>9.36155136</v>
      </c>
      <c r="L14" s="38">
        <f>'material inventory'!V15</f>
        <v>4.3071078400000001E-5</v>
      </c>
      <c r="M14" s="38">
        <f>'material inventory'!W15</f>
        <v>6.8633600000000003E-2</v>
      </c>
      <c r="N14" s="38">
        <f>'material inventory'!X15</f>
        <v>2.8534374399999995E-6</v>
      </c>
      <c r="O14" s="38">
        <f>'material inventory'!Y15</f>
        <v>4.3019468800000001E-10</v>
      </c>
      <c r="P14" s="38">
        <f>'material inventory'!Z15</f>
        <v>2.0845977599999999E-4</v>
      </c>
      <c r="Q14" s="38">
        <f>'material inventory'!AA15</f>
        <v>1.3396848639999999E-4</v>
      </c>
      <c r="R14" s="38">
        <f>'material inventory'!AB15</f>
        <v>6.9865062399999999E-4</v>
      </c>
      <c r="S14" s="38">
        <f>'material inventory'!AC15</f>
        <v>8.8196505599999996E-4</v>
      </c>
      <c r="T14" s="38">
        <f>'material inventory'!AD15</f>
        <v>6.2549401599999992E-4</v>
      </c>
      <c r="U14" s="38">
        <f>'material inventory'!AE15</f>
        <v>2.3164108799999999E-4</v>
      </c>
      <c r="V14" s="38">
        <f>'material inventory'!AF15</f>
        <v>3.3034444799999998E-3</v>
      </c>
      <c r="W14" s="38">
        <f>'material inventory'!AG15</f>
        <v>0.12301148159999999</v>
      </c>
      <c r="X14" s="38">
        <f>'material inventory'!AH15</f>
        <v>3.4155519999999997E-3</v>
      </c>
    </row>
    <row r="15" spans="1:24">
      <c r="A15" s="90" t="str">
        <f>'material inventory'!K16</f>
        <v>Ar</v>
      </c>
      <c r="B15" s="38">
        <f>'material inventory'!L16</f>
        <v>0.29058656969696967</v>
      </c>
      <c r="C15" s="38">
        <f>'material inventory'!M16</f>
        <v>4.3659558183030303</v>
      </c>
      <c r="D15" s="38">
        <f>'material inventory'!N16</f>
        <v>1.5204004848484845E-2</v>
      </c>
      <c r="E15" s="38">
        <f>'material inventory'!O16</f>
        <v>0.26877852121212115</v>
      </c>
      <c r="F15" s="38">
        <f>'material inventory'!P16</f>
        <v>7.7184489696969685E-2</v>
      </c>
      <c r="G15" s="38">
        <f>'material inventory'!Q16</f>
        <v>3.8203549090909082E-3</v>
      </c>
      <c r="H15" s="38">
        <f>'material inventory'!R16</f>
        <v>1.5748935757575755E-4</v>
      </c>
      <c r="I15" s="38">
        <f>'material inventory'!S16</f>
        <v>5.0588833939393929</v>
      </c>
      <c r="J15" s="38">
        <f>'material inventory'!T16</f>
        <v>4.4774075151515144E-2</v>
      </c>
      <c r="K15" s="38">
        <f>'material inventory'!U16</f>
        <v>4.3602041212121208</v>
      </c>
      <c r="L15" s="38">
        <f>'material inventory'!V16</f>
        <v>2.6226962424242417E-4</v>
      </c>
      <c r="M15" s="38">
        <f>'material inventory'!W16</f>
        <v>3.5047490909090903E-3</v>
      </c>
      <c r="N15" s="38">
        <f>'material inventory'!X16</f>
        <v>3.1948736969696965E-5</v>
      </c>
      <c r="O15" s="38">
        <f>'material inventory'!Y16</f>
        <v>1.6083030303030301E-8</v>
      </c>
      <c r="P15" s="38">
        <f>'material inventory'!Z16</f>
        <v>9.0081187878787868E-4</v>
      </c>
      <c r="Q15" s="38">
        <f>'material inventory'!AA16</f>
        <v>7.1664901818181801E-4</v>
      </c>
      <c r="R15" s="38">
        <f>'material inventory'!AB16</f>
        <v>1.4193071515151512E-3</v>
      </c>
      <c r="S15" s="38">
        <f>'material inventory'!AC16</f>
        <v>9.7240974545454532E-5</v>
      </c>
      <c r="T15" s="38">
        <f>'material inventory'!AD16</f>
        <v>1.7287500606060604E-3</v>
      </c>
      <c r="U15" s="38">
        <f>'material inventory'!AE16</f>
        <v>1.1379757575757574E-3</v>
      </c>
      <c r="V15" s="38">
        <f>'material inventory'!AF16</f>
        <v>1.1503015757575756E-2</v>
      </c>
      <c r="W15" s="38">
        <f>'material inventory'!AG16</f>
        <v>4.5996926060606055E-2</v>
      </c>
      <c r="X15" s="38">
        <f>'material inventory'!AH16</f>
        <v>9.4180063030303018E-3</v>
      </c>
    </row>
    <row r="16" spans="1:24">
      <c r="A16" s="90" t="str">
        <f>'material inventory'!K17</f>
        <v>O₂</v>
      </c>
      <c r="B16" s="38">
        <f>'material inventory'!L17</f>
        <v>1.2806957575757575E-4</v>
      </c>
      <c r="C16" s="38">
        <f>'material inventory'!M17</f>
        <v>1.7448388645818179E-3</v>
      </c>
      <c r="D16" s="38">
        <f>'material inventory'!N17</f>
        <v>5.0365023030303021E-6</v>
      </c>
      <c r="E16" s="38">
        <f>'material inventory'!O17</f>
        <v>1.1821973333333331E-4</v>
      </c>
      <c r="F16" s="38">
        <f>'material inventory'!P17</f>
        <v>3.3462433939393932E-5</v>
      </c>
      <c r="G16" s="38">
        <f>'material inventory'!Q17</f>
        <v>1.5462414545454542E-6</v>
      </c>
      <c r="H16" s="38">
        <f>'material inventory'!R17</f>
        <v>6.2809774545454535E-8</v>
      </c>
      <c r="I16" s="38">
        <f>'material inventory'!S17</f>
        <v>2.0907398787878783E-3</v>
      </c>
      <c r="J16" s="38">
        <f>'material inventory'!T17</f>
        <v>1.3000494545454543E-5</v>
      </c>
      <c r="K16" s="38">
        <f>'material inventory'!U17</f>
        <v>1.7876761212121208E-3</v>
      </c>
      <c r="L16" s="38">
        <f>'material inventory'!V17</f>
        <v>1.1685740606060604E-7</v>
      </c>
      <c r="M16" s="38">
        <f>'material inventory'!W17</f>
        <v>1.3077260606060604E-6</v>
      </c>
      <c r="N16" s="38">
        <f>'material inventory'!X17</f>
        <v>1.3889250909090907E-8</v>
      </c>
      <c r="O16" s="38">
        <f>'material inventory'!Y17</f>
        <v>5.8068659393939386E-12</v>
      </c>
      <c r="P16" s="38">
        <f>'material inventory'!Z17</f>
        <v>4.3156581818181813E-7</v>
      </c>
      <c r="Q16" s="38">
        <f>'material inventory'!AA17</f>
        <v>3.2327161212121209E-7</v>
      </c>
      <c r="R16" s="38">
        <f>'material inventory'!AB17</f>
        <v>6.3258477575757571E-7</v>
      </c>
      <c r="S16" s="38">
        <f>'material inventory'!AC17</f>
        <v>4.0537886060606053E-8</v>
      </c>
      <c r="T16" s="38">
        <f>'material inventory'!AD17</f>
        <v>7.6982303030303019E-7</v>
      </c>
      <c r="U16" s="38">
        <f>'material inventory'!AE17</f>
        <v>4.6972179393939389E-7</v>
      </c>
      <c r="V16" s="38">
        <f>'material inventory'!AF17</f>
        <v>4.8958366060606059E-6</v>
      </c>
      <c r="W16" s="38">
        <f>'material inventory'!AG17</f>
        <v>1.9418569696969696E-5</v>
      </c>
      <c r="X16" s="38">
        <f>'material inventory'!AH17</f>
        <v>4.0733585454545447E-6</v>
      </c>
    </row>
    <row r="17" spans="1:25" s="38" customFormat="1">
      <c r="A17" s="90" t="str">
        <f>'material inventory'!K18</f>
        <v>Adhesive</v>
      </c>
      <c r="B17" s="38">
        <f>'material inventory'!L18</f>
        <v>5.8513339999999997E-2</v>
      </c>
      <c r="C17" s="38">
        <f>'material inventory'!M18</f>
        <v>1.121768096012</v>
      </c>
      <c r="D17" s="38">
        <f>'material inventory'!N18</f>
        <v>1.9549964000000002E-3</v>
      </c>
      <c r="E17" s="38">
        <f>'material inventory'!O18</f>
        <v>5.3267399999999999E-2</v>
      </c>
      <c r="F17" s="38">
        <f>'material inventory'!P18</f>
        <v>2.4177380000000002E-2</v>
      </c>
      <c r="G17" s="38">
        <f>'material inventory'!Q18</f>
        <v>6.0432339999999995E-4</v>
      </c>
      <c r="H17" s="38">
        <f>'material inventory'!R18</f>
        <v>1.9439469999999997E-5</v>
      </c>
      <c r="I17" s="38">
        <f>'material inventory'!S18</f>
        <v>0.90098060000000002</v>
      </c>
      <c r="J17" s="38">
        <f>'material inventory'!T18</f>
        <v>3.5624719999999997E-3</v>
      </c>
      <c r="K17" s="38">
        <f>'material inventory'!U18</f>
        <v>0.69086020000000004</v>
      </c>
      <c r="L17" s="38">
        <f>'material inventory'!V18</f>
        <v>4.7078119999999994E-5</v>
      </c>
      <c r="M17" s="38">
        <f>'material inventory'!W18</f>
        <v>3.4358179999999998E-3</v>
      </c>
      <c r="N17" s="38">
        <f>'material inventory'!X18</f>
        <v>6.1276699999999994E-6</v>
      </c>
      <c r="O17" s="38">
        <f>'material inventory'!Y18</f>
        <v>5.7868959999999999E-9</v>
      </c>
      <c r="P17" s="38">
        <f>'material inventory'!Z18</f>
        <v>1.0165448000000001E-4</v>
      </c>
      <c r="Q17" s="38">
        <f>'material inventory'!AA18</f>
        <v>2.0535319999999998E-4</v>
      </c>
      <c r="R17" s="38">
        <f>'material inventory'!AB18</f>
        <v>2.0896899999999998E-4</v>
      </c>
      <c r="S17" s="38">
        <f>'material inventory'!AC18</f>
        <v>4.8904199999999998E-5</v>
      </c>
      <c r="T17" s="38">
        <f>'material inventory'!AD18</f>
        <v>5.1992780000000005E-4</v>
      </c>
      <c r="U17" s="38">
        <f>'material inventory'!AE18</f>
        <v>1.6944567999999999E-4</v>
      </c>
      <c r="V17" s="38">
        <f>'material inventory'!AF18</f>
        <v>2.2575519999999999E-3</v>
      </c>
      <c r="W17" s="38">
        <f>'material inventory'!AG18</f>
        <v>8.1579719999999994E-3</v>
      </c>
      <c r="X17" s="38">
        <f>'material inventory'!AH18</f>
        <v>3.0584819999999995E-3</v>
      </c>
    </row>
    <row r="18" spans="1:25" s="38" customFormat="1">
      <c r="A18" s="90" t="str">
        <f>'material inventory'!K19</f>
        <v>PET</v>
      </c>
      <c r="B18" s="38">
        <f>'material inventory'!L19</f>
        <v>0.19433649</v>
      </c>
      <c r="C18" s="38">
        <f>'material inventory'!M19</f>
        <v>4.876431431436</v>
      </c>
      <c r="D18" s="38">
        <f>'material inventory'!N19</f>
        <v>6.1952969999999998E-3</v>
      </c>
      <c r="E18" s="38">
        <f>'material inventory'!O19</f>
        <v>0.17387676999999999</v>
      </c>
      <c r="F18" s="38">
        <f>'material inventory'!P19</f>
        <v>0.10758629</v>
      </c>
      <c r="G18" s="38">
        <f>'material inventory'!Q19</f>
        <v>1.6921225000000001E-3</v>
      </c>
      <c r="H18" s="38">
        <f>'material inventory'!R19</f>
        <v>5.3572875999999998E-5</v>
      </c>
      <c r="I18" s="38">
        <f>'material inventory'!S19</f>
        <v>2.6013953999999999</v>
      </c>
      <c r="J18" s="38">
        <f>'material inventory'!T19</f>
        <v>1.0938793E-2</v>
      </c>
      <c r="K18" s="38">
        <f>'material inventory'!U19</f>
        <v>2.0643585999999998</v>
      </c>
      <c r="L18" s="38">
        <f>'material inventory'!V19</f>
        <v>1.5557654999999999E-4</v>
      </c>
      <c r="M18" s="38">
        <f>'material inventory'!W19</f>
        <v>8.7410389999999991E-3</v>
      </c>
      <c r="N18" s="38">
        <f>'material inventory'!X19</f>
        <v>1.8848732999999998E-5</v>
      </c>
      <c r="O18" s="38">
        <f>'material inventory'!Y19</f>
        <v>8.897757E-9</v>
      </c>
      <c r="P18" s="38">
        <f>'material inventory'!Z19</f>
        <v>3.1222667999999997E-4</v>
      </c>
      <c r="Q18" s="38">
        <f>'material inventory'!AA19</f>
        <v>5.844594199999999E-4</v>
      </c>
      <c r="R18" s="38">
        <f>'material inventory'!AB19</f>
        <v>7.4009149999999997E-4</v>
      </c>
      <c r="S18" s="38">
        <f>'material inventory'!AC19</f>
        <v>1.9091831E-4</v>
      </c>
      <c r="T18" s="38">
        <f>'material inventory'!AD19</f>
        <v>1.3298200999999998E-3</v>
      </c>
      <c r="U18" s="38">
        <f>'material inventory'!AE19</f>
        <v>3.5293016999999997E-4</v>
      </c>
      <c r="V18" s="38">
        <f>'material inventory'!AF19</f>
        <v>6.9066979999999993E-3</v>
      </c>
      <c r="W18" s="38">
        <f>'material inventory'!AG19</f>
        <v>2.4245015000000002E-2</v>
      </c>
      <c r="X18" s="38">
        <f>'material inventory'!AH19</f>
        <v>1.3306221999999999E-2</v>
      </c>
    </row>
    <row r="19" spans="1:25">
      <c r="A19" s="91" t="str">
        <f>'energy consumption'!H3</f>
        <v>Spray pyrolysis</v>
      </c>
      <c r="B19" s="91">
        <f>'energy consumption'!I3</f>
        <v>4.0717716608465655E-4</v>
      </c>
      <c r="C19" s="91">
        <f>'energy consumption'!R3</f>
        <v>7.1646036132171692E-3</v>
      </c>
      <c r="D19" s="91">
        <f>'energy consumption'!S3</f>
        <v>4.6616715302939246E-7</v>
      </c>
      <c r="E19" s="91">
        <f>'energy consumption'!T3</f>
        <v>3.8427517115317085E-4</v>
      </c>
      <c r="F19" s="91">
        <f>'energy consumption'!U3</f>
        <v>1.697145078944809E-4</v>
      </c>
      <c r="G19" s="91">
        <f>'energy consumption'!V3</f>
        <v>1.4631352133789144E-6</v>
      </c>
      <c r="H19" s="91">
        <f>'energy consumption'!W3</f>
        <v>7.1401686677201515E-9</v>
      </c>
      <c r="I19" s="91">
        <f>'energy consumption'!X3</f>
        <v>2.9930894202343647E-3</v>
      </c>
      <c r="J19" s="91">
        <f>'energy consumption'!Y3</f>
        <v>2.4221168193254235E-6</v>
      </c>
      <c r="K19" s="91">
        <f>'energy consumption'!Z3</f>
        <v>9.0013500739979154E-4</v>
      </c>
      <c r="L19" s="91">
        <f>'energy consumption'!AA3</f>
        <v>3.5259207072704332E-7</v>
      </c>
      <c r="M19" s="91">
        <f>'energy consumption'!AB3</f>
        <v>1.7200872226277398E-6</v>
      </c>
      <c r="N19" s="91">
        <f>'energy consumption'!AC3</f>
        <v>6.3291638885285464E-8</v>
      </c>
      <c r="O19" s="91">
        <f>'energy consumption'!AD3</f>
        <v>3.4008286688392534E-11</v>
      </c>
      <c r="P19" s="91">
        <f>'energy consumption'!AE3</f>
        <v>4.2937369009789216E-7</v>
      </c>
      <c r="Q19" s="91">
        <f>'energy consumption'!AF3</f>
        <v>1.1549075129987385E-6</v>
      </c>
      <c r="R19" s="91">
        <f>'energy consumption'!AG3</f>
        <v>1.6633054170124858E-6</v>
      </c>
      <c r="S19" s="91">
        <f>'energy consumption'!AH3</f>
        <v>2.9769152089378988E-8</v>
      </c>
      <c r="T19" s="91">
        <f>'energy consumption'!AI3</f>
        <v>1.836002403585748E-7</v>
      </c>
      <c r="U19" s="91">
        <f>'energy consumption'!AJ3</f>
        <v>4.5990968333987309E-8</v>
      </c>
      <c r="V19" s="91">
        <f>'energy consumption'!AK3</f>
        <v>1.1249680154925137E-5</v>
      </c>
      <c r="W19" s="91">
        <f>'energy consumption'!AL3</f>
        <v>3.4689668355775576E-5</v>
      </c>
      <c r="X19" s="91">
        <f>'energy consumption'!AM3</f>
        <v>2.0430552503241989E-5</v>
      </c>
      <c r="Y19" s="38"/>
    </row>
    <row r="20" spans="1:25">
      <c r="A20" s="91" t="str">
        <f>'energy consumption'!H4</f>
        <v>ETL slot-die coating</v>
      </c>
      <c r="B20" s="91">
        <f>'energy consumption'!I4</f>
        <v>1.4790000011831998E-2</v>
      </c>
      <c r="C20" s="91">
        <f>'energy consumption'!R4</f>
        <v>0.2602417236290267</v>
      </c>
      <c r="D20" s="91">
        <f>'energy consumption'!S4</f>
        <v>1.6932708346879497E-5</v>
      </c>
      <c r="E20" s="91">
        <f>'energy consumption'!T4</f>
        <v>1.3958125011166497E-2</v>
      </c>
      <c r="F20" s="91">
        <f>'energy consumption'!U4</f>
        <v>6.1645833382649989E-3</v>
      </c>
      <c r="G20" s="91">
        <f>'energy consumption'!V4</f>
        <v>5.3145833375849992E-5</v>
      </c>
      <c r="H20" s="91">
        <f>'energy consumption'!W4</f>
        <v>2.5935416687414999E-7</v>
      </c>
      <c r="I20" s="91">
        <f>'energy consumption'!X4</f>
        <v>0.10871875008697497</v>
      </c>
      <c r="J20" s="91">
        <f>'energy consumption'!Y4</f>
        <v>8.7979166737049995E-5</v>
      </c>
      <c r="K20" s="91">
        <f>'energy consumption'!Z4</f>
        <v>3.2695833359489994E-2</v>
      </c>
      <c r="L20" s="91">
        <f>'energy consumption'!AA4</f>
        <v>1.2807291676912498E-5</v>
      </c>
      <c r="M20" s="91">
        <f>'energy consumption'!AB4</f>
        <v>6.2479166716649989E-5</v>
      </c>
      <c r="N20" s="91">
        <f>'energy consumption'!AC4</f>
        <v>2.2989583351724996E-6</v>
      </c>
      <c r="O20" s="91">
        <f>'energy consumption'!AD4</f>
        <v>1.2352916676548999E-9</v>
      </c>
      <c r="P20" s="91">
        <f>'energy consumption'!AE4</f>
        <v>1.5596250012476997E-5</v>
      </c>
      <c r="Q20" s="91">
        <f>'energy consumption'!AF4</f>
        <v>4.1950000033559991E-5</v>
      </c>
      <c r="R20" s="91">
        <f>'energy consumption'!AG4</f>
        <v>6.0416666714999987E-5</v>
      </c>
      <c r="S20" s="91">
        <f>'energy consumption'!AH4</f>
        <v>1.0813125008650499E-6</v>
      </c>
      <c r="T20" s="91">
        <f>'energy consumption'!AI4</f>
        <v>6.6689583386684999E-6</v>
      </c>
      <c r="U20" s="91">
        <f>'energy consumption'!AJ4</f>
        <v>1.6705416680030996E-6</v>
      </c>
      <c r="V20" s="91">
        <f>'energy consumption'!AK4</f>
        <v>4.0862500032689994E-4</v>
      </c>
      <c r="W20" s="91">
        <f>'energy consumption'!AL4</f>
        <v>1.2600416676746998E-3</v>
      </c>
      <c r="X20" s="91">
        <f>'energy consumption'!AM4</f>
        <v>7.4210416726034993E-4</v>
      </c>
      <c r="Y20" s="38"/>
    </row>
    <row r="21" spans="1:25">
      <c r="A21" s="91" t="str">
        <f>'energy consumption'!H5</f>
        <v>ETL calcining</v>
      </c>
      <c r="B21" s="91">
        <f>'energy consumption'!I5</f>
        <v>30.425142881482966</v>
      </c>
      <c r="C21" s="91">
        <f>'energy consumption'!R5</f>
        <v>535.35440289399776</v>
      </c>
      <c r="D21" s="91">
        <f>'energy consumption'!S5</f>
        <v>3.4833000027866393E-2</v>
      </c>
      <c r="E21" s="91">
        <f>'energy consumption'!T5</f>
        <v>28.713857165828223</v>
      </c>
      <c r="F21" s="91">
        <f>'energy consumption'!U5</f>
        <v>12.681428581573712</v>
      </c>
      <c r="G21" s="91">
        <f>'energy consumption'!V5</f>
        <v>0.10932857151603427</v>
      </c>
      <c r="H21" s="91">
        <f>'energy consumption'!W5</f>
        <v>5.3352857185539422E-4</v>
      </c>
      <c r="I21" s="91">
        <f>'energy consumption'!X5</f>
        <v>223.65000017891995</v>
      </c>
      <c r="J21" s="91">
        <f>'energy consumption'!Y5</f>
        <v>0.18098571443050285</v>
      </c>
      <c r="K21" s="91">
        <f>'energy consumption'!Z5</f>
        <v>67.260000053807985</v>
      </c>
      <c r="L21" s="91">
        <f>'energy consumption'!AA5</f>
        <v>2.6346428592505709E-2</v>
      </c>
      <c r="M21" s="91">
        <f>'energy consumption'!AB5</f>
        <v>0.12852857153139427</v>
      </c>
      <c r="N21" s="91">
        <f>'energy consumption'!AC5</f>
        <v>4.7292857180691421E-3</v>
      </c>
      <c r="O21" s="91">
        <f>'energy consumption'!AD5</f>
        <v>2.5411714306043655E-6</v>
      </c>
      <c r="P21" s="91">
        <f>'energy consumption'!AE5</f>
        <v>3.2083714311381253E-2</v>
      </c>
      <c r="Q21" s="91">
        <f>'energy consumption'!AF5</f>
        <v>8.6297142926180556E-2</v>
      </c>
      <c r="R21" s="91">
        <f>'energy consumption'!AG5</f>
        <v>0.12428571438514284</v>
      </c>
      <c r="S21" s="91">
        <f>'energy consumption'!AH5</f>
        <v>2.224414287493817E-3</v>
      </c>
      <c r="T21" s="91">
        <f>'energy consumption'!AI5</f>
        <v>1.3719000010975198E-2</v>
      </c>
      <c r="U21" s="91">
        <f>'energy consumption'!AJ5</f>
        <v>3.4365428598920906E-3</v>
      </c>
      <c r="V21" s="91">
        <f>'energy consumption'!AK5</f>
        <v>0.84060000067247986</v>
      </c>
      <c r="W21" s="91">
        <f>'energy consumption'!AL5</f>
        <v>2.5920857163593825</v>
      </c>
      <c r="X21" s="91">
        <f>'energy consumption'!AM5</f>
        <v>1.526614286935577</v>
      </c>
      <c r="Y21" s="38"/>
    </row>
    <row r="22" spans="1:25">
      <c r="A22" s="91" t="str">
        <f>'energy consumption'!H6</f>
        <v>PL 1st-step slot-die coating</v>
      </c>
      <c r="B22" s="91">
        <f>'energy consumption'!I6</f>
        <v>2.1128571445474281E-2</v>
      </c>
      <c r="C22" s="91">
        <f>'energy consumption'!R6</f>
        <v>0.37177389089860957</v>
      </c>
      <c r="D22" s="91">
        <f>'energy consumption'!S6</f>
        <v>2.4189583352684997E-5</v>
      </c>
      <c r="E22" s="91">
        <f>'energy consumption'!T6</f>
        <v>1.9940178587380709E-2</v>
      </c>
      <c r="F22" s="91">
        <f>'energy consumption'!U6</f>
        <v>8.806547626092856E-3</v>
      </c>
      <c r="G22" s="91">
        <f>'energy consumption'!V6</f>
        <v>7.5922619108357133E-5</v>
      </c>
      <c r="H22" s="91">
        <f>'energy consumption'!W6</f>
        <v>3.7050595267735709E-7</v>
      </c>
      <c r="I22" s="91">
        <f>'energy consumption'!X6</f>
        <v>0.15531250012424996</v>
      </c>
      <c r="J22" s="91">
        <f>'energy consumption'!Y6</f>
        <v>1.2568452391007142E-4</v>
      </c>
      <c r="K22" s="91">
        <f>'energy consumption'!Z6</f>
        <v>4.6708333370699989E-2</v>
      </c>
      <c r="L22" s="91">
        <f>'energy consumption'!AA6</f>
        <v>1.8296130967017852E-5</v>
      </c>
      <c r="M22" s="91">
        <f>'energy consumption'!AB6</f>
        <v>8.9255952452357121E-5</v>
      </c>
      <c r="N22" s="91">
        <f>'energy consumption'!AC6</f>
        <v>3.2842261931035708E-6</v>
      </c>
      <c r="O22" s="91">
        <f>'energy consumption'!AD6</f>
        <v>1.7647023823641425E-9</v>
      </c>
      <c r="P22" s="91">
        <f>'energy consumption'!AE6</f>
        <v>2.2280357160681425E-5</v>
      </c>
      <c r="Q22" s="91">
        <f>'energy consumption'!AF6</f>
        <v>5.9928571476514276E-5</v>
      </c>
      <c r="R22" s="91">
        <f>'energy consumption'!AG6</f>
        <v>8.6309523878571413E-5</v>
      </c>
      <c r="S22" s="91">
        <f>'energy consumption'!AH6</f>
        <v>1.5447321440929283E-6</v>
      </c>
      <c r="T22" s="91">
        <f>'energy consumption'!AI6</f>
        <v>9.5270833409549991E-6</v>
      </c>
      <c r="U22" s="91">
        <f>'energy consumption'!AJ6</f>
        <v>2.3864880971472853E-6</v>
      </c>
      <c r="V22" s="91">
        <f>'energy consumption'!AK6</f>
        <v>5.8375000046699988E-4</v>
      </c>
      <c r="W22" s="91">
        <f>'energy consumption'!AL6</f>
        <v>1.8000595252495712E-3</v>
      </c>
      <c r="X22" s="91">
        <f>'energy consumption'!AM6</f>
        <v>1.0601488103719283E-3</v>
      </c>
      <c r="Y22" s="38"/>
    </row>
    <row r="23" spans="1:25">
      <c r="A23" s="91" t="str">
        <f>'energy consumption'!H7</f>
        <v>PL 2nd-step slot-die coating</v>
      </c>
      <c r="B23" s="91">
        <f>'energy consumption'!I7</f>
        <v>2.1128571445474281E-2</v>
      </c>
      <c r="C23" s="91">
        <f>'energy consumption'!R7</f>
        <v>0.37177389089860957</v>
      </c>
      <c r="D23" s="91">
        <f>'energy consumption'!S7</f>
        <v>2.4189583352684997E-5</v>
      </c>
      <c r="E23" s="91">
        <f>'energy consumption'!T7</f>
        <v>1.9940178587380709E-2</v>
      </c>
      <c r="F23" s="91">
        <f>'energy consumption'!U7</f>
        <v>8.806547626092856E-3</v>
      </c>
      <c r="G23" s="91">
        <f>'energy consumption'!V7</f>
        <v>7.5922619108357133E-5</v>
      </c>
      <c r="H23" s="91">
        <f>'energy consumption'!W7</f>
        <v>3.7050595267735709E-7</v>
      </c>
      <c r="I23" s="91">
        <f>'energy consumption'!X7</f>
        <v>0.15531250012424996</v>
      </c>
      <c r="J23" s="91">
        <f>'energy consumption'!Y7</f>
        <v>1.2568452391007142E-4</v>
      </c>
      <c r="K23" s="91">
        <f>'energy consumption'!Z7</f>
        <v>4.6708333370699989E-2</v>
      </c>
      <c r="L23" s="91">
        <f>'energy consumption'!AA7</f>
        <v>1.8296130967017852E-5</v>
      </c>
      <c r="M23" s="91">
        <f>'energy consumption'!AB7</f>
        <v>8.9255952452357121E-5</v>
      </c>
      <c r="N23" s="91">
        <f>'energy consumption'!AC7</f>
        <v>3.2842261931035708E-6</v>
      </c>
      <c r="O23" s="91">
        <f>'energy consumption'!AD7</f>
        <v>1.7647023823641425E-9</v>
      </c>
      <c r="P23" s="91">
        <f>'energy consumption'!AE7</f>
        <v>2.2280357160681425E-5</v>
      </c>
      <c r="Q23" s="91">
        <f>'energy consumption'!AF7</f>
        <v>5.9928571476514276E-5</v>
      </c>
      <c r="R23" s="91">
        <f>'energy consumption'!AG7</f>
        <v>8.6309523878571413E-5</v>
      </c>
      <c r="S23" s="91">
        <f>'energy consumption'!AH7</f>
        <v>1.5447321440929283E-6</v>
      </c>
      <c r="T23" s="91">
        <f>'energy consumption'!AI7</f>
        <v>9.5270833409549991E-6</v>
      </c>
      <c r="U23" s="91">
        <f>'energy consumption'!AJ7</f>
        <v>2.3864880971472853E-6</v>
      </c>
      <c r="V23" s="91">
        <f>'energy consumption'!AK7</f>
        <v>5.8375000046699988E-4</v>
      </c>
      <c r="W23" s="91">
        <f>'energy consumption'!AL7</f>
        <v>1.8000595252495712E-3</v>
      </c>
      <c r="X23" s="91">
        <f>'energy consumption'!AM7</f>
        <v>1.0601488103719283E-3</v>
      </c>
      <c r="Y23" s="38"/>
    </row>
    <row r="24" spans="1:25">
      <c r="A24" s="91" t="str">
        <f>'energy consumption'!H8</f>
        <v>PL 1st-step drying</v>
      </c>
      <c r="B24" s="91">
        <f>'energy consumption'!I8</f>
        <v>3.0425142881482961</v>
      </c>
      <c r="C24" s="91">
        <f>'energy consumption'!R8</f>
        <v>53.535440289399773</v>
      </c>
      <c r="D24" s="91">
        <f>'energy consumption'!S8</f>
        <v>3.4833000027866389E-3</v>
      </c>
      <c r="E24" s="91">
        <f>'energy consumption'!T8</f>
        <v>2.871385716582822</v>
      </c>
      <c r="F24" s="91">
        <f>'energy consumption'!U8</f>
        <v>1.268142858157371</v>
      </c>
      <c r="G24" s="91">
        <f>'energy consumption'!V8</f>
        <v>1.0932857151603425E-2</v>
      </c>
      <c r="H24" s="91">
        <f>'energy consumption'!W8</f>
        <v>5.3352857185539414E-5</v>
      </c>
      <c r="I24" s="91">
        <f>'energy consumption'!X8</f>
        <v>22.365000017891994</v>
      </c>
      <c r="J24" s="91">
        <f>'energy consumption'!Y8</f>
        <v>1.8098571443050281E-2</v>
      </c>
      <c r="K24" s="91">
        <f>'energy consumption'!Z8</f>
        <v>6.726000005380798</v>
      </c>
      <c r="L24" s="91">
        <f>'energy consumption'!AA8</f>
        <v>2.6346428592505704E-3</v>
      </c>
      <c r="M24" s="91">
        <f>'energy consumption'!AB8</f>
        <v>1.2852857153139425E-2</v>
      </c>
      <c r="N24" s="91">
        <f>'energy consumption'!AC8</f>
        <v>4.7292857180691416E-4</v>
      </c>
      <c r="O24" s="91">
        <f>'energy consumption'!AD8</f>
        <v>2.541171430604365E-7</v>
      </c>
      <c r="P24" s="91">
        <f>'energy consumption'!AE8</f>
        <v>3.2083714311381246E-3</v>
      </c>
      <c r="Q24" s="91">
        <f>'energy consumption'!AF8</f>
        <v>8.6297142926180549E-3</v>
      </c>
      <c r="R24" s="91">
        <f>'energy consumption'!AG8</f>
        <v>1.2428571438514282E-2</v>
      </c>
      <c r="S24" s="91">
        <f>'energy consumption'!AH8</f>
        <v>2.2244142874938165E-4</v>
      </c>
      <c r="T24" s="91">
        <f>'energy consumption'!AI8</f>
        <v>1.3719000010975198E-3</v>
      </c>
      <c r="U24" s="91">
        <f>'energy consumption'!AJ8</f>
        <v>3.4365428598920903E-4</v>
      </c>
      <c r="V24" s="91">
        <f>'energy consumption'!AK8</f>
        <v>8.4060000067247967E-2</v>
      </c>
      <c r="W24" s="91">
        <f>'energy consumption'!AL8</f>
        <v>0.25920857163593819</v>
      </c>
      <c r="X24" s="91">
        <f>'energy consumption'!AM8</f>
        <v>0.15266142869355767</v>
      </c>
      <c r="Y24" s="38"/>
    </row>
    <row r="25" spans="1:25">
      <c r="A25" s="91" t="str">
        <f>'energy consumption'!H9</f>
        <v>PL 2nd-step drying</v>
      </c>
      <c r="B25" s="91">
        <f>'energy consumption'!I9</f>
        <v>4.5637714322224454</v>
      </c>
      <c r="C25" s="91">
        <f>'energy consumption'!R9</f>
        <v>80.303160434099667</v>
      </c>
      <c r="D25" s="91">
        <f>'energy consumption'!S9</f>
        <v>5.2249500041799592E-3</v>
      </c>
      <c r="E25" s="91">
        <f>'energy consumption'!T9</f>
        <v>4.3070785748742333</v>
      </c>
      <c r="F25" s="91">
        <f>'energy consumption'!U9</f>
        <v>1.9022142872360568</v>
      </c>
      <c r="G25" s="91">
        <f>'energy consumption'!V9</f>
        <v>1.6399285727405139E-2</v>
      </c>
      <c r="H25" s="91">
        <f>'energy consumption'!W9</f>
        <v>8.0029285778309141E-5</v>
      </c>
      <c r="I25" s="91">
        <f>'energy consumption'!X9</f>
        <v>33.547500026837994</v>
      </c>
      <c r="J25" s="91">
        <f>'energy consumption'!Y9</f>
        <v>2.7147857164575427E-2</v>
      </c>
      <c r="K25" s="91">
        <f>'energy consumption'!Z9</f>
        <v>10.089000008071197</v>
      </c>
      <c r="L25" s="91">
        <f>'energy consumption'!AA9</f>
        <v>3.951964288875856E-3</v>
      </c>
      <c r="M25" s="91">
        <f>'energy consumption'!AB9</f>
        <v>1.9279285729709141E-2</v>
      </c>
      <c r="N25" s="91">
        <f>'energy consumption'!AC9</f>
        <v>7.0939285771037136E-4</v>
      </c>
      <c r="O25" s="91">
        <f>'energy consumption'!AD9</f>
        <v>3.8117571459065481E-7</v>
      </c>
      <c r="P25" s="91">
        <f>'energy consumption'!AE9</f>
        <v>4.8125571467071875E-3</v>
      </c>
      <c r="Q25" s="91">
        <f>'energy consumption'!AF9</f>
        <v>1.2944571438927084E-2</v>
      </c>
      <c r="R25" s="91">
        <f>'energy consumption'!AG9</f>
        <v>1.8642857157771423E-2</v>
      </c>
      <c r="S25" s="91">
        <f>'energy consumption'!AH9</f>
        <v>3.3366214312407252E-4</v>
      </c>
      <c r="T25" s="91">
        <f>'energy consumption'!AI9</f>
        <v>2.0578500016462799E-3</v>
      </c>
      <c r="U25" s="91">
        <f>'energy consumption'!AJ9</f>
        <v>5.1548142898381357E-4</v>
      </c>
      <c r="V25" s="91">
        <f>'energy consumption'!AK9</f>
        <v>0.12609000010087199</v>
      </c>
      <c r="W25" s="91">
        <f>'energy consumption'!AL9</f>
        <v>0.38881285745390737</v>
      </c>
      <c r="X25" s="91">
        <f>'energy consumption'!AM9</f>
        <v>0.22899214304033655</v>
      </c>
      <c r="Y25" s="38"/>
    </row>
    <row r="26" spans="1:25">
      <c r="A26" s="91" t="str">
        <f>'energy consumption'!H10</f>
        <v>PL annealing</v>
      </c>
      <c r="B26" s="91">
        <f>'energy consumption'!I10</f>
        <v>3.0425142881482961</v>
      </c>
      <c r="C26" s="91">
        <f>'energy consumption'!R10</f>
        <v>53.535440289399773</v>
      </c>
      <c r="D26" s="91">
        <f>'energy consumption'!S10</f>
        <v>3.4833000027866389E-3</v>
      </c>
      <c r="E26" s="91">
        <f>'energy consumption'!T10</f>
        <v>2.871385716582822</v>
      </c>
      <c r="F26" s="91">
        <f>'energy consumption'!U10</f>
        <v>1.268142858157371</v>
      </c>
      <c r="G26" s="91">
        <f>'energy consumption'!V10</f>
        <v>1.0932857151603425E-2</v>
      </c>
      <c r="H26" s="91">
        <f>'energy consumption'!W10</f>
        <v>5.3352857185539414E-5</v>
      </c>
      <c r="I26" s="91">
        <f>'energy consumption'!X10</f>
        <v>22.365000017891994</v>
      </c>
      <c r="J26" s="91">
        <f>'energy consumption'!Y10</f>
        <v>1.8098571443050281E-2</v>
      </c>
      <c r="K26" s="91">
        <f>'energy consumption'!Z10</f>
        <v>6.726000005380798</v>
      </c>
      <c r="L26" s="91">
        <f>'energy consumption'!AA10</f>
        <v>2.6346428592505704E-3</v>
      </c>
      <c r="M26" s="91">
        <f>'energy consumption'!AB10</f>
        <v>1.2852857153139425E-2</v>
      </c>
      <c r="N26" s="91">
        <f>'energy consumption'!AC10</f>
        <v>4.7292857180691416E-4</v>
      </c>
      <c r="O26" s="91">
        <f>'energy consumption'!AD10</f>
        <v>2.541171430604365E-7</v>
      </c>
      <c r="P26" s="91">
        <f>'energy consumption'!AE10</f>
        <v>3.2083714311381246E-3</v>
      </c>
      <c r="Q26" s="91">
        <f>'energy consumption'!AF10</f>
        <v>8.6297142926180549E-3</v>
      </c>
      <c r="R26" s="91">
        <f>'energy consumption'!AG10</f>
        <v>1.2428571438514282E-2</v>
      </c>
      <c r="S26" s="91">
        <f>'energy consumption'!AH10</f>
        <v>2.2244142874938165E-4</v>
      </c>
      <c r="T26" s="91">
        <f>'energy consumption'!AI10</f>
        <v>1.3719000010975198E-3</v>
      </c>
      <c r="U26" s="91">
        <f>'energy consumption'!AJ10</f>
        <v>3.4365428598920903E-4</v>
      </c>
      <c r="V26" s="91">
        <f>'energy consumption'!AK10</f>
        <v>8.4060000067247967E-2</v>
      </c>
      <c r="W26" s="91">
        <f>'energy consumption'!AL10</f>
        <v>0.25920857163593819</v>
      </c>
      <c r="X26" s="91">
        <f>'energy consumption'!AM10</f>
        <v>0.15266142869355767</v>
      </c>
      <c r="Y26" s="38"/>
    </row>
    <row r="27" spans="1:25">
      <c r="A27" s="91" t="str">
        <f>'energy consumption'!H11</f>
        <v>HTL slot-die coating</v>
      </c>
      <c r="B27" s="91">
        <f>'energy consumption'!I11</f>
        <v>9.8600000078879993E-2</v>
      </c>
      <c r="C27" s="91">
        <f>'energy consumption'!R11</f>
        <v>1.7349448241935115</v>
      </c>
      <c r="D27" s="91">
        <f>'energy consumption'!S11</f>
        <v>1.1288472231252999E-4</v>
      </c>
      <c r="E27" s="91">
        <f>'energy consumption'!T11</f>
        <v>9.3054166741109987E-2</v>
      </c>
      <c r="F27" s="91">
        <f>'energy consumption'!U11</f>
        <v>4.1097222255099992E-2</v>
      </c>
      <c r="G27" s="91">
        <f>'energy consumption'!V11</f>
        <v>3.5430555583899995E-4</v>
      </c>
      <c r="H27" s="91">
        <f>'energy consumption'!W11</f>
        <v>1.729027779161E-6</v>
      </c>
      <c r="I27" s="91">
        <f>'energy consumption'!X11</f>
        <v>0.7247916672464999</v>
      </c>
      <c r="J27" s="91">
        <f>'energy consumption'!Y11</f>
        <v>5.8652777824699993E-4</v>
      </c>
      <c r="K27" s="91">
        <f>'energy consumption'!Z11</f>
        <v>0.21797222239659997</v>
      </c>
      <c r="L27" s="91">
        <f>'energy consumption'!AA11</f>
        <v>8.5381944512749982E-5</v>
      </c>
      <c r="M27" s="91">
        <f>'energy consumption'!AB11</f>
        <v>4.1652777811099993E-4</v>
      </c>
      <c r="N27" s="91">
        <f>'energy consumption'!AC11</f>
        <v>1.5326388901149997E-5</v>
      </c>
      <c r="O27" s="91">
        <f>'energy consumption'!AD11</f>
        <v>8.2352777843660001E-9</v>
      </c>
      <c r="P27" s="91">
        <f>'energy consumption'!AE11</f>
        <v>1.0397500008317998E-4</v>
      </c>
      <c r="Q27" s="91">
        <f>'energy consumption'!AF11</f>
        <v>2.7966666689039997E-4</v>
      </c>
      <c r="R27" s="91">
        <f>'energy consumption'!AG11</f>
        <v>4.0277777809999996E-4</v>
      </c>
      <c r="S27" s="91">
        <f>'energy consumption'!AH11</f>
        <v>7.2087500057669995E-6</v>
      </c>
      <c r="T27" s="91">
        <f>'energy consumption'!AI11</f>
        <v>4.4459722257790003E-5</v>
      </c>
      <c r="U27" s="91">
        <f>'energy consumption'!AJ11</f>
        <v>1.1136944453353999E-5</v>
      </c>
      <c r="V27" s="91">
        <f>'energy consumption'!AK11</f>
        <v>2.7241666688459995E-3</v>
      </c>
      <c r="W27" s="91">
        <f>'energy consumption'!AL11</f>
        <v>8.4002777844979989E-3</v>
      </c>
      <c r="X27" s="91">
        <f>'energy consumption'!AM11</f>
        <v>4.9473611150689994E-3</v>
      </c>
      <c r="Y27" s="38"/>
    </row>
    <row r="28" spans="1:25">
      <c r="A28" s="91" t="str">
        <f>'energy consumption'!H12</f>
        <v>Electrode sputtering</v>
      </c>
      <c r="B28" s="91">
        <f>'energy consumption'!I12</f>
        <v>5.5216000044172793</v>
      </c>
      <c r="C28" s="91">
        <f>'energy consumption'!R12</f>
        <v>97.156910154836652</v>
      </c>
      <c r="D28" s="91">
        <f>'energy consumption'!S12</f>
        <v>6.3215444495016799E-3</v>
      </c>
      <c r="E28" s="91">
        <f>'energy consumption'!T12</f>
        <v>5.2110333375021591</v>
      </c>
      <c r="F28" s="91">
        <f>'energy consumption'!U12</f>
        <v>2.3014444462855996</v>
      </c>
      <c r="G28" s="91">
        <f>'energy consumption'!V12</f>
        <v>1.9841111126983998E-2</v>
      </c>
      <c r="H28" s="91">
        <f>'energy consumption'!W12</f>
        <v>9.6825555633015992E-5</v>
      </c>
      <c r="I28" s="91">
        <f>'energy consumption'!X12</f>
        <v>40.588333365803997</v>
      </c>
      <c r="J28" s="91">
        <f>'energy consumption'!Y12</f>
        <v>3.2845555581831998E-2</v>
      </c>
      <c r="K28" s="91">
        <f>'energy consumption'!Z12</f>
        <v>12.206444454209599</v>
      </c>
      <c r="L28" s="91">
        <f>'energy consumption'!AA12</f>
        <v>4.7813888927139992E-3</v>
      </c>
      <c r="M28" s="91">
        <f>'energy consumption'!AB12</f>
        <v>2.3325555574215999E-2</v>
      </c>
      <c r="N28" s="91">
        <f>'energy consumption'!AC12</f>
        <v>8.5827777846439999E-4</v>
      </c>
      <c r="O28" s="91">
        <f>'energy consumption'!AD12</f>
        <v>4.6117555592449599E-7</v>
      </c>
      <c r="P28" s="91">
        <f>'energy consumption'!AE12</f>
        <v>5.8226000046580793E-3</v>
      </c>
      <c r="Q28" s="91">
        <f>'energy consumption'!AF12</f>
        <v>1.5661333345862397E-2</v>
      </c>
      <c r="R28" s="91">
        <f>'energy consumption'!AG12</f>
        <v>2.2555555573599999E-2</v>
      </c>
      <c r="S28" s="91">
        <f>'energy consumption'!AH12</f>
        <v>4.0369000032295196E-4</v>
      </c>
      <c r="T28" s="91">
        <f>'energy consumption'!AI12</f>
        <v>2.4897444464362399E-3</v>
      </c>
      <c r="U28" s="91">
        <f>'energy consumption'!AJ12</f>
        <v>6.2366888938782388E-4</v>
      </c>
      <c r="V28" s="91">
        <f>'energy consumption'!AK12</f>
        <v>0.152553333455376</v>
      </c>
      <c r="W28" s="91">
        <f>'energy consumption'!AL12</f>
        <v>0.470415555931888</v>
      </c>
      <c r="X28" s="91">
        <f>'energy consumption'!AM12</f>
        <v>0.27705222244386396</v>
      </c>
      <c r="Y28" s="38"/>
    </row>
    <row r="29" spans="1:25">
      <c r="A29" s="91" t="str">
        <f>'energy consumption'!H13</f>
        <v>Lamination</v>
      </c>
      <c r="B29" s="91">
        <f>'energy consumption'!I13</f>
        <v>8.8740000070991979E-3</v>
      </c>
      <c r="C29" s="91">
        <f>'energy consumption'!R13</f>
        <v>0.15614503417741601</v>
      </c>
      <c r="D29" s="91">
        <f>'energy consumption'!S13</f>
        <v>1.0159625008127698E-5</v>
      </c>
      <c r="E29" s="91">
        <f>'energy consumption'!T13</f>
        <v>8.374875006699898E-3</v>
      </c>
      <c r="F29" s="91">
        <f>'energy consumption'!U13</f>
        <v>3.6987500029589996E-3</v>
      </c>
      <c r="G29" s="91">
        <f>'energy consumption'!V13</f>
        <v>3.1887500025509992E-5</v>
      </c>
      <c r="H29" s="91">
        <f>'energy consumption'!W13</f>
        <v>1.5561250012448999E-7</v>
      </c>
      <c r="I29" s="91">
        <f>'energy consumption'!X13</f>
        <v>6.5231250052184983E-2</v>
      </c>
      <c r="J29" s="91">
        <f>'energy consumption'!Y13</f>
        <v>5.2787500042229995E-5</v>
      </c>
      <c r="K29" s="91">
        <f>'energy consumption'!Z13</f>
        <v>1.9617500015693994E-2</v>
      </c>
      <c r="L29" s="91">
        <f>'energy consumption'!AA13</f>
        <v>7.6843750061474979E-6</v>
      </c>
      <c r="M29" s="91">
        <f>'energy consumption'!AB13</f>
        <v>3.7487500029989991E-5</v>
      </c>
      <c r="N29" s="91">
        <f>'energy consumption'!AC13</f>
        <v>1.3793750011034997E-6</v>
      </c>
      <c r="O29" s="91">
        <f>'energy consumption'!AD13</f>
        <v>7.4117500059293989E-10</v>
      </c>
      <c r="P29" s="91">
        <f>'energy consumption'!AE13</f>
        <v>9.3577500074861978E-6</v>
      </c>
      <c r="Q29" s="91">
        <f>'energy consumption'!AF13</f>
        <v>2.5170000020135994E-5</v>
      </c>
      <c r="R29" s="91">
        <f>'energy consumption'!AG13</f>
        <v>3.6250000028999989E-5</v>
      </c>
      <c r="S29" s="91">
        <f>'energy consumption'!AH13</f>
        <v>6.4878750051902993E-7</v>
      </c>
      <c r="T29" s="91">
        <f>'energy consumption'!AI13</f>
        <v>4.0013750032010996E-6</v>
      </c>
      <c r="U29" s="91">
        <f>'energy consumption'!AJ13</f>
        <v>1.0023250008018598E-6</v>
      </c>
      <c r="V29" s="91">
        <f>'energy consumption'!AK13</f>
        <v>2.4517500019613996E-4</v>
      </c>
      <c r="W29" s="91">
        <f>'energy consumption'!AL13</f>
        <v>7.5602500060481992E-4</v>
      </c>
      <c r="X29" s="91">
        <f>'energy consumption'!AM13</f>
        <v>4.4526250035620995E-4</v>
      </c>
      <c r="Y29" s="38"/>
    </row>
    <row r="30" spans="1:25">
      <c r="A30" s="92" t="s">
        <v>18</v>
      </c>
      <c r="B30">
        <f>'material inventory'!L20</f>
        <v>0</v>
      </c>
      <c r="C30">
        <f>'material inventory'!M20</f>
        <v>0</v>
      </c>
      <c r="D30">
        <f>'material inventory'!N20</f>
        <v>0</v>
      </c>
      <c r="E30">
        <f>'material inventory'!O20</f>
        <v>0</v>
      </c>
      <c r="F30">
        <f>'material inventory'!P20</f>
        <v>0</v>
      </c>
      <c r="G30">
        <f>'material inventory'!Q20</f>
        <v>2.8761011380081667E-2</v>
      </c>
      <c r="H30">
        <f>'material inventory'!R20</f>
        <v>0</v>
      </c>
      <c r="I30">
        <f>'material inventory'!S20</f>
        <v>4.3858442124377395E-2</v>
      </c>
      <c r="J30">
        <f>'material inventory'!T20</f>
        <v>0</v>
      </c>
      <c r="K30">
        <f>'material inventory'!U20</f>
        <v>65.577504360439931</v>
      </c>
      <c r="L30">
        <f>'material inventory'!V20</f>
        <v>0</v>
      </c>
      <c r="M30">
        <f>'material inventory'!W20</f>
        <v>0</v>
      </c>
      <c r="N30">
        <f>'material inventory'!X20</f>
        <v>0</v>
      </c>
      <c r="O30">
        <f>'material inventory'!Y20</f>
        <v>0</v>
      </c>
      <c r="P30">
        <f>'material inventory'!Z20</f>
        <v>0</v>
      </c>
      <c r="Q30">
        <f>'material inventory'!AA20</f>
        <v>2.0050884227609559E-3</v>
      </c>
      <c r="R30">
        <f>'material inventory'!AB20</f>
        <v>0</v>
      </c>
      <c r="S30">
        <f>'material inventory'!AC20</f>
        <v>0.3011390954760253</v>
      </c>
      <c r="T30">
        <f>'material inventory'!AD20</f>
        <v>0</v>
      </c>
      <c r="U30">
        <f>'material inventory'!AE20</f>
        <v>0</v>
      </c>
      <c r="V30">
        <f>'material inventory'!AF20</f>
        <v>8.2794118469419198E-2</v>
      </c>
      <c r="W30">
        <f>'material inventory'!AG20</f>
        <v>2.6163181429858452E-4</v>
      </c>
      <c r="X30">
        <f>'material inventory'!AH20</f>
        <v>0</v>
      </c>
    </row>
    <row r="31" spans="1:25" s="38" customFormat="1">
      <c r="A31" s="92" t="s">
        <v>89</v>
      </c>
      <c r="B31" s="38">
        <f>'material inventory'!L37</f>
        <v>1.2757696199999999E-4</v>
      </c>
      <c r="C31" s="38">
        <f>'material inventory'!M37</f>
        <v>1.0661210680980003E-3</v>
      </c>
      <c r="D31" s="38">
        <f>'material inventory'!N37</f>
        <v>4.5807721199999999E-6</v>
      </c>
      <c r="E31" s="38">
        <f>'material inventory'!O37</f>
        <v>1.1673294600000001E-4</v>
      </c>
      <c r="F31" s="38">
        <f>'material inventory'!P37</f>
        <v>2.0171209800000002E-5</v>
      </c>
      <c r="G31" s="38">
        <f>'material inventory'!Q37</f>
        <v>1.7836447800000002E-6</v>
      </c>
      <c r="H31" s="38">
        <f>'material inventory'!R37</f>
        <v>7.2485856000000006E-7</v>
      </c>
      <c r="I31" s="38">
        <f>'material inventory'!S37</f>
        <v>1.6467545400000001E-3</v>
      </c>
      <c r="J31" s="38">
        <f>'material inventory'!T37</f>
        <v>8.1773364000000004E-6</v>
      </c>
      <c r="K31" s="38">
        <f>'material inventory'!U37</f>
        <v>1.6016055E-3</v>
      </c>
      <c r="L31" s="38">
        <f>'material inventory'!V37</f>
        <v>6.7182390000000003E-6</v>
      </c>
      <c r="M31" s="38">
        <f>'material inventory'!W37</f>
        <v>9.001976400000002E-6</v>
      </c>
      <c r="N31" s="38">
        <f>'material inventory'!X37</f>
        <v>9.3617256000000016E-9</v>
      </c>
      <c r="O31" s="38">
        <f>'material inventory'!Y37</f>
        <v>9.4591362000000011E-12</v>
      </c>
      <c r="P31" s="38">
        <f>'material inventory'!Z37</f>
        <v>2.6064808800000005E-7</v>
      </c>
      <c r="Q31" s="38">
        <f>'material inventory'!AA37</f>
        <v>3.0646199400000004E-7</v>
      </c>
      <c r="R31" s="38">
        <f>'material inventory'!AB37</f>
        <v>5.3446980000000006E-7</v>
      </c>
      <c r="S31" s="38">
        <f>'material inventory'!AC37</f>
        <v>7.1202510000000002E-8</v>
      </c>
      <c r="T31" s="38">
        <f>'material inventory'!AD37</f>
        <v>1.2040259400000001E-6</v>
      </c>
      <c r="U31" s="38">
        <f>'material inventory'!AE37</f>
        <v>5.488494600000001E-7</v>
      </c>
      <c r="V31" s="38">
        <f>'material inventory'!AF37</f>
        <v>5.2287330000000007E-6</v>
      </c>
      <c r="W31" s="38">
        <f>'material inventory'!AG37</f>
        <v>1.58258724E-5</v>
      </c>
      <c r="X31" s="38">
        <f>'material inventory'!AH37</f>
        <v>2.8364008200000001E-6</v>
      </c>
    </row>
    <row r="32" spans="1:25">
      <c r="A32" s="92" t="s">
        <v>90</v>
      </c>
      <c r="B32">
        <f>'material inventory'!L42</f>
        <v>2.786107936702218E-2</v>
      </c>
      <c r="C32">
        <f>'material inventory'!M42</f>
        <v>0.89169456299091465</v>
      </c>
      <c r="D32">
        <f>'material inventory'!N42</f>
        <v>1.4404227840610886E-3</v>
      </c>
      <c r="E32">
        <f>'material inventory'!O42</f>
        <v>2.6219473905506673E-2</v>
      </c>
      <c r="F32">
        <f>'material inventory'!P42</f>
        <v>2.0784255322415762E-2</v>
      </c>
      <c r="G32">
        <f>'material inventory'!Q42</f>
        <v>1.282937518172191E-4</v>
      </c>
      <c r="H32">
        <f>'material inventory'!R42</f>
        <v>3.090141278511205E-6</v>
      </c>
      <c r="I32">
        <f>'material inventory'!S42</f>
        <v>0.19763964408424109</v>
      </c>
      <c r="J32">
        <f>'material inventory'!T42</f>
        <v>3.8128687377176726E-3</v>
      </c>
      <c r="K32">
        <f>'material inventory'!U42</f>
        <v>0.14018602034668395</v>
      </c>
      <c r="L32">
        <f>'material inventory'!V42</f>
        <v>8.8765823000370891E-5</v>
      </c>
      <c r="M32">
        <f>'material inventory'!W42</f>
        <v>1.0816007957886345E-3</v>
      </c>
      <c r="N32">
        <f>'material inventory'!X42</f>
        <v>-2.0439708164243439E-4</v>
      </c>
      <c r="O32">
        <f>'material inventory'!Y42</f>
        <v>9.7972574931860742E-9</v>
      </c>
      <c r="P32">
        <f>'material inventory'!Z42</f>
        <v>9.3777418028331914E-5</v>
      </c>
      <c r="Q32">
        <f>'material inventory'!AA42</f>
        <v>2.835761752194414E-4</v>
      </c>
      <c r="R32">
        <f>'material inventory'!AB42</f>
        <v>2.3723946053468711E-4</v>
      </c>
      <c r="S32">
        <f>'material inventory'!AC42</f>
        <v>2.8601008509982408E-5</v>
      </c>
      <c r="T32">
        <f>'material inventory'!AD42</f>
        <v>5.249337701930883E-3</v>
      </c>
      <c r="U32">
        <f>'material inventory'!AE42</f>
        <v>3.7909430094703429E-5</v>
      </c>
      <c r="V32">
        <f>'material inventory'!AF42</f>
        <v>2.134908672925563E-3</v>
      </c>
      <c r="W32">
        <f>'material inventory'!AG42</f>
        <v>2.4661052705725762E-3</v>
      </c>
      <c r="X32">
        <f>'material inventory'!AH42</f>
        <v>2.5425629037348096E-3</v>
      </c>
    </row>
    <row r="33" spans="2:24">
      <c r="B33">
        <f>SUM(B2:B32)</f>
        <v>51.129227179566847</v>
      </c>
      <c r="C33">
        <f t="shared" ref="C33:X33" si="0">SUM(C2:C32)</f>
        <v>926.50426119781741</v>
      </c>
      <c r="D33">
        <f t="shared" si="0"/>
        <v>6.2983850578674341</v>
      </c>
      <c r="E33">
        <f t="shared" si="0"/>
        <v>48.529283680365076</v>
      </c>
      <c r="F33">
        <f t="shared" si="0"/>
        <v>20.720305011292009</v>
      </c>
      <c r="G33">
        <f t="shared" si="0"/>
        <v>0.30910929978069945</v>
      </c>
      <c r="H33">
        <f t="shared" si="0"/>
        <v>3.3293708742811136E-3</v>
      </c>
      <c r="I33">
        <f t="shared" si="0"/>
        <v>498.49189192417418</v>
      </c>
      <c r="J33">
        <f t="shared" si="0"/>
        <v>0.56783411105073278</v>
      </c>
      <c r="K33">
        <f t="shared" si="0"/>
        <v>275.77141604043749</v>
      </c>
      <c r="L33">
        <f t="shared" si="0"/>
        <v>5.2023939056789606E-2</v>
      </c>
      <c r="M33">
        <f t="shared" si="0"/>
        <v>38.021330070329135</v>
      </c>
      <c r="N33">
        <f t="shared" si="0"/>
        <v>9.8383871073274738E-3</v>
      </c>
      <c r="O33">
        <f t="shared" si="0"/>
        <v>4.2286083500066412E-6</v>
      </c>
      <c r="P33">
        <f t="shared" si="0"/>
        <v>8.2707893037308688E-2</v>
      </c>
      <c r="Q33">
        <f t="shared" si="0"/>
        <v>0.18579568581256364</v>
      </c>
      <c r="R33">
        <f t="shared" si="0"/>
        <v>0.25880722773860876</v>
      </c>
      <c r="S33">
        <f t="shared" si="0"/>
        <v>0.31369933871126432</v>
      </c>
      <c r="T33">
        <f t="shared" si="0"/>
        <v>0.17960204372546085</v>
      </c>
      <c r="U33">
        <f t="shared" si="0"/>
        <v>1.9675569894278405E-2</v>
      </c>
      <c r="V33">
        <f t="shared" si="0"/>
        <v>1.9236437205086889</v>
      </c>
      <c r="W33">
        <f t="shared" si="0"/>
        <v>5.2471749287033811</v>
      </c>
      <c r="X33">
        <f t="shared" si="0"/>
        <v>4.2498400071113513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B0483-0759-45FB-8074-C0FB97186E45}">
  <dimension ref="A1:T15"/>
  <sheetViews>
    <sheetView workbookViewId="0">
      <selection activeCell="N12" sqref="N12"/>
    </sheetView>
  </sheetViews>
  <sheetFormatPr defaultRowHeight="15"/>
  <cols>
    <col min="1" max="1" width="26.85546875" customWidth="1"/>
    <col min="2" max="2" width="18.7109375" customWidth="1"/>
  </cols>
  <sheetData>
    <row r="1" spans="1:20">
      <c r="A1" t="s">
        <v>91</v>
      </c>
      <c r="B1" t="s">
        <v>92</v>
      </c>
      <c r="C1" t="s">
        <v>106</v>
      </c>
      <c r="F1" s="23">
        <f>22.1%*0.8</f>
        <v>0.17680000000000001</v>
      </c>
      <c r="H1" s="24"/>
      <c r="K1" s="107"/>
      <c r="L1" s="108"/>
      <c r="R1" t="s">
        <v>104</v>
      </c>
      <c r="T1" t="s">
        <v>123</v>
      </c>
    </row>
    <row r="2" spans="1:20">
      <c r="A2" t="s">
        <v>93</v>
      </c>
      <c r="B2" t="s">
        <v>94</v>
      </c>
      <c r="C2" s="11">
        <v>1700</v>
      </c>
      <c r="E2">
        <v>58.9</v>
      </c>
      <c r="Q2" t="s">
        <v>93</v>
      </c>
      <c r="R2" s="25">
        <v>-1.8890000000000001E-2</v>
      </c>
      <c r="S2" t="s">
        <v>93</v>
      </c>
      <c r="T2" s="25">
        <v>-1.452E-2</v>
      </c>
    </row>
    <row r="3" spans="1:20">
      <c r="A3" t="s">
        <v>95</v>
      </c>
      <c r="B3" t="s">
        <v>14</v>
      </c>
      <c r="C3" s="12">
        <v>0.75</v>
      </c>
      <c r="E3">
        <v>1.23</v>
      </c>
      <c r="Q3" t="s">
        <v>124</v>
      </c>
      <c r="R3" s="25">
        <v>-3.8580000000000003E-2</v>
      </c>
      <c r="S3" t="s">
        <v>124</v>
      </c>
      <c r="T3" s="25">
        <v>-3.0210000000000001E-2</v>
      </c>
    </row>
    <row r="4" spans="1:20">
      <c r="A4" t="s">
        <v>96</v>
      </c>
      <c r="B4" t="s">
        <v>14</v>
      </c>
      <c r="C4" s="13">
        <v>0.17680000000000001</v>
      </c>
      <c r="E4">
        <v>1.05</v>
      </c>
      <c r="Q4" t="s">
        <v>88</v>
      </c>
      <c r="R4" s="23">
        <v>0.18210000000000001</v>
      </c>
      <c r="S4" t="s">
        <v>87</v>
      </c>
      <c r="T4" s="23">
        <v>0.13739999999999999</v>
      </c>
    </row>
    <row r="5" spans="1:20">
      <c r="A5" t="s">
        <v>97</v>
      </c>
      <c r="B5" t="s">
        <v>98</v>
      </c>
      <c r="C5">
        <v>12.49</v>
      </c>
      <c r="Q5" t="s">
        <v>125</v>
      </c>
      <c r="R5" s="23">
        <v>-0.76039999999999996</v>
      </c>
      <c r="S5" t="s">
        <v>126</v>
      </c>
      <c r="T5" s="23">
        <v>-0.2535</v>
      </c>
    </row>
    <row r="6" spans="1:20">
      <c r="A6" t="s">
        <v>99</v>
      </c>
      <c r="B6" t="s">
        <v>100</v>
      </c>
      <c r="C6" s="11">
        <v>5</v>
      </c>
      <c r="E6">
        <v>1.1499999999999999</v>
      </c>
      <c r="S6" t="s">
        <v>125</v>
      </c>
      <c r="T6" s="23">
        <v>-0.56440000000000001</v>
      </c>
    </row>
    <row r="7" spans="1:20">
      <c r="A7" t="s">
        <v>101</v>
      </c>
      <c r="B7" t="s">
        <v>102</v>
      </c>
      <c r="C7" s="11">
        <v>926.50426119781741</v>
      </c>
      <c r="E7">
        <v>1.1100000000000001</v>
      </c>
    </row>
    <row r="8" spans="1:20">
      <c r="A8" t="s">
        <v>103</v>
      </c>
      <c r="C8" s="11">
        <v>51.129227179566847</v>
      </c>
      <c r="E8">
        <v>1.1100000000000001</v>
      </c>
    </row>
    <row r="9" spans="1:20">
      <c r="B9" t="s">
        <v>104</v>
      </c>
      <c r="C9" s="14">
        <f>C7/C5/C2/C4/C3</f>
        <v>0.32907321729899841</v>
      </c>
    </row>
    <row r="10" spans="1:20">
      <c r="B10" t="s">
        <v>105</v>
      </c>
      <c r="C10" s="14">
        <f>C8*1000/C2/C3/C4/C6</f>
        <v>45.363523360453243</v>
      </c>
    </row>
    <row r="12" spans="1:20">
      <c r="B12">
        <f>results!B33</f>
        <v>51.129227179566847</v>
      </c>
      <c r="C12">
        <f>results!C33</f>
        <v>926.50426119781741</v>
      </c>
    </row>
    <row r="15" spans="1:20">
      <c r="I15" s="8"/>
    </row>
  </sheetData>
  <mergeCells count="1">
    <mergeCell ref="K1:L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99005-6B47-4966-B2D9-A0C462459BB5}">
  <dimension ref="A1:Z39"/>
  <sheetViews>
    <sheetView workbookViewId="0">
      <selection activeCell="A21" sqref="A21"/>
    </sheetView>
  </sheetViews>
  <sheetFormatPr defaultRowHeight="15"/>
  <cols>
    <col min="1" max="2" width="24.140625" customWidth="1"/>
  </cols>
  <sheetData>
    <row r="1" spans="1:26">
      <c r="A1" s="1"/>
      <c r="B1" s="1"/>
      <c r="C1" s="15" t="s">
        <v>110</v>
      </c>
      <c r="D1" s="15" t="s">
        <v>111</v>
      </c>
      <c r="E1" s="15" t="s">
        <v>110</v>
      </c>
      <c r="F1" s="15" t="s">
        <v>111</v>
      </c>
      <c r="G1" s="15" t="s">
        <v>110</v>
      </c>
      <c r="H1" s="15" t="s">
        <v>111</v>
      </c>
      <c r="I1" s="15" t="s">
        <v>110</v>
      </c>
      <c r="J1" s="15" t="s">
        <v>111</v>
      </c>
      <c r="K1" s="16" t="s">
        <v>110</v>
      </c>
      <c r="L1" s="16" t="s">
        <v>111</v>
      </c>
      <c r="M1" s="16" t="s">
        <v>110</v>
      </c>
      <c r="N1" s="16" t="s">
        <v>111</v>
      </c>
      <c r="O1" s="16" t="s">
        <v>110</v>
      </c>
      <c r="P1" s="16" t="s">
        <v>111</v>
      </c>
      <c r="Q1" s="16" t="s">
        <v>110</v>
      </c>
      <c r="R1" s="16" t="s">
        <v>111</v>
      </c>
      <c r="S1" s="15" t="s">
        <v>110</v>
      </c>
      <c r="T1" s="15" t="s">
        <v>111</v>
      </c>
      <c r="U1" s="15" t="s">
        <v>110</v>
      </c>
      <c r="V1" s="15" t="s">
        <v>111</v>
      </c>
      <c r="W1" s="15" t="s">
        <v>110</v>
      </c>
      <c r="X1" s="15" t="s">
        <v>111</v>
      </c>
      <c r="Y1" s="15" t="s">
        <v>110</v>
      </c>
      <c r="Z1" s="15" t="s">
        <v>111</v>
      </c>
    </row>
    <row r="2" spans="1:26">
      <c r="A2" s="1"/>
      <c r="B2" s="1">
        <f>[9]results!B1</f>
        <v>0</v>
      </c>
      <c r="C2" s="17">
        <v>1</v>
      </c>
      <c r="D2" s="17">
        <v>1</v>
      </c>
      <c r="E2" s="17">
        <v>1</v>
      </c>
      <c r="F2" s="17">
        <v>0.9</v>
      </c>
      <c r="G2" s="17">
        <v>1</v>
      </c>
      <c r="H2" s="17">
        <v>0.8</v>
      </c>
      <c r="I2" s="17">
        <v>1</v>
      </c>
      <c r="J2" s="17">
        <v>0.7</v>
      </c>
      <c r="K2" s="18">
        <v>0.95</v>
      </c>
      <c r="L2" s="18">
        <v>1</v>
      </c>
      <c r="M2" s="18">
        <v>0.95</v>
      </c>
      <c r="N2" s="18">
        <v>0.9</v>
      </c>
      <c r="O2" s="18">
        <v>0.95</v>
      </c>
      <c r="P2" s="18">
        <v>0.8</v>
      </c>
      <c r="Q2" s="18">
        <v>0.95</v>
      </c>
      <c r="R2" s="18">
        <v>0.7</v>
      </c>
      <c r="S2" s="17">
        <v>0.9</v>
      </c>
      <c r="T2" s="17">
        <v>1</v>
      </c>
      <c r="U2" s="17">
        <v>0.9</v>
      </c>
      <c r="V2" s="17">
        <v>0.9</v>
      </c>
      <c r="W2" s="17">
        <v>0.9</v>
      </c>
      <c r="X2" s="17">
        <v>0.8</v>
      </c>
      <c r="Y2" s="17">
        <v>0.9</v>
      </c>
      <c r="Z2" s="17">
        <v>0.7</v>
      </c>
    </row>
    <row r="3" spans="1:26" s="8" customFormat="1">
      <c r="A3" s="19" t="str">
        <f>results!A2</f>
        <v>FTO glass</v>
      </c>
      <c r="B3" s="19">
        <f>results!B2</f>
        <v>3.4780676817599994</v>
      </c>
      <c r="C3" s="19">
        <f>$B3*(1-D$2)</f>
        <v>0</v>
      </c>
      <c r="D3" s="19"/>
      <c r="E3" s="19">
        <f>$B3*(1-F$2)</f>
        <v>0.34780676817599987</v>
      </c>
      <c r="F3" s="19"/>
      <c r="G3" s="19">
        <f>$B3*(1-H$2)</f>
        <v>0.69561353635199974</v>
      </c>
      <c r="H3" s="19"/>
      <c r="I3" s="19">
        <f>$B3*(1-J$2)</f>
        <v>1.0434203045279999</v>
      </c>
      <c r="J3" s="19"/>
      <c r="K3" s="19">
        <f>$B3*(1-L$2)</f>
        <v>0</v>
      </c>
      <c r="L3" s="19"/>
      <c r="M3" s="19">
        <f>$B3*(1-N$2)</f>
        <v>0.34780676817599987</v>
      </c>
      <c r="N3" s="19"/>
      <c r="O3" s="19">
        <f>$B3*(1-P$2)</f>
        <v>0.69561353635199974</v>
      </c>
      <c r="P3" s="19"/>
      <c r="Q3" s="19">
        <f>$B3*(1-R$2)</f>
        <v>1.0434203045279999</v>
      </c>
      <c r="R3" s="19"/>
      <c r="S3" s="19">
        <f>$B3*(1-T$2)</f>
        <v>0</v>
      </c>
      <c r="T3" s="19"/>
      <c r="U3" s="19">
        <f>$B3*(1-V$2)</f>
        <v>0.34780676817599987</v>
      </c>
      <c r="V3" s="19"/>
      <c r="W3" s="19">
        <f>$B3*(1-X$2)</f>
        <v>0.69561353635199974</v>
      </c>
      <c r="X3" s="19"/>
      <c r="Y3" s="19">
        <f>$B3*(1-Z$2)</f>
        <v>1.0434203045279999</v>
      </c>
      <c r="Z3" s="19"/>
    </row>
    <row r="4" spans="1:26" s="8" customFormat="1">
      <c r="A4" s="19" t="str">
        <f>results!A3</f>
        <v>BL-TiO₂ ink</v>
      </c>
      <c r="B4" s="19">
        <f>results!B3</f>
        <v>2.2765392121238102E-2</v>
      </c>
      <c r="C4" s="19">
        <f>$B4*(1-D$2)</f>
        <v>0</v>
      </c>
      <c r="D4" s="19"/>
      <c r="E4" s="19">
        <f>$B4*(1-F$2)</f>
        <v>2.2765392121238096E-3</v>
      </c>
      <c r="F4" s="19"/>
      <c r="G4" s="19">
        <f>$B4*(1-H$2)</f>
        <v>4.5530784242476191E-3</v>
      </c>
      <c r="H4" s="19"/>
      <c r="I4" s="19">
        <f>$B4*(1-J$2)</f>
        <v>6.8296176363714317E-3</v>
      </c>
      <c r="J4" s="19"/>
      <c r="K4" s="19">
        <f>$B4*(1-L$2)</f>
        <v>0</v>
      </c>
      <c r="L4" s="19"/>
      <c r="M4" s="19">
        <f>$B4*(1-N$2)</f>
        <v>2.2765392121238096E-3</v>
      </c>
      <c r="N4" s="19"/>
      <c r="O4" s="19">
        <f>$B4*(1-P$2)</f>
        <v>4.5530784242476191E-3</v>
      </c>
      <c r="P4" s="19"/>
      <c r="Q4" s="19">
        <f>$B4*(1-R$2)</f>
        <v>6.8296176363714317E-3</v>
      </c>
      <c r="R4" s="19"/>
      <c r="S4" s="19">
        <f>$B4*(1-T$2)</f>
        <v>0</v>
      </c>
      <c r="T4" s="19"/>
      <c r="U4" s="19">
        <f>$B4*(1-V$2)</f>
        <v>2.2765392121238096E-3</v>
      </c>
      <c r="V4" s="19"/>
      <c r="W4" s="19">
        <f>$B4*(1-X$2)</f>
        <v>4.5530784242476191E-3</v>
      </c>
      <c r="X4" s="19"/>
      <c r="Y4" s="19">
        <f>$B4*(1-Z$2)</f>
        <v>6.8296176363714317E-3</v>
      </c>
      <c r="Z4" s="19"/>
    </row>
    <row r="5" spans="1:26" s="8" customFormat="1">
      <c r="A5" s="19" t="str">
        <f>results!A4</f>
        <v>MP-TiO₂</v>
      </c>
      <c r="B5" s="19">
        <f>results!B4</f>
        <v>4.3640402400000004E-3</v>
      </c>
      <c r="C5" s="19">
        <f>$B5*(1-D$2)</f>
        <v>0</v>
      </c>
      <c r="D5" s="19"/>
      <c r="E5" s="19">
        <f>$B5*(1-F$2)</f>
        <v>4.3640402399999995E-4</v>
      </c>
      <c r="F5" s="19"/>
      <c r="G5" s="19">
        <f>$B5*(1-H$2)</f>
        <v>8.728080479999999E-4</v>
      </c>
      <c r="H5" s="19"/>
      <c r="I5" s="19">
        <f>$B5*(1-J$2)</f>
        <v>1.3092120720000003E-3</v>
      </c>
      <c r="J5" s="19"/>
      <c r="K5" s="19">
        <f>$B5*(1-L$2)</f>
        <v>0</v>
      </c>
      <c r="L5" s="19"/>
      <c r="M5" s="19">
        <f>$B5*(1-N$2)</f>
        <v>4.3640402399999995E-4</v>
      </c>
      <c r="N5" s="19"/>
      <c r="O5" s="19">
        <f>$B5*(1-P$2)</f>
        <v>8.728080479999999E-4</v>
      </c>
      <c r="P5" s="19"/>
      <c r="Q5" s="19">
        <f>$B5*(1-R$2)</f>
        <v>1.3092120720000003E-3</v>
      </c>
      <c r="R5" s="19"/>
      <c r="S5" s="19">
        <f>$B5*(1-T$2)</f>
        <v>0</v>
      </c>
      <c r="T5" s="19"/>
      <c r="U5" s="19">
        <f>$B5*(1-V$2)</f>
        <v>4.3640402399999995E-4</v>
      </c>
      <c r="V5" s="19"/>
      <c r="W5" s="19">
        <f>$B5*(1-X$2)</f>
        <v>8.728080479999999E-4</v>
      </c>
      <c r="X5" s="19"/>
      <c r="Y5" s="19">
        <f>$B5*(1-Z$2)</f>
        <v>1.3092120720000003E-3</v>
      </c>
      <c r="Z5" s="19"/>
    </row>
    <row r="6" spans="1:26" s="8" customFormat="1">
      <c r="A6" s="19" t="str">
        <f>results!A5</f>
        <v>2-methoxyethanol</v>
      </c>
      <c r="B6" s="19">
        <f>results!B5</f>
        <v>5.7271391279999995E-3</v>
      </c>
      <c r="C6" s="19">
        <f>$B6*(1-D$2)</f>
        <v>0</v>
      </c>
      <c r="D6" s="19"/>
      <c r="E6" s="19">
        <f>$B6*(1-F$2)</f>
        <v>5.7271391279999984E-4</v>
      </c>
      <c r="F6" s="19"/>
      <c r="G6" s="19">
        <f>$B6*(1-H$2)</f>
        <v>1.1454278255999997E-3</v>
      </c>
      <c r="H6" s="19"/>
      <c r="I6" s="19">
        <f>$B6*(1-J$2)</f>
        <v>1.7181417384000001E-3</v>
      </c>
      <c r="J6" s="19"/>
      <c r="K6" s="19">
        <f>$B6*(1-L$2)</f>
        <v>0</v>
      </c>
      <c r="L6" s="19"/>
      <c r="M6" s="19">
        <f>$B6*(1-N$2)</f>
        <v>5.7271391279999984E-4</v>
      </c>
      <c r="N6" s="19"/>
      <c r="O6" s="19">
        <f>$B6*(1-P$2)</f>
        <v>1.1454278255999997E-3</v>
      </c>
      <c r="P6" s="19"/>
      <c r="Q6" s="19">
        <f>$B6*(1-R$2)</f>
        <v>1.7181417384000001E-3</v>
      </c>
      <c r="R6" s="19"/>
      <c r="S6" s="19">
        <f>$B6*(1-T$2)</f>
        <v>0</v>
      </c>
      <c r="T6" s="19"/>
      <c r="U6" s="19">
        <f>$B6*(1-V$2)</f>
        <v>5.7271391279999984E-4</v>
      </c>
      <c r="V6" s="19"/>
      <c r="W6" s="19">
        <f>$B6*(1-X$2)</f>
        <v>1.1454278255999997E-3</v>
      </c>
      <c r="X6" s="19"/>
      <c r="Y6" s="19">
        <f>$B6*(1-Z$2)</f>
        <v>1.7181417384000001E-3</v>
      </c>
      <c r="Z6" s="19"/>
    </row>
    <row r="7" spans="1:26">
      <c r="A7" s="1" t="str">
        <f>results!A6</f>
        <v>PbI₂</v>
      </c>
      <c r="B7" s="1">
        <f>results!B6</f>
        <v>3.5016340047384839E-3</v>
      </c>
      <c r="C7" s="1">
        <f>$B7</f>
        <v>3.5016340047384839E-3</v>
      </c>
      <c r="D7" s="1"/>
      <c r="E7" s="1">
        <f>$B7</f>
        <v>3.5016340047384839E-3</v>
      </c>
      <c r="F7" s="1"/>
      <c r="G7" s="1">
        <f>$B7</f>
        <v>3.5016340047384839E-3</v>
      </c>
      <c r="H7" s="1"/>
      <c r="I7" s="1">
        <f>$B7</f>
        <v>3.5016340047384839E-3</v>
      </c>
      <c r="J7" s="1"/>
      <c r="K7" s="1">
        <f>$B7</f>
        <v>3.5016340047384839E-3</v>
      </c>
      <c r="L7" s="1"/>
      <c r="M7" s="1">
        <f>$B7</f>
        <v>3.5016340047384839E-3</v>
      </c>
      <c r="N7" s="1"/>
      <c r="O7" s="1">
        <f>$B7</f>
        <v>3.5016340047384839E-3</v>
      </c>
      <c r="P7" s="1"/>
      <c r="Q7" s="1">
        <f>$B7</f>
        <v>3.5016340047384839E-3</v>
      </c>
      <c r="R7" s="1"/>
      <c r="S7" s="1">
        <f>$B7</f>
        <v>3.5016340047384839E-3</v>
      </c>
      <c r="T7" s="1"/>
      <c r="U7" s="1">
        <f>$B7</f>
        <v>3.5016340047384839E-3</v>
      </c>
      <c r="V7" s="1"/>
      <c r="W7" s="1">
        <f>$B7</f>
        <v>3.5016340047384839E-3</v>
      </c>
      <c r="X7" s="1"/>
      <c r="Y7" s="1">
        <f>$B7</f>
        <v>3.5016340047384839E-3</v>
      </c>
      <c r="Z7" s="1"/>
    </row>
    <row r="8" spans="1:26">
      <c r="A8" s="1" t="str">
        <f>results!A7</f>
        <v>PbBr₂</v>
      </c>
      <c r="B8" s="1">
        <f>results!B7</f>
        <v>6.0294176243999574E-5</v>
      </c>
      <c r="C8" s="1">
        <f t="shared" ref="C8:Y17" si="0">$B8</f>
        <v>6.0294176243999574E-5</v>
      </c>
      <c r="D8" s="1"/>
      <c r="E8" s="1">
        <f t="shared" si="0"/>
        <v>6.0294176243999574E-5</v>
      </c>
      <c r="F8" s="1"/>
      <c r="G8" s="1">
        <f t="shared" si="0"/>
        <v>6.0294176243999574E-5</v>
      </c>
      <c r="H8" s="1"/>
      <c r="I8" s="1">
        <f t="shared" si="0"/>
        <v>6.0294176243999574E-5</v>
      </c>
      <c r="J8" s="1"/>
      <c r="K8" s="1">
        <f t="shared" si="0"/>
        <v>6.0294176243999574E-5</v>
      </c>
      <c r="L8" s="1"/>
      <c r="M8" s="1">
        <f t="shared" si="0"/>
        <v>6.0294176243999574E-5</v>
      </c>
      <c r="N8" s="1"/>
      <c r="O8" s="1">
        <f t="shared" si="0"/>
        <v>6.0294176243999574E-5</v>
      </c>
      <c r="P8" s="1"/>
      <c r="Q8" s="1">
        <f t="shared" si="0"/>
        <v>6.0294176243999574E-5</v>
      </c>
      <c r="R8" s="1"/>
      <c r="S8" s="1">
        <f t="shared" si="0"/>
        <v>6.0294176243999574E-5</v>
      </c>
      <c r="T8" s="1"/>
      <c r="U8" s="1">
        <f t="shared" si="0"/>
        <v>6.0294176243999574E-5</v>
      </c>
      <c r="V8" s="1"/>
      <c r="W8" s="1">
        <f t="shared" si="0"/>
        <v>6.0294176243999574E-5</v>
      </c>
      <c r="X8" s="1"/>
      <c r="Y8" s="1">
        <f t="shared" si="0"/>
        <v>6.0294176243999574E-5</v>
      </c>
      <c r="Z8" s="1"/>
    </row>
    <row r="9" spans="1:26">
      <c r="A9" s="1" t="str">
        <f>results!A8</f>
        <v>FAI</v>
      </c>
      <c r="B9" s="1">
        <f>results!B8</f>
        <v>2.0114480946874777E-2</v>
      </c>
      <c r="C9" s="1">
        <f t="shared" si="0"/>
        <v>2.0114480946874777E-2</v>
      </c>
      <c r="D9" s="1"/>
      <c r="E9" s="1">
        <f t="shared" si="0"/>
        <v>2.0114480946874777E-2</v>
      </c>
      <c r="F9" s="1"/>
      <c r="G9" s="1">
        <f t="shared" si="0"/>
        <v>2.0114480946874777E-2</v>
      </c>
      <c r="H9" s="1"/>
      <c r="I9" s="1">
        <f t="shared" si="0"/>
        <v>2.0114480946874777E-2</v>
      </c>
      <c r="J9" s="1"/>
      <c r="K9" s="1">
        <f t="shared" si="0"/>
        <v>2.0114480946874777E-2</v>
      </c>
      <c r="L9" s="1"/>
      <c r="M9" s="1">
        <f t="shared" si="0"/>
        <v>2.0114480946874777E-2</v>
      </c>
      <c r="N9" s="1"/>
      <c r="O9" s="1">
        <f t="shared" si="0"/>
        <v>2.0114480946874777E-2</v>
      </c>
      <c r="P9" s="1"/>
      <c r="Q9" s="1">
        <f t="shared" si="0"/>
        <v>2.0114480946874777E-2</v>
      </c>
      <c r="R9" s="1"/>
      <c r="S9" s="1">
        <f t="shared" si="0"/>
        <v>2.0114480946874777E-2</v>
      </c>
      <c r="T9" s="1"/>
      <c r="U9" s="1">
        <f t="shared" si="0"/>
        <v>2.0114480946874777E-2</v>
      </c>
      <c r="V9" s="1"/>
      <c r="W9" s="1">
        <f t="shared" si="0"/>
        <v>2.0114480946874777E-2</v>
      </c>
      <c r="X9" s="1"/>
      <c r="Y9" s="1">
        <f t="shared" si="0"/>
        <v>2.0114480946874777E-2</v>
      </c>
      <c r="Z9" s="1"/>
    </row>
    <row r="10" spans="1:26">
      <c r="A10" s="1" t="str">
        <f>results!A9</f>
        <v>MABr</v>
      </c>
      <c r="B10" s="1">
        <f>results!B9</f>
        <v>0.1114344024570799</v>
      </c>
      <c r="C10" s="1">
        <f t="shared" si="0"/>
        <v>0.1114344024570799</v>
      </c>
      <c r="D10" s="1"/>
      <c r="E10" s="1">
        <f t="shared" si="0"/>
        <v>0.1114344024570799</v>
      </c>
      <c r="F10" s="1"/>
      <c r="G10" s="1">
        <f t="shared" si="0"/>
        <v>0.1114344024570799</v>
      </c>
      <c r="H10" s="1"/>
      <c r="I10" s="1">
        <f t="shared" si="0"/>
        <v>0.1114344024570799</v>
      </c>
      <c r="J10" s="1"/>
      <c r="K10" s="1">
        <f t="shared" si="0"/>
        <v>0.1114344024570799</v>
      </c>
      <c r="L10" s="1"/>
      <c r="M10" s="1">
        <f t="shared" si="0"/>
        <v>0.1114344024570799</v>
      </c>
      <c r="N10" s="1"/>
      <c r="O10" s="1">
        <f t="shared" si="0"/>
        <v>0.1114344024570799</v>
      </c>
      <c r="P10" s="1"/>
      <c r="Q10" s="1">
        <f t="shared" si="0"/>
        <v>0.1114344024570799</v>
      </c>
      <c r="R10" s="1"/>
      <c r="S10" s="1">
        <f t="shared" si="0"/>
        <v>0.1114344024570799</v>
      </c>
      <c r="T10" s="1"/>
      <c r="U10" s="1">
        <f t="shared" si="0"/>
        <v>0.1114344024570799</v>
      </c>
      <c r="V10" s="1"/>
      <c r="W10" s="1">
        <f t="shared" si="0"/>
        <v>0.1114344024570799</v>
      </c>
      <c r="X10" s="1"/>
      <c r="Y10" s="1">
        <f t="shared" si="0"/>
        <v>0.1114344024570799</v>
      </c>
      <c r="Z10" s="1"/>
    </row>
    <row r="11" spans="1:26">
      <c r="A11" s="1" t="str">
        <f>results!A10</f>
        <v>DMF</v>
      </c>
      <c r="B11" s="1">
        <f>results!B10</f>
        <v>2.7778789137676346E-3</v>
      </c>
      <c r="C11" s="1">
        <f t="shared" si="0"/>
        <v>2.7778789137676346E-3</v>
      </c>
      <c r="D11" s="1"/>
      <c r="E11" s="1">
        <f t="shared" si="0"/>
        <v>2.7778789137676346E-3</v>
      </c>
      <c r="F11" s="1"/>
      <c r="G11" s="1">
        <f t="shared" si="0"/>
        <v>2.7778789137676346E-3</v>
      </c>
      <c r="H11" s="1"/>
      <c r="I11" s="1">
        <f t="shared" si="0"/>
        <v>2.7778789137676346E-3</v>
      </c>
      <c r="J11" s="1"/>
      <c r="K11" s="1">
        <f t="shared" si="0"/>
        <v>2.7778789137676346E-3</v>
      </c>
      <c r="L11" s="1"/>
      <c r="M11" s="1">
        <f t="shared" si="0"/>
        <v>2.7778789137676346E-3</v>
      </c>
      <c r="N11" s="1"/>
      <c r="O11" s="1">
        <f t="shared" si="0"/>
        <v>2.7778789137676346E-3</v>
      </c>
      <c r="P11" s="1"/>
      <c r="Q11" s="1">
        <f t="shared" si="0"/>
        <v>2.7778789137676346E-3</v>
      </c>
      <c r="R11" s="1"/>
      <c r="S11" s="1">
        <f t="shared" si="0"/>
        <v>2.7778789137676346E-3</v>
      </c>
      <c r="T11" s="1"/>
      <c r="U11" s="1">
        <f t="shared" si="0"/>
        <v>2.7778789137676346E-3</v>
      </c>
      <c r="V11" s="1"/>
      <c r="W11" s="1">
        <f t="shared" si="0"/>
        <v>2.7778789137676346E-3</v>
      </c>
      <c r="X11" s="1"/>
      <c r="Y11" s="1">
        <f t="shared" si="0"/>
        <v>2.7778789137676346E-3</v>
      </c>
      <c r="Z11" s="1"/>
    </row>
    <row r="12" spans="1:26">
      <c r="A12" s="1" t="str">
        <f>results!A11</f>
        <v>DMSO</v>
      </c>
      <c r="B12" s="1">
        <f>results!B11</f>
        <v>3.5756612254426892E-4</v>
      </c>
      <c r="C12" s="1">
        <f t="shared" si="0"/>
        <v>3.5756612254426892E-4</v>
      </c>
      <c r="D12" s="1"/>
      <c r="E12" s="1">
        <f t="shared" si="0"/>
        <v>3.5756612254426892E-4</v>
      </c>
      <c r="F12" s="1"/>
      <c r="G12" s="1">
        <f t="shared" si="0"/>
        <v>3.5756612254426892E-4</v>
      </c>
      <c r="H12" s="1"/>
      <c r="I12" s="1">
        <f t="shared" si="0"/>
        <v>3.5756612254426892E-4</v>
      </c>
      <c r="J12" s="1"/>
      <c r="K12" s="1">
        <f t="shared" si="0"/>
        <v>3.5756612254426892E-4</v>
      </c>
      <c r="L12" s="1"/>
      <c r="M12" s="1">
        <f t="shared" si="0"/>
        <v>3.5756612254426892E-4</v>
      </c>
      <c r="N12" s="1"/>
      <c r="O12" s="1">
        <f t="shared" si="0"/>
        <v>3.5756612254426892E-4</v>
      </c>
      <c r="P12" s="1"/>
      <c r="Q12" s="1">
        <f t="shared" si="0"/>
        <v>3.5756612254426892E-4</v>
      </c>
      <c r="R12" s="1"/>
      <c r="S12" s="1">
        <f t="shared" si="0"/>
        <v>3.5756612254426892E-4</v>
      </c>
      <c r="T12" s="1"/>
      <c r="U12" s="1">
        <f t="shared" si="0"/>
        <v>3.5756612254426892E-4</v>
      </c>
      <c r="V12" s="1"/>
      <c r="W12" s="1">
        <f t="shared" si="0"/>
        <v>3.5756612254426892E-4</v>
      </c>
      <c r="X12" s="1"/>
      <c r="Y12" s="1">
        <f t="shared" si="0"/>
        <v>3.5756612254426892E-4</v>
      </c>
      <c r="Z12" s="1"/>
    </row>
    <row r="13" spans="1:26">
      <c r="A13" s="1" t="str">
        <f>results!A12</f>
        <v>Isopropanol</v>
      </c>
      <c r="B13" s="1">
        <f>results!B12</f>
        <v>9.8536232918946171E-2</v>
      </c>
      <c r="C13" s="1">
        <f t="shared" si="0"/>
        <v>9.8536232918946171E-2</v>
      </c>
      <c r="D13" s="1"/>
      <c r="E13" s="1">
        <f t="shared" si="0"/>
        <v>9.8536232918946171E-2</v>
      </c>
      <c r="F13" s="1"/>
      <c r="G13" s="1">
        <f t="shared" si="0"/>
        <v>9.8536232918946171E-2</v>
      </c>
      <c r="H13" s="1"/>
      <c r="I13" s="1">
        <f t="shared" si="0"/>
        <v>9.8536232918946171E-2</v>
      </c>
      <c r="J13" s="1"/>
      <c r="K13" s="1">
        <f t="shared" si="0"/>
        <v>9.8536232918946171E-2</v>
      </c>
      <c r="L13" s="1"/>
      <c r="M13" s="1">
        <f t="shared" si="0"/>
        <v>9.8536232918946171E-2</v>
      </c>
      <c r="N13" s="1"/>
      <c r="O13" s="1">
        <f t="shared" si="0"/>
        <v>9.8536232918946171E-2</v>
      </c>
      <c r="P13" s="1"/>
      <c r="Q13" s="1">
        <f t="shared" si="0"/>
        <v>9.8536232918946171E-2</v>
      </c>
      <c r="R13" s="1"/>
      <c r="S13" s="1">
        <f t="shared" si="0"/>
        <v>9.8536232918946171E-2</v>
      </c>
      <c r="T13" s="1"/>
      <c r="U13" s="1">
        <f t="shared" si="0"/>
        <v>9.8536232918946171E-2</v>
      </c>
      <c r="V13" s="1"/>
      <c r="W13" s="1">
        <f t="shared" si="0"/>
        <v>9.8536232918946171E-2</v>
      </c>
      <c r="X13" s="1"/>
      <c r="Y13" s="1">
        <f t="shared" si="0"/>
        <v>9.8536232918946171E-2</v>
      </c>
      <c r="Z13" s="1"/>
    </row>
    <row r="14" spans="1:26">
      <c r="A14" s="1" t="str">
        <f>results!A13</f>
        <v>PTAA solution</v>
      </c>
      <c r="B14" s="1">
        <f>results!B13</f>
        <v>4.2266595161539466E-2</v>
      </c>
      <c r="C14" s="1">
        <f t="shared" si="0"/>
        <v>4.2266595161539466E-2</v>
      </c>
      <c r="D14" s="1"/>
      <c r="E14" s="1">
        <f t="shared" si="0"/>
        <v>4.2266595161539466E-2</v>
      </c>
      <c r="F14" s="1"/>
      <c r="G14" s="1">
        <f t="shared" si="0"/>
        <v>4.2266595161539466E-2</v>
      </c>
      <c r="H14" s="1"/>
      <c r="I14" s="1">
        <f t="shared" si="0"/>
        <v>4.2266595161539466E-2</v>
      </c>
      <c r="J14" s="1"/>
      <c r="K14" s="1">
        <f t="shared" si="0"/>
        <v>4.2266595161539466E-2</v>
      </c>
      <c r="L14" s="1"/>
      <c r="M14" s="1">
        <f t="shared" si="0"/>
        <v>4.2266595161539466E-2</v>
      </c>
      <c r="N14" s="1"/>
      <c r="O14" s="1">
        <f t="shared" si="0"/>
        <v>4.2266595161539466E-2</v>
      </c>
      <c r="P14" s="1"/>
      <c r="Q14" s="1">
        <f t="shared" si="0"/>
        <v>4.2266595161539466E-2</v>
      </c>
      <c r="R14" s="1"/>
      <c r="S14" s="1">
        <f t="shared" si="0"/>
        <v>4.2266595161539466E-2</v>
      </c>
      <c r="T14" s="1"/>
      <c r="U14" s="1">
        <f t="shared" si="0"/>
        <v>4.2266595161539466E-2</v>
      </c>
      <c r="V14" s="1"/>
      <c r="W14" s="1">
        <f t="shared" si="0"/>
        <v>4.2266595161539466E-2</v>
      </c>
      <c r="X14" s="1"/>
      <c r="Y14" s="1">
        <f t="shared" si="0"/>
        <v>4.2266595161539466E-2</v>
      </c>
      <c r="Z14" s="1"/>
    </row>
    <row r="15" spans="1:26">
      <c r="A15" s="19" t="str">
        <f>results!A14</f>
        <v>Cu</v>
      </c>
      <c r="B15" s="1">
        <f>results!B14</f>
        <v>7.2295014400000001E-3</v>
      </c>
      <c r="C15" s="19">
        <f>$B15*(1-C$2)</f>
        <v>0</v>
      </c>
      <c r="D15" s="1"/>
      <c r="E15" s="19">
        <f>$B15*(1-E$2)</f>
        <v>0</v>
      </c>
      <c r="F15" s="1"/>
      <c r="G15" s="19">
        <f>$B15*(1-G$2)</f>
        <v>0</v>
      </c>
      <c r="H15" s="1"/>
      <c r="I15" s="19">
        <f>$B15*(1-I$2)</f>
        <v>0</v>
      </c>
      <c r="J15" s="1"/>
      <c r="K15" s="19">
        <f>$B15*(1-K$2)</f>
        <v>3.6147507200000035E-4</v>
      </c>
      <c r="L15" s="1"/>
      <c r="M15" s="19">
        <f>$B15*(1-M$2)</f>
        <v>3.6147507200000035E-4</v>
      </c>
      <c r="N15" s="1"/>
      <c r="O15" s="19">
        <f>$B15*(1-O$2)</f>
        <v>3.6147507200000035E-4</v>
      </c>
      <c r="P15" s="1"/>
      <c r="Q15" s="19">
        <f>$B15*(1-Q$2)</f>
        <v>3.6147507200000035E-4</v>
      </c>
      <c r="R15" s="1"/>
      <c r="S15" s="19">
        <f>$B15*(1-S$2)</f>
        <v>7.2295014399999984E-4</v>
      </c>
      <c r="T15" s="1"/>
      <c r="U15" s="19">
        <f>$B15*(1-U$2)</f>
        <v>7.2295014399999984E-4</v>
      </c>
      <c r="V15" s="1"/>
      <c r="W15" s="19">
        <f>$B15*(1-W$2)</f>
        <v>7.2295014399999984E-4</v>
      </c>
      <c r="X15" s="1"/>
      <c r="Y15" s="19">
        <f>$B15*(1-Y$2)</f>
        <v>7.2295014399999984E-4</v>
      </c>
      <c r="Z15" s="1"/>
    </row>
    <row r="16" spans="1:26">
      <c r="A16" s="1" t="str">
        <f>results!A15</f>
        <v>Ar</v>
      </c>
      <c r="B16" s="1">
        <f>results!B15</f>
        <v>0.29058656969696967</v>
      </c>
      <c r="C16" s="1">
        <f t="shared" si="0"/>
        <v>0.29058656969696967</v>
      </c>
      <c r="D16" s="1"/>
      <c r="E16" s="1">
        <f t="shared" si="0"/>
        <v>0.29058656969696967</v>
      </c>
      <c r="F16" s="1"/>
      <c r="G16" s="1">
        <f t="shared" si="0"/>
        <v>0.29058656969696967</v>
      </c>
      <c r="H16" s="1"/>
      <c r="I16" s="1">
        <f t="shared" si="0"/>
        <v>0.29058656969696967</v>
      </c>
      <c r="J16" s="1"/>
      <c r="K16" s="1">
        <f t="shared" si="0"/>
        <v>0.29058656969696967</v>
      </c>
      <c r="L16" s="1"/>
      <c r="M16" s="1">
        <f t="shared" si="0"/>
        <v>0.29058656969696967</v>
      </c>
      <c r="N16" s="1"/>
      <c r="O16" s="1">
        <f t="shared" si="0"/>
        <v>0.29058656969696967</v>
      </c>
      <c r="P16" s="1"/>
      <c r="Q16" s="1">
        <f t="shared" si="0"/>
        <v>0.29058656969696967</v>
      </c>
      <c r="R16" s="1"/>
      <c r="S16" s="1">
        <f t="shared" si="0"/>
        <v>0.29058656969696967</v>
      </c>
      <c r="T16" s="1"/>
      <c r="U16" s="1">
        <f t="shared" si="0"/>
        <v>0.29058656969696967</v>
      </c>
      <c r="V16" s="1"/>
      <c r="W16" s="1">
        <f t="shared" si="0"/>
        <v>0.29058656969696967</v>
      </c>
      <c r="X16" s="1"/>
      <c r="Y16" s="1">
        <f t="shared" si="0"/>
        <v>0.29058656969696967</v>
      </c>
      <c r="Z16" s="1"/>
    </row>
    <row r="17" spans="1:26">
      <c r="A17" s="1" t="str">
        <f>results!A16</f>
        <v>O₂</v>
      </c>
      <c r="B17" s="1">
        <f>results!B16</f>
        <v>1.2806957575757575E-4</v>
      </c>
      <c r="C17" s="1">
        <f t="shared" si="0"/>
        <v>1.2806957575757575E-4</v>
      </c>
      <c r="D17" s="1"/>
      <c r="E17" s="1">
        <f t="shared" si="0"/>
        <v>1.2806957575757575E-4</v>
      </c>
      <c r="F17" s="1"/>
      <c r="G17" s="1">
        <f t="shared" si="0"/>
        <v>1.2806957575757575E-4</v>
      </c>
      <c r="H17" s="1"/>
      <c r="I17" s="1">
        <f t="shared" si="0"/>
        <v>1.2806957575757575E-4</v>
      </c>
      <c r="J17" s="1"/>
      <c r="K17" s="1">
        <f t="shared" si="0"/>
        <v>1.2806957575757575E-4</v>
      </c>
      <c r="L17" s="1"/>
      <c r="M17" s="1">
        <f t="shared" si="0"/>
        <v>1.2806957575757575E-4</v>
      </c>
      <c r="N17" s="1"/>
      <c r="O17" s="1">
        <f t="shared" si="0"/>
        <v>1.2806957575757575E-4</v>
      </c>
      <c r="P17" s="1"/>
      <c r="Q17" s="1">
        <f t="shared" si="0"/>
        <v>1.2806957575757575E-4</v>
      </c>
      <c r="R17" s="1"/>
      <c r="S17" s="1">
        <f t="shared" si="0"/>
        <v>1.2806957575757575E-4</v>
      </c>
      <c r="T17" s="1"/>
      <c r="U17" s="1">
        <f t="shared" si="0"/>
        <v>1.2806957575757575E-4</v>
      </c>
      <c r="V17" s="1"/>
      <c r="W17" s="1">
        <f t="shared" si="0"/>
        <v>1.2806957575757575E-4</v>
      </c>
      <c r="X17" s="1"/>
      <c r="Y17" s="1">
        <f t="shared" si="0"/>
        <v>1.2806957575757575E-4</v>
      </c>
      <c r="Z17" s="1"/>
    </row>
    <row r="18" spans="1:26" s="8" customFormat="1">
      <c r="A18" s="19" t="str">
        <f>results!A19</f>
        <v>Spray pyrolysis</v>
      </c>
      <c r="B18" s="19">
        <f>results!B19</f>
        <v>4.0717716608465655E-4</v>
      </c>
      <c r="C18" s="19">
        <f>$B18*(1-D$2)</f>
        <v>0</v>
      </c>
      <c r="D18" s="19"/>
      <c r="E18" s="19">
        <f>$B18*(1-F$2)</f>
        <v>4.0717716608465645E-5</v>
      </c>
      <c r="F18" s="19"/>
      <c r="G18" s="19">
        <f>$B18*(1-H$2)</f>
        <v>8.1435433216931291E-5</v>
      </c>
      <c r="H18" s="19"/>
      <c r="I18" s="19">
        <f>$B18*(1-J$2)</f>
        <v>1.2215314982539697E-4</v>
      </c>
      <c r="J18" s="19"/>
      <c r="K18" s="19">
        <f>$B18*(1-L$2)</f>
        <v>0</v>
      </c>
      <c r="L18" s="19"/>
      <c r="M18" s="19">
        <f>$B18*(1-N$2)</f>
        <v>4.0717716608465645E-5</v>
      </c>
      <c r="N18" s="19"/>
      <c r="O18" s="19">
        <f>$B18*(1-P$2)</f>
        <v>8.1435433216931291E-5</v>
      </c>
      <c r="P18" s="19"/>
      <c r="Q18" s="19">
        <f>$B18*(1-R$2)</f>
        <v>1.2215314982539697E-4</v>
      </c>
      <c r="R18" s="19"/>
      <c r="S18" s="19">
        <f>$B18*(1-T$2)</f>
        <v>0</v>
      </c>
      <c r="T18" s="19"/>
      <c r="U18" s="19">
        <f>$B18*(1-V$2)</f>
        <v>4.0717716608465645E-5</v>
      </c>
      <c r="V18" s="19"/>
      <c r="W18" s="19">
        <f>$B18*(1-X$2)</f>
        <v>8.1435433216931291E-5</v>
      </c>
      <c r="X18" s="19"/>
      <c r="Y18" s="19">
        <f>$B18*(1-Z$2)</f>
        <v>1.2215314982539697E-4</v>
      </c>
      <c r="Z18" s="19"/>
    </row>
    <row r="19" spans="1:26" s="8" customFormat="1">
      <c r="A19" s="19" t="str">
        <f>results!A20</f>
        <v>ETL slot-die coating</v>
      </c>
      <c r="B19" s="19">
        <f>results!B20</f>
        <v>1.4790000011831998E-2</v>
      </c>
      <c r="C19" s="19">
        <f>$B19*(1-D$2)</f>
        <v>0</v>
      </c>
      <c r="D19" s="19"/>
      <c r="E19" s="19">
        <f>$B19*(1-F$2)</f>
        <v>1.4790000011831994E-3</v>
      </c>
      <c r="F19" s="19"/>
      <c r="G19" s="19">
        <f>$B19*(1-H$2)</f>
        <v>2.9580000023663989E-3</v>
      </c>
      <c r="H19" s="19"/>
      <c r="I19" s="19">
        <f>$B19*(1-J$2)</f>
        <v>4.4370000035495998E-3</v>
      </c>
      <c r="J19" s="19"/>
      <c r="K19" s="19">
        <f>$B19*(1-L$2)</f>
        <v>0</v>
      </c>
      <c r="L19" s="19"/>
      <c r="M19" s="19">
        <f>$B19*(1-N$2)</f>
        <v>1.4790000011831994E-3</v>
      </c>
      <c r="N19" s="19"/>
      <c r="O19" s="19">
        <f>$B19*(1-P$2)</f>
        <v>2.9580000023663989E-3</v>
      </c>
      <c r="P19" s="19"/>
      <c r="Q19" s="19">
        <f>$B19*(1-R$2)</f>
        <v>4.4370000035495998E-3</v>
      </c>
      <c r="R19" s="19"/>
      <c r="S19" s="19">
        <f>$B19*(1-T$2)</f>
        <v>0</v>
      </c>
      <c r="T19" s="19"/>
      <c r="U19" s="19">
        <f>$B19*(1-V$2)</f>
        <v>1.4790000011831994E-3</v>
      </c>
      <c r="V19" s="19"/>
      <c r="W19" s="19">
        <f>$B19*(1-X$2)</f>
        <v>2.9580000023663989E-3</v>
      </c>
      <c r="X19" s="19"/>
      <c r="Y19" s="19">
        <f>$B19*(1-Z$2)</f>
        <v>4.4370000035495998E-3</v>
      </c>
      <c r="Z19" s="19"/>
    </row>
    <row r="20" spans="1:26" s="8" customFormat="1">
      <c r="A20" s="19" t="str">
        <f>results!A21</f>
        <v>ETL calcining</v>
      </c>
      <c r="B20" s="19">
        <f>results!B21</f>
        <v>30.425142881482966</v>
      </c>
      <c r="C20" s="19">
        <f>$B20*(1-D$2)</f>
        <v>0</v>
      </c>
      <c r="D20" s="19"/>
      <c r="E20" s="19">
        <f>$B20*(1-F$2)</f>
        <v>3.0425142881482961</v>
      </c>
      <c r="F20" s="19"/>
      <c r="G20" s="19">
        <f>$B20*(1-H$2)</f>
        <v>6.0850285762965921</v>
      </c>
      <c r="H20" s="19"/>
      <c r="I20" s="19">
        <f>$B20*(1-J$2)</f>
        <v>9.1275428644448908</v>
      </c>
      <c r="J20" s="19"/>
      <c r="K20" s="19">
        <f>$B20*(1-L$2)</f>
        <v>0</v>
      </c>
      <c r="L20" s="19"/>
      <c r="M20" s="19">
        <f>$B20*(1-N$2)</f>
        <v>3.0425142881482961</v>
      </c>
      <c r="N20" s="19"/>
      <c r="O20" s="19">
        <f>$B20*(1-P$2)</f>
        <v>6.0850285762965921</v>
      </c>
      <c r="P20" s="19"/>
      <c r="Q20" s="19">
        <f>$B20*(1-R$2)</f>
        <v>9.1275428644448908</v>
      </c>
      <c r="R20" s="19"/>
      <c r="S20" s="19">
        <f>$B20*(1-T$2)</f>
        <v>0</v>
      </c>
      <c r="T20" s="19"/>
      <c r="U20" s="19">
        <f>$B20*(1-V$2)</f>
        <v>3.0425142881482961</v>
      </c>
      <c r="V20" s="19"/>
      <c r="W20" s="19">
        <f>$B20*(1-X$2)</f>
        <v>6.0850285762965921</v>
      </c>
      <c r="X20" s="19"/>
      <c r="Y20" s="19">
        <f>$B20*(1-Z$2)</f>
        <v>9.1275428644448908</v>
      </c>
      <c r="Z20" s="19"/>
    </row>
    <row r="21" spans="1:26">
      <c r="A21" s="1" t="str">
        <f>results!A22</f>
        <v>PL 1st-step slot-die coating</v>
      </c>
      <c r="B21" s="1">
        <f>results!B22</f>
        <v>2.1128571445474281E-2</v>
      </c>
      <c r="C21" s="1">
        <f t="shared" ref="C21:C28" si="1">$B21</f>
        <v>2.1128571445474281E-2</v>
      </c>
      <c r="D21" s="1"/>
      <c r="E21" s="1">
        <f t="shared" ref="E21:E28" si="2">$B21</f>
        <v>2.1128571445474281E-2</v>
      </c>
      <c r="F21" s="1"/>
      <c r="G21" s="1">
        <f t="shared" ref="G21:G28" si="3">$B21</f>
        <v>2.1128571445474281E-2</v>
      </c>
      <c r="H21" s="1"/>
      <c r="I21" s="1">
        <f t="shared" ref="I21:I28" si="4">$B21</f>
        <v>2.1128571445474281E-2</v>
      </c>
      <c r="J21" s="1"/>
      <c r="K21" s="1">
        <f t="shared" ref="K21:K28" si="5">$B21</f>
        <v>2.1128571445474281E-2</v>
      </c>
      <c r="L21" s="1"/>
      <c r="M21" s="1">
        <f t="shared" ref="M21:M28" si="6">$B21</f>
        <v>2.1128571445474281E-2</v>
      </c>
      <c r="N21" s="1"/>
      <c r="O21" s="1">
        <f t="shared" ref="O21:O28" si="7">$B21</f>
        <v>2.1128571445474281E-2</v>
      </c>
      <c r="P21" s="1"/>
      <c r="Q21" s="1">
        <f t="shared" ref="Q21:Q28" si="8">$B21</f>
        <v>2.1128571445474281E-2</v>
      </c>
      <c r="R21" s="1"/>
      <c r="S21" s="1">
        <f t="shared" ref="S21:S28" si="9">$B21</f>
        <v>2.1128571445474281E-2</v>
      </c>
      <c r="T21" s="1"/>
      <c r="U21" s="1">
        <f t="shared" ref="U21:U28" si="10">$B21</f>
        <v>2.1128571445474281E-2</v>
      </c>
      <c r="V21" s="1"/>
      <c r="W21" s="1">
        <f t="shared" ref="W21:W28" si="11">$B21</f>
        <v>2.1128571445474281E-2</v>
      </c>
      <c r="X21" s="1"/>
      <c r="Y21" s="1">
        <f t="shared" ref="Y21:Y28" si="12">$B21</f>
        <v>2.1128571445474281E-2</v>
      </c>
      <c r="Z21" s="1"/>
    </row>
    <row r="22" spans="1:26">
      <c r="A22" s="1" t="str">
        <f>results!A23</f>
        <v>PL 2nd-step slot-die coating</v>
      </c>
      <c r="B22" s="1">
        <f>results!B23</f>
        <v>2.1128571445474281E-2</v>
      </c>
      <c r="C22" s="1">
        <f t="shared" si="1"/>
        <v>2.1128571445474281E-2</v>
      </c>
      <c r="D22" s="1"/>
      <c r="E22" s="1">
        <f t="shared" si="2"/>
        <v>2.1128571445474281E-2</v>
      </c>
      <c r="F22" s="1"/>
      <c r="G22" s="1">
        <f t="shared" si="3"/>
        <v>2.1128571445474281E-2</v>
      </c>
      <c r="H22" s="1"/>
      <c r="I22" s="1">
        <f t="shared" si="4"/>
        <v>2.1128571445474281E-2</v>
      </c>
      <c r="J22" s="1"/>
      <c r="K22" s="1">
        <f t="shared" si="5"/>
        <v>2.1128571445474281E-2</v>
      </c>
      <c r="L22" s="1"/>
      <c r="M22" s="1">
        <f t="shared" si="6"/>
        <v>2.1128571445474281E-2</v>
      </c>
      <c r="N22" s="1"/>
      <c r="O22" s="1">
        <f t="shared" si="7"/>
        <v>2.1128571445474281E-2</v>
      </c>
      <c r="P22" s="1"/>
      <c r="Q22" s="1">
        <f t="shared" si="8"/>
        <v>2.1128571445474281E-2</v>
      </c>
      <c r="R22" s="1"/>
      <c r="S22" s="1">
        <f t="shared" si="9"/>
        <v>2.1128571445474281E-2</v>
      </c>
      <c r="T22" s="1"/>
      <c r="U22" s="1">
        <f t="shared" si="10"/>
        <v>2.1128571445474281E-2</v>
      </c>
      <c r="V22" s="1"/>
      <c r="W22" s="1">
        <f t="shared" si="11"/>
        <v>2.1128571445474281E-2</v>
      </c>
      <c r="X22" s="1"/>
      <c r="Y22" s="1">
        <f t="shared" si="12"/>
        <v>2.1128571445474281E-2</v>
      </c>
      <c r="Z22" s="1"/>
    </row>
    <row r="23" spans="1:26">
      <c r="A23" s="1" t="str">
        <f>results!A24</f>
        <v>PL 1st-step drying</v>
      </c>
      <c r="B23" s="1">
        <f>results!B24</f>
        <v>3.0425142881482961</v>
      </c>
      <c r="C23" s="1">
        <f t="shared" si="1"/>
        <v>3.0425142881482961</v>
      </c>
      <c r="D23" s="1"/>
      <c r="E23" s="1">
        <f t="shared" si="2"/>
        <v>3.0425142881482961</v>
      </c>
      <c r="F23" s="1"/>
      <c r="G23" s="1">
        <f t="shared" si="3"/>
        <v>3.0425142881482961</v>
      </c>
      <c r="H23" s="1"/>
      <c r="I23" s="1">
        <f t="shared" si="4"/>
        <v>3.0425142881482961</v>
      </c>
      <c r="J23" s="1"/>
      <c r="K23" s="1">
        <f t="shared" si="5"/>
        <v>3.0425142881482961</v>
      </c>
      <c r="L23" s="1"/>
      <c r="M23" s="1">
        <f t="shared" si="6"/>
        <v>3.0425142881482961</v>
      </c>
      <c r="N23" s="1"/>
      <c r="O23" s="1">
        <f t="shared" si="7"/>
        <v>3.0425142881482961</v>
      </c>
      <c r="P23" s="1"/>
      <c r="Q23" s="1">
        <f t="shared" si="8"/>
        <v>3.0425142881482961</v>
      </c>
      <c r="R23" s="1"/>
      <c r="S23" s="1">
        <f t="shared" si="9"/>
        <v>3.0425142881482961</v>
      </c>
      <c r="T23" s="1"/>
      <c r="U23" s="1">
        <f t="shared" si="10"/>
        <v>3.0425142881482961</v>
      </c>
      <c r="V23" s="1"/>
      <c r="W23" s="1">
        <f t="shared" si="11"/>
        <v>3.0425142881482961</v>
      </c>
      <c r="X23" s="1"/>
      <c r="Y23" s="1">
        <f t="shared" si="12"/>
        <v>3.0425142881482961</v>
      </c>
      <c r="Z23" s="1"/>
    </row>
    <row r="24" spans="1:26">
      <c r="A24" s="1" t="str">
        <f>results!A25</f>
        <v>PL 2nd-step drying</v>
      </c>
      <c r="B24" s="1">
        <f>results!B25</f>
        <v>4.5637714322224454</v>
      </c>
      <c r="C24" s="1">
        <f t="shared" si="1"/>
        <v>4.5637714322224454</v>
      </c>
      <c r="D24" s="1"/>
      <c r="E24" s="1">
        <f t="shared" si="2"/>
        <v>4.5637714322224454</v>
      </c>
      <c r="F24" s="1"/>
      <c r="G24" s="1">
        <f t="shared" si="3"/>
        <v>4.5637714322224454</v>
      </c>
      <c r="H24" s="1"/>
      <c r="I24" s="1">
        <f t="shared" si="4"/>
        <v>4.5637714322224454</v>
      </c>
      <c r="J24" s="1"/>
      <c r="K24" s="1">
        <f t="shared" si="5"/>
        <v>4.5637714322224454</v>
      </c>
      <c r="L24" s="1"/>
      <c r="M24" s="1">
        <f t="shared" si="6"/>
        <v>4.5637714322224454</v>
      </c>
      <c r="N24" s="1"/>
      <c r="O24" s="1">
        <f t="shared" si="7"/>
        <v>4.5637714322224454</v>
      </c>
      <c r="P24" s="1"/>
      <c r="Q24" s="1">
        <f t="shared" si="8"/>
        <v>4.5637714322224454</v>
      </c>
      <c r="R24" s="1"/>
      <c r="S24" s="1">
        <f t="shared" si="9"/>
        <v>4.5637714322224454</v>
      </c>
      <c r="T24" s="1"/>
      <c r="U24" s="1">
        <f t="shared" si="10"/>
        <v>4.5637714322224454</v>
      </c>
      <c r="V24" s="1"/>
      <c r="W24" s="1">
        <f t="shared" si="11"/>
        <v>4.5637714322224454</v>
      </c>
      <c r="X24" s="1"/>
      <c r="Y24" s="1">
        <f t="shared" si="12"/>
        <v>4.5637714322224454</v>
      </c>
      <c r="Z24" s="1"/>
    </row>
    <row r="25" spans="1:26">
      <c r="A25" s="1" t="str">
        <f>results!A26</f>
        <v>PL annealing</v>
      </c>
      <c r="B25" s="1">
        <f>results!B26</f>
        <v>3.0425142881482961</v>
      </c>
      <c r="C25" s="1">
        <f t="shared" si="1"/>
        <v>3.0425142881482961</v>
      </c>
      <c r="D25" s="1"/>
      <c r="E25" s="1">
        <f t="shared" si="2"/>
        <v>3.0425142881482961</v>
      </c>
      <c r="F25" s="1"/>
      <c r="G25" s="1">
        <f t="shared" si="3"/>
        <v>3.0425142881482961</v>
      </c>
      <c r="H25" s="1"/>
      <c r="I25" s="1">
        <f t="shared" si="4"/>
        <v>3.0425142881482961</v>
      </c>
      <c r="J25" s="1"/>
      <c r="K25" s="1">
        <f t="shared" si="5"/>
        <v>3.0425142881482961</v>
      </c>
      <c r="L25" s="1"/>
      <c r="M25" s="1">
        <f t="shared" si="6"/>
        <v>3.0425142881482961</v>
      </c>
      <c r="N25" s="1"/>
      <c r="O25" s="1">
        <f t="shared" si="7"/>
        <v>3.0425142881482961</v>
      </c>
      <c r="P25" s="1"/>
      <c r="Q25" s="1">
        <f t="shared" si="8"/>
        <v>3.0425142881482961</v>
      </c>
      <c r="R25" s="1"/>
      <c r="S25" s="1">
        <f t="shared" si="9"/>
        <v>3.0425142881482961</v>
      </c>
      <c r="T25" s="1"/>
      <c r="U25" s="1">
        <f t="shared" si="10"/>
        <v>3.0425142881482961</v>
      </c>
      <c r="V25" s="1"/>
      <c r="W25" s="1">
        <f t="shared" si="11"/>
        <v>3.0425142881482961</v>
      </c>
      <c r="X25" s="1"/>
      <c r="Y25" s="1">
        <f t="shared" si="12"/>
        <v>3.0425142881482961</v>
      </c>
      <c r="Z25" s="1"/>
    </row>
    <row r="26" spans="1:26">
      <c r="A26" s="1" t="str">
        <f>results!A27</f>
        <v>HTL slot-die coating</v>
      </c>
      <c r="B26" s="1">
        <f>results!B27</f>
        <v>9.8600000078879993E-2</v>
      </c>
      <c r="C26" s="1">
        <f t="shared" si="1"/>
        <v>9.8600000078879993E-2</v>
      </c>
      <c r="D26" s="1"/>
      <c r="E26" s="1">
        <f t="shared" si="2"/>
        <v>9.8600000078879993E-2</v>
      </c>
      <c r="F26" s="1"/>
      <c r="G26" s="1">
        <f t="shared" si="3"/>
        <v>9.8600000078879993E-2</v>
      </c>
      <c r="H26" s="1"/>
      <c r="I26" s="1">
        <f t="shared" si="4"/>
        <v>9.8600000078879993E-2</v>
      </c>
      <c r="J26" s="1"/>
      <c r="K26" s="1">
        <f t="shared" si="5"/>
        <v>9.8600000078879993E-2</v>
      </c>
      <c r="L26" s="1"/>
      <c r="M26" s="1">
        <f t="shared" si="6"/>
        <v>9.8600000078879993E-2</v>
      </c>
      <c r="N26" s="1"/>
      <c r="O26" s="1">
        <f t="shared" si="7"/>
        <v>9.8600000078879993E-2</v>
      </c>
      <c r="P26" s="1"/>
      <c r="Q26" s="1">
        <f t="shared" si="8"/>
        <v>9.8600000078879993E-2</v>
      </c>
      <c r="R26" s="1"/>
      <c r="S26" s="1">
        <f t="shared" si="9"/>
        <v>9.8600000078879993E-2</v>
      </c>
      <c r="T26" s="1"/>
      <c r="U26" s="1">
        <f t="shared" si="10"/>
        <v>9.8600000078879993E-2</v>
      </c>
      <c r="V26" s="1"/>
      <c r="W26" s="1">
        <f t="shared" si="11"/>
        <v>9.8600000078879993E-2</v>
      </c>
      <c r="X26" s="1"/>
      <c r="Y26" s="1">
        <f t="shared" si="12"/>
        <v>9.8600000078879993E-2</v>
      </c>
      <c r="Z26" s="1"/>
    </row>
    <row r="27" spans="1:26">
      <c r="A27" s="1" t="str">
        <f>results!A28</f>
        <v>Electrode sputtering</v>
      </c>
      <c r="B27" s="1">
        <f>results!B28</f>
        <v>5.5216000044172793</v>
      </c>
      <c r="C27" s="1">
        <f t="shared" si="1"/>
        <v>5.5216000044172793</v>
      </c>
      <c r="D27" s="1"/>
      <c r="E27" s="1">
        <f t="shared" si="2"/>
        <v>5.5216000044172793</v>
      </c>
      <c r="F27" s="1"/>
      <c r="G27" s="1">
        <f t="shared" si="3"/>
        <v>5.5216000044172793</v>
      </c>
      <c r="H27" s="1"/>
      <c r="I27" s="1">
        <f t="shared" si="4"/>
        <v>5.5216000044172793</v>
      </c>
      <c r="J27" s="1"/>
      <c r="K27" s="1">
        <f t="shared" si="5"/>
        <v>5.5216000044172793</v>
      </c>
      <c r="L27" s="1"/>
      <c r="M27" s="1">
        <f t="shared" si="6"/>
        <v>5.5216000044172793</v>
      </c>
      <c r="N27" s="1"/>
      <c r="O27" s="1">
        <f t="shared" si="7"/>
        <v>5.5216000044172793</v>
      </c>
      <c r="P27" s="1"/>
      <c r="Q27" s="1">
        <f t="shared" si="8"/>
        <v>5.5216000044172793</v>
      </c>
      <c r="R27" s="1"/>
      <c r="S27" s="1">
        <f t="shared" si="9"/>
        <v>5.5216000044172793</v>
      </c>
      <c r="T27" s="1"/>
      <c r="U27" s="1">
        <f t="shared" si="10"/>
        <v>5.5216000044172793</v>
      </c>
      <c r="V27" s="1"/>
      <c r="W27" s="1">
        <f t="shared" si="11"/>
        <v>5.5216000044172793</v>
      </c>
      <c r="X27" s="1"/>
      <c r="Y27" s="1">
        <f t="shared" si="12"/>
        <v>5.5216000044172793</v>
      </c>
      <c r="Z27" s="1"/>
    </row>
    <row r="28" spans="1:26">
      <c r="A28" s="1" t="str">
        <f>results!A29</f>
        <v>Lamination</v>
      </c>
      <c r="B28" s="1">
        <f>results!B29</f>
        <v>8.8740000070991979E-3</v>
      </c>
      <c r="C28" s="1">
        <f t="shared" si="1"/>
        <v>8.8740000070991979E-3</v>
      </c>
      <c r="D28" s="1"/>
      <c r="E28" s="1">
        <f t="shared" si="2"/>
        <v>8.8740000070991979E-3</v>
      </c>
      <c r="F28" s="1"/>
      <c r="G28" s="1">
        <f t="shared" si="3"/>
        <v>8.8740000070991979E-3</v>
      </c>
      <c r="H28" s="1"/>
      <c r="I28" s="1">
        <f t="shared" si="4"/>
        <v>8.8740000070991979E-3</v>
      </c>
      <c r="J28" s="1"/>
      <c r="K28" s="1">
        <f t="shared" si="5"/>
        <v>8.8740000070991979E-3</v>
      </c>
      <c r="L28" s="1"/>
      <c r="M28" s="1">
        <f t="shared" si="6"/>
        <v>8.8740000070991979E-3</v>
      </c>
      <c r="N28" s="1"/>
      <c r="O28" s="1">
        <f t="shared" si="7"/>
        <v>8.8740000070991979E-3</v>
      </c>
      <c r="P28" s="1"/>
      <c r="Q28" s="1">
        <f t="shared" si="8"/>
        <v>8.8740000070991979E-3</v>
      </c>
      <c r="R28" s="1"/>
      <c r="S28" s="1">
        <f t="shared" si="9"/>
        <v>8.8740000070991979E-3</v>
      </c>
      <c r="T28" s="1"/>
      <c r="U28" s="1">
        <f t="shared" si="10"/>
        <v>8.8740000070991979E-3</v>
      </c>
      <c r="V28" s="1"/>
      <c r="W28" s="1">
        <f t="shared" si="11"/>
        <v>8.8740000070991979E-3</v>
      </c>
      <c r="X28" s="1"/>
      <c r="Y28" s="1">
        <f t="shared" si="12"/>
        <v>8.8740000070991979E-3</v>
      </c>
      <c r="Z28" s="1"/>
    </row>
    <row r="29" spans="1:26" s="8" customFormat="1">
      <c r="A29" s="19" t="s">
        <v>141</v>
      </c>
      <c r="B29" s="19">
        <v>0</v>
      </c>
      <c r="C29" s="19">
        <f>'energy consumption'!$I$18*'recycling level-cf'!D$2</f>
        <v>1.6328160013062525E-2</v>
      </c>
      <c r="D29" s="19"/>
      <c r="E29" s="19">
        <f>'energy consumption'!$I$18*'recycling level-cf'!F$2</f>
        <v>1.4695344011756272E-2</v>
      </c>
      <c r="F29" s="19"/>
      <c r="G29" s="19">
        <f>'energy consumption'!$I$18*'recycling level-cf'!H$2</f>
        <v>1.306252801045002E-2</v>
      </c>
      <c r="H29" s="19"/>
      <c r="I29" s="19">
        <f>'energy consumption'!$I$18*'recycling level-cf'!J$2</f>
        <v>1.1429712009143767E-2</v>
      </c>
      <c r="J29" s="19"/>
      <c r="K29" s="19">
        <f>'energy consumption'!$I$18*'recycling level-cf'!L$2</f>
        <v>1.6328160013062525E-2</v>
      </c>
      <c r="L29" s="19"/>
      <c r="M29" s="19">
        <f>'energy consumption'!$I$18*'recycling level-cf'!N$2</f>
        <v>1.4695344011756272E-2</v>
      </c>
      <c r="N29" s="19"/>
      <c r="O29" s="19">
        <f>'energy consumption'!$I$18*'recycling level-cf'!P$2</f>
        <v>1.306252801045002E-2</v>
      </c>
      <c r="P29" s="19"/>
      <c r="Q29" s="19">
        <f>'energy consumption'!$I$18*'recycling level-cf'!R$2</f>
        <v>1.1429712009143767E-2</v>
      </c>
      <c r="R29" s="19"/>
      <c r="S29" s="19">
        <f>'energy consumption'!$I$18*'recycling level-cf'!T$2</f>
        <v>1.6328160013062525E-2</v>
      </c>
      <c r="T29" s="19"/>
      <c r="U29" s="19">
        <f>'energy consumption'!$I$18*'recycling level-cf'!V$2</f>
        <v>1.4695344011756272E-2</v>
      </c>
      <c r="V29" s="19"/>
      <c r="W29" s="19">
        <f>'energy consumption'!$I$18*'recycling level-cf'!X$2</f>
        <v>1.306252801045002E-2</v>
      </c>
      <c r="X29" s="19"/>
      <c r="Y29" s="19">
        <f>'energy consumption'!$I$18*'recycling level-cf'!Z$2</f>
        <v>1.1429712009143767E-2</v>
      </c>
      <c r="Z29" s="19"/>
    </row>
    <row r="30" spans="1:26" s="8" customFormat="1">
      <c r="A30" s="19" t="s">
        <v>108</v>
      </c>
      <c r="B30" s="19">
        <v>0</v>
      </c>
      <c r="C30" s="19">
        <f>'[10]FTO with TiO2'!$U$33</f>
        <v>6.0357972033270002</v>
      </c>
      <c r="D30" s="19"/>
      <c r="E30" s="19">
        <f>'[10]FTO with TiO2'!$U$33</f>
        <v>6.0357972033270002</v>
      </c>
      <c r="F30" s="19"/>
      <c r="G30" s="19">
        <f>'[10]FTO with TiO2'!$U$33</f>
        <v>6.0357972033270002</v>
      </c>
      <c r="H30" s="19"/>
      <c r="I30" s="19">
        <f>'[10]FTO with TiO2'!$U$33</f>
        <v>6.0357972033270002</v>
      </c>
      <c r="J30" s="19"/>
      <c r="K30" s="19">
        <f>'[10]FTO with TiO2'!$U$33</f>
        <v>6.0357972033270002</v>
      </c>
      <c r="L30" s="19"/>
      <c r="M30" s="19">
        <f>'[10]FTO with TiO2'!$U$33</f>
        <v>6.0357972033270002</v>
      </c>
      <c r="N30" s="19"/>
      <c r="O30" s="19">
        <f>'[10]FTO with TiO2'!$U$33</f>
        <v>6.0357972033270002</v>
      </c>
      <c r="P30" s="19"/>
      <c r="Q30" s="19">
        <f>'[10]FTO with TiO2'!$U$33</f>
        <v>6.0357972033270002</v>
      </c>
      <c r="R30" s="19"/>
      <c r="S30" s="19">
        <f>'[10]FTO with TiO2'!$U$33</f>
        <v>6.0357972033270002</v>
      </c>
      <c r="T30" s="19"/>
      <c r="U30" s="19">
        <f>'[10]FTO with TiO2'!$U$33</f>
        <v>6.0357972033270002</v>
      </c>
      <c r="V30" s="19"/>
      <c r="W30" s="19">
        <f>'[10]FTO with TiO2'!$U$33</f>
        <v>6.0357972033270002</v>
      </c>
      <c r="X30" s="19"/>
      <c r="Y30" s="19">
        <f>'[10]FTO with TiO2'!$U$33</f>
        <v>6.0357972033270002</v>
      </c>
      <c r="Z30" s="19"/>
    </row>
    <row r="31" spans="1:26" s="8" customFormat="1">
      <c r="A31" s="19" t="s">
        <v>89</v>
      </c>
      <c r="B31" s="19">
        <v>0</v>
      </c>
      <c r="C31" s="19">
        <f>'[10]FTO with TiO2'!$U$25</f>
        <v>2.6824762082719671</v>
      </c>
      <c r="D31" s="19"/>
      <c r="E31" s="19">
        <f>'[10]FTO with TiO2'!$U$25</f>
        <v>2.6824762082719671</v>
      </c>
      <c r="F31" s="19"/>
      <c r="G31" s="19">
        <f>'[10]FTO with TiO2'!$U$25</f>
        <v>2.6824762082719671</v>
      </c>
      <c r="H31" s="19"/>
      <c r="I31" s="19">
        <f>'[10]FTO with TiO2'!$U$25</f>
        <v>2.6824762082719671</v>
      </c>
      <c r="J31" s="19"/>
      <c r="K31" s="19">
        <f>'[10]FTO with TiO2'!$U$25</f>
        <v>2.6824762082719671</v>
      </c>
      <c r="L31" s="19"/>
      <c r="M31" s="19">
        <f>'[10]FTO with TiO2'!$U$25</f>
        <v>2.6824762082719671</v>
      </c>
      <c r="N31" s="19"/>
      <c r="O31" s="19">
        <f>'[10]FTO with TiO2'!$U$25</f>
        <v>2.6824762082719671</v>
      </c>
      <c r="P31" s="19"/>
      <c r="Q31" s="19">
        <f>'[10]FTO with TiO2'!$U$25</f>
        <v>2.6824762082719671</v>
      </c>
      <c r="R31" s="19"/>
      <c r="S31" s="19">
        <f>'[10]FTO with TiO2'!$U$25</f>
        <v>2.6824762082719671</v>
      </c>
      <c r="T31" s="19"/>
      <c r="U31" s="19">
        <f>'[10]FTO with TiO2'!$U$25</f>
        <v>2.6824762082719671</v>
      </c>
      <c r="V31" s="19"/>
      <c r="W31" s="19">
        <f>'[10]FTO with TiO2'!$U$25</f>
        <v>2.6824762082719671</v>
      </c>
      <c r="X31" s="19"/>
      <c r="Y31" s="19">
        <f>'[10]FTO with TiO2'!$U$25</f>
        <v>2.6824762082719671</v>
      </c>
      <c r="Z31" s="19"/>
    </row>
    <row r="33" spans="3:25">
      <c r="C33">
        <f>SUM(C3:C32)</f>
        <v>25.624496451499741</v>
      </c>
      <c r="E33">
        <f>SUM(E3:E32)</f>
        <v>29.017990066689443</v>
      </c>
      <c r="G33">
        <f>SUM(G3:G32)</f>
        <v>32.411483681879147</v>
      </c>
      <c r="I33">
        <f>SUM(I3:I32)</f>
        <v>35.804977297068859</v>
      </c>
      <c r="K33">
        <f>SUM(K3:K32)</f>
        <v>25.624857926571739</v>
      </c>
      <c r="M33">
        <f>SUM(M3:M32)</f>
        <v>29.018351541761444</v>
      </c>
      <c r="O33">
        <f>SUM(O3:O32)</f>
        <v>32.411845156951145</v>
      </c>
      <c r="Q33">
        <f>SUM(Q3:Q32)</f>
        <v>35.805338772140857</v>
      </c>
      <c r="S33">
        <f>SUM(S3:S32)</f>
        <v>25.62521940164374</v>
      </c>
      <c r="U33">
        <f>SUM(U3:U32)</f>
        <v>29.018713016833441</v>
      </c>
      <c r="W33">
        <f>SUM(W3:W32)</f>
        <v>32.41220663202315</v>
      </c>
      <c r="Y33">
        <f>SUM(Y3:Y32)</f>
        <v>35.805700247212854</v>
      </c>
    </row>
    <row r="36" spans="3:25">
      <c r="C36" s="2"/>
      <c r="F36" t="s">
        <v>111</v>
      </c>
    </row>
    <row r="37" spans="3:25">
      <c r="C37" s="2"/>
      <c r="D37" s="21">
        <f>C33</f>
        <v>25.624496451499741</v>
      </c>
      <c r="E37" s="21">
        <f>E33</f>
        <v>29.017990066689443</v>
      </c>
      <c r="F37" s="21">
        <f>G33</f>
        <v>32.411483681879147</v>
      </c>
      <c r="G37" s="21">
        <f>I33</f>
        <v>35.804977297068859</v>
      </c>
    </row>
    <row r="38" spans="3:25">
      <c r="C38" s="2" t="s">
        <v>110</v>
      </c>
      <c r="D38" s="21">
        <f>K33</f>
        <v>25.624857926571739</v>
      </c>
      <c r="E38" s="21">
        <f>M33</f>
        <v>29.018351541761444</v>
      </c>
      <c r="F38" s="21">
        <f>O33</f>
        <v>32.411845156951145</v>
      </c>
      <c r="G38" s="21">
        <f>Q33</f>
        <v>35.805338772140857</v>
      </c>
    </row>
    <row r="39" spans="3:25">
      <c r="C39" s="2"/>
      <c r="D39" s="21">
        <f>S33</f>
        <v>25.62521940164374</v>
      </c>
      <c r="E39" s="21">
        <f>U33</f>
        <v>29.018713016833441</v>
      </c>
      <c r="F39" s="21">
        <f>W33</f>
        <v>32.41220663202315</v>
      </c>
      <c r="G39" s="21">
        <f>Y33</f>
        <v>35.805700247212854</v>
      </c>
    </row>
  </sheetData>
  <conditionalFormatting sqref="D37:G39">
    <cfRule type="colorScale" priority="1">
      <colorScale>
        <cfvo type="min"/>
        <cfvo type="max"/>
        <color rgb="FFFCFCFF"/>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F695C-3361-4322-9C5A-0BFE4B3081C9}">
  <dimension ref="A1:Z39"/>
  <sheetViews>
    <sheetView topLeftCell="A5" workbookViewId="0">
      <selection activeCell="B29" sqref="B29"/>
    </sheetView>
  </sheetViews>
  <sheetFormatPr defaultRowHeight="15"/>
  <cols>
    <col min="1" max="2" width="24.140625" customWidth="1"/>
  </cols>
  <sheetData>
    <row r="1" spans="1:26">
      <c r="A1" s="1"/>
      <c r="B1" s="1"/>
      <c r="C1" s="15" t="s">
        <v>110</v>
      </c>
      <c r="D1" s="15" t="s">
        <v>111</v>
      </c>
      <c r="E1" s="15" t="s">
        <v>110</v>
      </c>
      <c r="F1" s="15" t="s">
        <v>111</v>
      </c>
      <c r="G1" s="15" t="s">
        <v>110</v>
      </c>
      <c r="H1" s="15" t="s">
        <v>111</v>
      </c>
      <c r="I1" s="15" t="s">
        <v>110</v>
      </c>
      <c r="J1" s="15" t="s">
        <v>111</v>
      </c>
      <c r="K1" s="16" t="s">
        <v>110</v>
      </c>
      <c r="L1" s="16" t="s">
        <v>111</v>
      </c>
      <c r="M1" s="16" t="s">
        <v>110</v>
      </c>
      <c r="N1" s="16" t="s">
        <v>111</v>
      </c>
      <c r="O1" s="16" t="s">
        <v>110</v>
      </c>
      <c r="P1" s="16" t="s">
        <v>111</v>
      </c>
      <c r="Q1" s="16" t="s">
        <v>110</v>
      </c>
      <c r="R1" s="16" t="s">
        <v>111</v>
      </c>
      <c r="S1" s="15" t="s">
        <v>110</v>
      </c>
      <c r="T1" s="15" t="s">
        <v>111</v>
      </c>
      <c r="U1" s="15" t="s">
        <v>110</v>
      </c>
      <c r="V1" s="15" t="s">
        <v>111</v>
      </c>
      <c r="W1" s="15" t="s">
        <v>110</v>
      </c>
      <c r="X1" s="15" t="s">
        <v>111</v>
      </c>
      <c r="Y1" s="15" t="s">
        <v>110</v>
      </c>
      <c r="Z1" s="15" t="s">
        <v>111</v>
      </c>
    </row>
    <row r="2" spans="1:26">
      <c r="A2" s="1"/>
      <c r="B2" s="1" t="s">
        <v>88</v>
      </c>
      <c r="C2" s="17">
        <v>1</v>
      </c>
      <c r="D2" s="17">
        <v>1</v>
      </c>
      <c r="E2" s="17">
        <v>1</v>
      </c>
      <c r="F2" s="17">
        <v>0.9</v>
      </c>
      <c r="G2" s="17">
        <v>1</v>
      </c>
      <c r="H2" s="17">
        <v>0.8</v>
      </c>
      <c r="I2" s="17">
        <v>1</v>
      </c>
      <c r="J2" s="17">
        <v>0.7</v>
      </c>
      <c r="K2" s="18">
        <v>0.95</v>
      </c>
      <c r="L2" s="18">
        <v>1</v>
      </c>
      <c r="M2" s="18">
        <v>0.95</v>
      </c>
      <c r="N2" s="18">
        <v>0.9</v>
      </c>
      <c r="O2" s="18">
        <v>0.95</v>
      </c>
      <c r="P2" s="18">
        <v>0.8</v>
      </c>
      <c r="Q2" s="18">
        <v>0.95</v>
      </c>
      <c r="R2" s="18">
        <v>0.7</v>
      </c>
      <c r="S2" s="17">
        <v>0.9</v>
      </c>
      <c r="T2" s="17">
        <v>1</v>
      </c>
      <c r="U2" s="17">
        <v>0.9</v>
      </c>
      <c r="V2" s="17">
        <v>0.9</v>
      </c>
      <c r="W2" s="17">
        <v>0.9</v>
      </c>
      <c r="X2" s="17">
        <v>0.8</v>
      </c>
      <c r="Y2" s="17">
        <v>0.9</v>
      </c>
      <c r="Z2" s="17">
        <v>0.7</v>
      </c>
    </row>
    <row r="3" spans="1:26" s="8" customFormat="1">
      <c r="A3" s="19" t="str">
        <f>results!A2</f>
        <v>FTO glass</v>
      </c>
      <c r="B3" s="19">
        <f>results!C2</f>
        <v>85.029036949120112</v>
      </c>
      <c r="C3" s="19">
        <f>$B3*(1-D$2)</f>
        <v>0</v>
      </c>
      <c r="D3" s="19"/>
      <c r="E3" s="19">
        <f>$B3*(1-F$2)</f>
        <v>8.5029036949120087</v>
      </c>
      <c r="F3" s="19"/>
      <c r="G3" s="19">
        <f>$B3*(1-H$2)</f>
        <v>17.005807389824017</v>
      </c>
      <c r="H3" s="19"/>
      <c r="I3" s="19">
        <f>$B3*(1-J$2)</f>
        <v>25.508711084736039</v>
      </c>
      <c r="J3" s="19"/>
      <c r="K3" s="19">
        <f>$B3*(1-L$2)</f>
        <v>0</v>
      </c>
      <c r="L3" s="19"/>
      <c r="M3" s="19">
        <f>$B3*(1-N$2)</f>
        <v>8.5029036949120087</v>
      </c>
      <c r="N3" s="19"/>
      <c r="O3" s="19">
        <f>$B3*(1-P$2)</f>
        <v>17.005807389824017</v>
      </c>
      <c r="P3" s="19"/>
      <c r="Q3" s="19">
        <f>$B3*(1-R$2)</f>
        <v>25.508711084736039</v>
      </c>
      <c r="R3" s="19"/>
      <c r="S3" s="19">
        <f>$B3*(1-T$2)</f>
        <v>0</v>
      </c>
      <c r="T3" s="19"/>
      <c r="U3" s="19">
        <f>$B3*(1-V$2)</f>
        <v>8.5029036949120087</v>
      </c>
      <c r="V3" s="19"/>
      <c r="W3" s="19">
        <f>$B3*(1-X$2)</f>
        <v>17.005807389824017</v>
      </c>
      <c r="X3" s="19"/>
      <c r="Y3" s="19">
        <f>$B3*(1-Z$2)</f>
        <v>25.508711084736039</v>
      </c>
      <c r="Z3" s="19"/>
    </row>
    <row r="4" spans="1:26" s="8" customFormat="1">
      <c r="A4" s="19" t="str">
        <f>results!A3</f>
        <v>BL-TiO₂ ink</v>
      </c>
      <c r="B4" s="19">
        <f>results!C3</f>
        <v>0.61700956254785699</v>
      </c>
      <c r="C4" s="19">
        <f>$B4*(1-D$2)</f>
        <v>0</v>
      </c>
      <c r="D4" s="19"/>
      <c r="E4" s="19">
        <f>$B4*(1-F$2)</f>
        <v>6.1700956254785687E-2</v>
      </c>
      <c r="F4" s="19"/>
      <c r="G4" s="19">
        <f>$B4*(1-H$2)</f>
        <v>0.12340191250957137</v>
      </c>
      <c r="H4" s="19"/>
      <c r="I4" s="19">
        <f>$B4*(1-J$2)</f>
        <v>0.18510286876435714</v>
      </c>
      <c r="J4" s="19"/>
      <c r="K4" s="19">
        <f>$B4*(1-L$2)</f>
        <v>0</v>
      </c>
      <c r="L4" s="19"/>
      <c r="M4" s="19">
        <f>$B4*(1-N$2)</f>
        <v>6.1700956254785687E-2</v>
      </c>
      <c r="N4" s="19"/>
      <c r="O4" s="19">
        <f>$B4*(1-P$2)</f>
        <v>0.12340191250957137</v>
      </c>
      <c r="P4" s="19"/>
      <c r="Q4" s="19">
        <f>$B4*(1-R$2)</f>
        <v>0.18510286876435714</v>
      </c>
      <c r="R4" s="19"/>
      <c r="S4" s="19">
        <f>$B4*(1-T$2)</f>
        <v>0</v>
      </c>
      <c r="T4" s="19"/>
      <c r="U4" s="19">
        <f>$B4*(1-V$2)</f>
        <v>6.1700956254785687E-2</v>
      </c>
      <c r="V4" s="19"/>
      <c r="W4" s="19">
        <f>$B4*(1-X$2)</f>
        <v>0.12340191250957137</v>
      </c>
      <c r="X4" s="19"/>
      <c r="Y4" s="19">
        <f>$B4*(1-Z$2)</f>
        <v>0.18510286876435714</v>
      </c>
      <c r="Z4" s="19"/>
    </row>
    <row r="5" spans="1:26" s="8" customFormat="1">
      <c r="A5" s="19" t="str">
        <f>results!A4</f>
        <v>MP-TiO₂</v>
      </c>
      <c r="B5" s="19">
        <f>results!C4</f>
        <v>4.6809738838836004E-2</v>
      </c>
      <c r="C5" s="19">
        <f t="shared" ref="C5:E6" si="0">$B5*(1-D$2)</f>
        <v>0</v>
      </c>
      <c r="D5" s="19"/>
      <c r="E5" s="19">
        <f t="shared" si="0"/>
        <v>4.6809738838835997E-3</v>
      </c>
      <c r="F5" s="19"/>
      <c r="G5" s="19">
        <f t="shared" ref="G5:G6" si="1">$B5*(1-H$2)</f>
        <v>9.3619477677671994E-3</v>
      </c>
      <c r="H5" s="19"/>
      <c r="I5" s="19">
        <f t="shared" ref="I5:I6" si="2">$B5*(1-J$2)</f>
        <v>1.4042921651650803E-2</v>
      </c>
      <c r="J5" s="19"/>
      <c r="K5" s="19">
        <f t="shared" ref="K5:K6" si="3">$B5*(1-L$2)</f>
        <v>0</v>
      </c>
      <c r="L5" s="19"/>
      <c r="M5" s="19">
        <f t="shared" ref="M5:M6" si="4">$B5*(1-N$2)</f>
        <v>4.6809738838835997E-3</v>
      </c>
      <c r="N5" s="19"/>
      <c r="O5" s="19">
        <f t="shared" ref="O5:O6" si="5">$B5*(1-P$2)</f>
        <v>9.3619477677671994E-3</v>
      </c>
      <c r="P5" s="19"/>
      <c r="Q5" s="19">
        <f t="shared" ref="Q5:Q6" si="6">$B5*(1-R$2)</f>
        <v>1.4042921651650803E-2</v>
      </c>
      <c r="R5" s="19"/>
      <c r="S5" s="19">
        <f t="shared" ref="S5:S6" si="7">$B5*(1-T$2)</f>
        <v>0</v>
      </c>
      <c r="T5" s="19"/>
      <c r="U5" s="19">
        <f t="shared" ref="U5:U6" si="8">$B5*(1-V$2)</f>
        <v>4.6809738838835997E-3</v>
      </c>
      <c r="V5" s="19"/>
      <c r="W5" s="19">
        <f t="shared" ref="W5:W6" si="9">$B5*(1-X$2)</f>
        <v>9.3619477677671994E-3</v>
      </c>
      <c r="X5" s="19"/>
      <c r="Y5" s="19">
        <f t="shared" ref="Y5:Y6" si="10">$B5*(1-Z$2)</f>
        <v>1.4042921651650803E-2</v>
      </c>
      <c r="Z5" s="19"/>
    </row>
    <row r="6" spans="1:26" s="8" customFormat="1">
      <c r="A6" s="19" t="str">
        <f>results!A5</f>
        <v>2-methoxyethanol</v>
      </c>
      <c r="B6" s="19">
        <f>results!C5</f>
        <v>0.16125322627587776</v>
      </c>
      <c r="C6" s="19">
        <f t="shared" si="0"/>
        <v>0</v>
      </c>
      <c r="D6" s="19"/>
      <c r="E6" s="19">
        <f t="shared" si="0"/>
        <v>1.6125322627587774E-2</v>
      </c>
      <c r="F6" s="19"/>
      <c r="G6" s="19">
        <f t="shared" si="1"/>
        <v>3.2250645255175549E-2</v>
      </c>
      <c r="H6" s="19"/>
      <c r="I6" s="19">
        <f t="shared" si="2"/>
        <v>4.8375967882763334E-2</v>
      </c>
      <c r="J6" s="19"/>
      <c r="K6" s="19">
        <f t="shared" si="3"/>
        <v>0</v>
      </c>
      <c r="L6" s="19"/>
      <c r="M6" s="19">
        <f t="shared" si="4"/>
        <v>1.6125322627587774E-2</v>
      </c>
      <c r="N6" s="19"/>
      <c r="O6" s="19">
        <f t="shared" si="5"/>
        <v>3.2250645255175549E-2</v>
      </c>
      <c r="P6" s="19"/>
      <c r="Q6" s="19">
        <f t="shared" si="6"/>
        <v>4.8375967882763334E-2</v>
      </c>
      <c r="R6" s="19"/>
      <c r="S6" s="19">
        <f t="shared" si="7"/>
        <v>0</v>
      </c>
      <c r="T6" s="19"/>
      <c r="U6" s="19">
        <f t="shared" si="8"/>
        <v>1.6125322627587774E-2</v>
      </c>
      <c r="V6" s="19"/>
      <c r="W6" s="19">
        <f t="shared" si="9"/>
        <v>3.2250645255175549E-2</v>
      </c>
      <c r="X6" s="19"/>
      <c r="Y6" s="19">
        <f t="shared" si="10"/>
        <v>4.8375967882763334E-2</v>
      </c>
      <c r="Z6" s="19"/>
    </row>
    <row r="7" spans="1:26">
      <c r="A7" s="1" t="str">
        <f>results!A6</f>
        <v>PbI₂</v>
      </c>
      <c r="B7" s="19">
        <f>results!C6</f>
        <v>4.1638537323627607E-2</v>
      </c>
      <c r="C7" s="1">
        <f>$B7</f>
        <v>4.1638537323627607E-2</v>
      </c>
      <c r="D7" s="1"/>
      <c r="E7" s="1">
        <f>$B7</f>
        <v>4.1638537323627607E-2</v>
      </c>
      <c r="F7" s="1"/>
      <c r="G7" s="1">
        <f>$B7</f>
        <v>4.1638537323627607E-2</v>
      </c>
      <c r="H7" s="1"/>
      <c r="I7" s="1">
        <f>$B7</f>
        <v>4.1638537323627607E-2</v>
      </c>
      <c r="J7" s="1"/>
      <c r="K7" s="1">
        <f>$B7</f>
        <v>4.1638537323627607E-2</v>
      </c>
      <c r="L7" s="1"/>
      <c r="M7" s="1">
        <f>$B7</f>
        <v>4.1638537323627607E-2</v>
      </c>
      <c r="N7" s="1"/>
      <c r="O7" s="1">
        <f>$B7</f>
        <v>4.1638537323627607E-2</v>
      </c>
      <c r="P7" s="1"/>
      <c r="Q7" s="1">
        <f>$B7</f>
        <v>4.1638537323627607E-2</v>
      </c>
      <c r="R7" s="1"/>
      <c r="S7" s="1">
        <f>$B7</f>
        <v>4.1638537323627607E-2</v>
      </c>
      <c r="T7" s="1"/>
      <c r="U7" s="1">
        <f>$B7</f>
        <v>4.1638537323627607E-2</v>
      </c>
      <c r="V7" s="1"/>
      <c r="W7" s="1">
        <f>$B7</f>
        <v>4.1638537323627607E-2</v>
      </c>
      <c r="X7" s="1"/>
      <c r="Y7" s="1">
        <f>$B7</f>
        <v>4.1638537323627607E-2</v>
      </c>
      <c r="Z7" s="1"/>
    </row>
    <row r="8" spans="1:26">
      <c r="A8" s="1" t="str">
        <f>results!A7</f>
        <v>PbBr₂</v>
      </c>
      <c r="B8" s="19">
        <f>results!C7</f>
        <v>7.9057775962192297E-4</v>
      </c>
      <c r="C8" s="1">
        <f t="shared" ref="C8:Y17" si="11">$B8</f>
        <v>7.9057775962192297E-4</v>
      </c>
      <c r="D8" s="1"/>
      <c r="E8" s="1">
        <f t="shared" si="11"/>
        <v>7.9057775962192297E-4</v>
      </c>
      <c r="F8" s="1"/>
      <c r="G8" s="1">
        <f t="shared" si="11"/>
        <v>7.9057775962192297E-4</v>
      </c>
      <c r="H8" s="1"/>
      <c r="I8" s="1">
        <f t="shared" si="11"/>
        <v>7.9057775962192297E-4</v>
      </c>
      <c r="J8" s="1"/>
      <c r="K8" s="1">
        <f t="shared" si="11"/>
        <v>7.9057775962192297E-4</v>
      </c>
      <c r="L8" s="1"/>
      <c r="M8" s="1">
        <f t="shared" si="11"/>
        <v>7.9057775962192297E-4</v>
      </c>
      <c r="N8" s="1"/>
      <c r="O8" s="1">
        <f t="shared" si="11"/>
        <v>7.9057775962192297E-4</v>
      </c>
      <c r="P8" s="1"/>
      <c r="Q8" s="1">
        <f t="shared" si="11"/>
        <v>7.9057775962192297E-4</v>
      </c>
      <c r="R8" s="1"/>
      <c r="S8" s="1">
        <f t="shared" si="11"/>
        <v>7.9057775962192297E-4</v>
      </c>
      <c r="T8" s="1"/>
      <c r="U8" s="1">
        <f t="shared" si="11"/>
        <v>7.9057775962192297E-4</v>
      </c>
      <c r="V8" s="1"/>
      <c r="W8" s="1">
        <f t="shared" si="11"/>
        <v>7.9057775962192297E-4</v>
      </c>
      <c r="X8" s="1"/>
      <c r="Y8" s="1">
        <f t="shared" si="11"/>
        <v>7.9057775962192297E-4</v>
      </c>
      <c r="Z8" s="1"/>
    </row>
    <row r="9" spans="1:26">
      <c r="A9" s="1" t="str">
        <f>results!A8</f>
        <v>FAI</v>
      </c>
      <c r="B9" s="19">
        <f>results!C8</f>
        <v>0.35631319119228022</v>
      </c>
      <c r="C9" s="1">
        <f t="shared" si="11"/>
        <v>0.35631319119228022</v>
      </c>
      <c r="D9" s="1"/>
      <c r="E9" s="1">
        <f t="shared" si="11"/>
        <v>0.35631319119228022</v>
      </c>
      <c r="F9" s="1"/>
      <c r="G9" s="1">
        <f t="shared" si="11"/>
        <v>0.35631319119228022</v>
      </c>
      <c r="H9" s="1"/>
      <c r="I9" s="1">
        <f t="shared" si="11"/>
        <v>0.35631319119228022</v>
      </c>
      <c r="J9" s="1"/>
      <c r="K9" s="1">
        <f t="shared" si="11"/>
        <v>0.35631319119228022</v>
      </c>
      <c r="L9" s="1"/>
      <c r="M9" s="1">
        <f t="shared" si="11"/>
        <v>0.35631319119228022</v>
      </c>
      <c r="N9" s="1"/>
      <c r="O9" s="1">
        <f t="shared" si="11"/>
        <v>0.35631319119228022</v>
      </c>
      <c r="P9" s="1"/>
      <c r="Q9" s="1">
        <f t="shared" si="11"/>
        <v>0.35631319119228022</v>
      </c>
      <c r="R9" s="1"/>
      <c r="S9" s="1">
        <f t="shared" si="11"/>
        <v>0.35631319119228022</v>
      </c>
      <c r="T9" s="1"/>
      <c r="U9" s="1">
        <f t="shared" si="11"/>
        <v>0.35631319119228022</v>
      </c>
      <c r="V9" s="1"/>
      <c r="W9" s="1">
        <f t="shared" si="11"/>
        <v>0.35631319119228022</v>
      </c>
      <c r="X9" s="1"/>
      <c r="Y9" s="1">
        <f t="shared" si="11"/>
        <v>0.35631319119228022</v>
      </c>
      <c r="Z9" s="1"/>
    </row>
    <row r="10" spans="1:26">
      <c r="A10" s="1" t="str">
        <f>results!A9</f>
        <v>MABr</v>
      </c>
      <c r="B10" s="19">
        <f>results!C9</f>
        <v>1.9630136677403471</v>
      </c>
      <c r="C10" s="1">
        <f t="shared" si="11"/>
        <v>1.9630136677403471</v>
      </c>
      <c r="D10" s="1"/>
      <c r="E10" s="1">
        <f t="shared" si="11"/>
        <v>1.9630136677403471</v>
      </c>
      <c r="F10" s="1"/>
      <c r="G10" s="1">
        <f t="shared" si="11"/>
        <v>1.9630136677403471</v>
      </c>
      <c r="H10" s="1"/>
      <c r="I10" s="1">
        <f t="shared" si="11"/>
        <v>1.9630136677403471</v>
      </c>
      <c r="J10" s="1"/>
      <c r="K10" s="1">
        <f t="shared" si="11"/>
        <v>1.9630136677403471</v>
      </c>
      <c r="L10" s="1"/>
      <c r="M10" s="1">
        <f t="shared" si="11"/>
        <v>1.9630136677403471</v>
      </c>
      <c r="N10" s="1"/>
      <c r="O10" s="1">
        <f t="shared" si="11"/>
        <v>1.9630136677403471</v>
      </c>
      <c r="P10" s="1"/>
      <c r="Q10" s="1">
        <f t="shared" si="11"/>
        <v>1.9630136677403471</v>
      </c>
      <c r="R10" s="1"/>
      <c r="S10" s="1">
        <f t="shared" si="11"/>
        <v>1.9630136677403471</v>
      </c>
      <c r="T10" s="1"/>
      <c r="U10" s="1">
        <f t="shared" si="11"/>
        <v>1.9630136677403471</v>
      </c>
      <c r="V10" s="1"/>
      <c r="W10" s="1">
        <f t="shared" si="11"/>
        <v>1.9630136677403471</v>
      </c>
      <c r="X10" s="1"/>
      <c r="Y10" s="1">
        <f t="shared" si="11"/>
        <v>1.9630136677403471</v>
      </c>
      <c r="Z10" s="1"/>
    </row>
    <row r="11" spans="1:26">
      <c r="A11" s="1" t="str">
        <f>results!A10</f>
        <v>DMF</v>
      </c>
      <c r="B11" s="19">
        <f>results!C10</f>
        <v>7.5556306550594685E-2</v>
      </c>
      <c r="C11" s="1">
        <f t="shared" si="11"/>
        <v>7.5556306550594685E-2</v>
      </c>
      <c r="D11" s="1"/>
      <c r="E11" s="1">
        <f t="shared" si="11"/>
        <v>7.5556306550594685E-2</v>
      </c>
      <c r="F11" s="1"/>
      <c r="G11" s="1">
        <f t="shared" si="11"/>
        <v>7.5556306550594685E-2</v>
      </c>
      <c r="H11" s="1"/>
      <c r="I11" s="1">
        <f t="shared" si="11"/>
        <v>7.5556306550594685E-2</v>
      </c>
      <c r="J11" s="1"/>
      <c r="K11" s="1">
        <f t="shared" si="11"/>
        <v>7.5556306550594685E-2</v>
      </c>
      <c r="L11" s="1"/>
      <c r="M11" s="1">
        <f t="shared" si="11"/>
        <v>7.5556306550594685E-2</v>
      </c>
      <c r="N11" s="1"/>
      <c r="O11" s="1">
        <f t="shared" si="11"/>
        <v>7.5556306550594685E-2</v>
      </c>
      <c r="P11" s="1"/>
      <c r="Q11" s="1">
        <f t="shared" si="11"/>
        <v>7.5556306550594685E-2</v>
      </c>
      <c r="R11" s="1"/>
      <c r="S11" s="1">
        <f t="shared" si="11"/>
        <v>7.5556306550594685E-2</v>
      </c>
      <c r="T11" s="1"/>
      <c r="U11" s="1">
        <f t="shared" si="11"/>
        <v>7.5556306550594685E-2</v>
      </c>
      <c r="V11" s="1"/>
      <c r="W11" s="1">
        <f t="shared" si="11"/>
        <v>7.5556306550594685E-2</v>
      </c>
      <c r="X11" s="1"/>
      <c r="Y11" s="1">
        <f t="shared" si="11"/>
        <v>7.5556306550594685E-2</v>
      </c>
      <c r="Z11" s="1"/>
    </row>
    <row r="12" spans="1:26">
      <c r="A12" s="1" t="str">
        <f>results!A11</f>
        <v>DMSO</v>
      </c>
      <c r="B12" s="19">
        <f>results!C11</f>
        <v>1.6499999309507574E-2</v>
      </c>
      <c r="C12" s="1">
        <f t="shared" si="11"/>
        <v>1.6499999309507574E-2</v>
      </c>
      <c r="D12" s="1"/>
      <c r="E12" s="1">
        <f t="shared" si="11"/>
        <v>1.6499999309507574E-2</v>
      </c>
      <c r="F12" s="1"/>
      <c r="G12" s="1">
        <f t="shared" si="11"/>
        <v>1.6499999309507574E-2</v>
      </c>
      <c r="H12" s="1"/>
      <c r="I12" s="1">
        <f t="shared" si="11"/>
        <v>1.6499999309507574E-2</v>
      </c>
      <c r="J12" s="1"/>
      <c r="K12" s="1">
        <f t="shared" si="11"/>
        <v>1.6499999309507574E-2</v>
      </c>
      <c r="L12" s="1"/>
      <c r="M12" s="1">
        <f t="shared" si="11"/>
        <v>1.6499999309507574E-2</v>
      </c>
      <c r="N12" s="1"/>
      <c r="O12" s="1">
        <f t="shared" si="11"/>
        <v>1.6499999309507574E-2</v>
      </c>
      <c r="P12" s="1"/>
      <c r="Q12" s="1">
        <f t="shared" si="11"/>
        <v>1.6499999309507574E-2</v>
      </c>
      <c r="R12" s="1"/>
      <c r="S12" s="1">
        <f t="shared" si="11"/>
        <v>1.6499999309507574E-2</v>
      </c>
      <c r="T12" s="1"/>
      <c r="U12" s="1">
        <f t="shared" si="11"/>
        <v>1.6499999309507574E-2</v>
      </c>
      <c r="V12" s="1"/>
      <c r="W12" s="1">
        <f t="shared" si="11"/>
        <v>1.6499999309507574E-2</v>
      </c>
      <c r="X12" s="1"/>
      <c r="Y12" s="1">
        <f t="shared" si="11"/>
        <v>1.6499999309507574E-2</v>
      </c>
      <c r="Z12" s="1"/>
    </row>
    <row r="13" spans="1:26">
      <c r="A13" s="1" t="str">
        <f>results!A12</f>
        <v>Isopropanol</v>
      </c>
      <c r="B13" s="19">
        <f>results!C12</f>
        <v>3.2570821583550118</v>
      </c>
      <c r="C13" s="1">
        <f t="shared" si="11"/>
        <v>3.2570821583550118</v>
      </c>
      <c r="D13" s="1"/>
      <c r="E13" s="1">
        <f t="shared" si="11"/>
        <v>3.2570821583550118</v>
      </c>
      <c r="F13" s="1"/>
      <c r="G13" s="1">
        <f t="shared" si="11"/>
        <v>3.2570821583550118</v>
      </c>
      <c r="H13" s="1"/>
      <c r="I13" s="1">
        <f t="shared" si="11"/>
        <v>3.2570821583550118</v>
      </c>
      <c r="J13" s="1"/>
      <c r="K13" s="1">
        <f t="shared" si="11"/>
        <v>3.2570821583550118</v>
      </c>
      <c r="L13" s="1"/>
      <c r="M13" s="1">
        <f t="shared" si="11"/>
        <v>3.2570821583550118</v>
      </c>
      <c r="N13" s="1"/>
      <c r="O13" s="1">
        <f t="shared" si="11"/>
        <v>3.2570821583550118</v>
      </c>
      <c r="P13" s="1"/>
      <c r="Q13" s="1">
        <f t="shared" si="11"/>
        <v>3.2570821583550118</v>
      </c>
      <c r="R13" s="1"/>
      <c r="S13" s="1">
        <f t="shared" si="11"/>
        <v>3.2570821583550118</v>
      </c>
      <c r="T13" s="1"/>
      <c r="U13" s="1">
        <f t="shared" si="11"/>
        <v>3.2570821583550118</v>
      </c>
      <c r="V13" s="1"/>
      <c r="W13" s="1">
        <f t="shared" si="11"/>
        <v>3.2570821583550118</v>
      </c>
      <c r="X13" s="1"/>
      <c r="Y13" s="1">
        <f t="shared" si="11"/>
        <v>3.2570821583550118</v>
      </c>
      <c r="Z13" s="1"/>
    </row>
    <row r="14" spans="1:26">
      <c r="A14" s="1" t="str">
        <f>results!A13</f>
        <v>PTAA solution</v>
      </c>
      <c r="B14" s="19">
        <f>results!C13</f>
        <v>0.78923824670233655</v>
      </c>
      <c r="C14" s="1">
        <f t="shared" si="11"/>
        <v>0.78923824670233655</v>
      </c>
      <c r="D14" s="1"/>
      <c r="E14" s="1">
        <f t="shared" si="11"/>
        <v>0.78923824670233655</v>
      </c>
      <c r="F14" s="1"/>
      <c r="G14" s="1">
        <f t="shared" si="11"/>
        <v>0.78923824670233655</v>
      </c>
      <c r="H14" s="1"/>
      <c r="I14" s="1">
        <f t="shared" si="11"/>
        <v>0.78923824670233655</v>
      </c>
      <c r="J14" s="1"/>
      <c r="K14" s="1">
        <f t="shared" si="11"/>
        <v>0.78923824670233655</v>
      </c>
      <c r="L14" s="1"/>
      <c r="M14" s="1">
        <f t="shared" si="11"/>
        <v>0.78923824670233655</v>
      </c>
      <c r="N14" s="1"/>
      <c r="O14" s="1">
        <f t="shared" si="11"/>
        <v>0.78923824670233655</v>
      </c>
      <c r="P14" s="1"/>
      <c r="Q14" s="1">
        <f t="shared" si="11"/>
        <v>0.78923824670233655</v>
      </c>
      <c r="R14" s="1"/>
      <c r="S14" s="1">
        <f t="shared" si="11"/>
        <v>0.78923824670233655</v>
      </c>
      <c r="T14" s="1"/>
      <c r="U14" s="1">
        <f t="shared" si="11"/>
        <v>0.78923824670233655</v>
      </c>
      <c r="V14" s="1"/>
      <c r="W14" s="1">
        <f t="shared" si="11"/>
        <v>0.78923824670233655</v>
      </c>
      <c r="X14" s="1"/>
      <c r="Y14" s="1">
        <f t="shared" si="11"/>
        <v>0.78923824670233655</v>
      </c>
      <c r="Z14" s="1"/>
    </row>
    <row r="15" spans="1:26">
      <c r="A15" s="19" t="str">
        <f>results!A14</f>
        <v>Cu</v>
      </c>
      <c r="B15" s="19">
        <f>results!C14</f>
        <v>0.103960138283008</v>
      </c>
      <c r="C15" s="19">
        <f>$B15*(1-C$2)</f>
        <v>0</v>
      </c>
      <c r="D15" s="1"/>
      <c r="E15" s="19">
        <f>$B15*(1-E$2)</f>
        <v>0</v>
      </c>
      <c r="F15" s="1"/>
      <c r="G15" s="19">
        <f>$B15*(1-G$2)</f>
        <v>0</v>
      </c>
      <c r="H15" s="1"/>
      <c r="I15" s="19">
        <f>$B15*(1-I$2)</f>
        <v>0</v>
      </c>
      <c r="J15" s="1"/>
      <c r="K15" s="19">
        <f>$B15*(1-K$2)</f>
        <v>5.1980069141504045E-3</v>
      </c>
      <c r="L15" s="1"/>
      <c r="M15" s="19">
        <f>$B15*(1-M$2)</f>
        <v>5.1980069141504045E-3</v>
      </c>
      <c r="N15" s="1"/>
      <c r="O15" s="19">
        <f>$B15*(1-O$2)</f>
        <v>5.1980069141504045E-3</v>
      </c>
      <c r="P15" s="1"/>
      <c r="Q15" s="19">
        <f>$B15*(1-Q$2)</f>
        <v>5.1980069141504045E-3</v>
      </c>
      <c r="R15" s="1"/>
      <c r="S15" s="19">
        <f>$B15*(1-S$2)</f>
        <v>1.0396013828300797E-2</v>
      </c>
      <c r="T15" s="1"/>
      <c r="U15" s="19">
        <f>$B15*(1-U$2)</f>
        <v>1.0396013828300797E-2</v>
      </c>
      <c r="V15" s="1"/>
      <c r="W15" s="19">
        <f>$B15*(1-W$2)</f>
        <v>1.0396013828300797E-2</v>
      </c>
      <c r="X15" s="1"/>
      <c r="Y15" s="19">
        <f>$B15*(1-Y$2)</f>
        <v>1.0396013828300797E-2</v>
      </c>
      <c r="Z15" s="1"/>
    </row>
    <row r="16" spans="1:26">
      <c r="A16" s="1" t="str">
        <f>results!A15</f>
        <v>Ar</v>
      </c>
      <c r="B16" s="19">
        <f>results!C15</f>
        <v>4.3659558183030303</v>
      </c>
      <c r="C16" s="1">
        <f t="shared" si="11"/>
        <v>4.3659558183030303</v>
      </c>
      <c r="D16" s="1"/>
      <c r="E16" s="1">
        <f t="shared" si="11"/>
        <v>4.3659558183030303</v>
      </c>
      <c r="F16" s="1"/>
      <c r="G16" s="1">
        <f t="shared" si="11"/>
        <v>4.3659558183030303</v>
      </c>
      <c r="H16" s="1"/>
      <c r="I16" s="1">
        <f t="shared" si="11"/>
        <v>4.3659558183030303</v>
      </c>
      <c r="J16" s="1"/>
      <c r="K16" s="1">
        <f t="shared" si="11"/>
        <v>4.3659558183030303</v>
      </c>
      <c r="L16" s="1"/>
      <c r="M16" s="1">
        <f t="shared" si="11"/>
        <v>4.3659558183030303</v>
      </c>
      <c r="N16" s="1"/>
      <c r="O16" s="1">
        <f t="shared" si="11"/>
        <v>4.3659558183030303</v>
      </c>
      <c r="P16" s="1"/>
      <c r="Q16" s="1">
        <f t="shared" si="11"/>
        <v>4.3659558183030303</v>
      </c>
      <c r="R16" s="1"/>
      <c r="S16" s="1">
        <f t="shared" si="11"/>
        <v>4.3659558183030303</v>
      </c>
      <c r="T16" s="1"/>
      <c r="U16" s="1">
        <f t="shared" si="11"/>
        <v>4.3659558183030303</v>
      </c>
      <c r="V16" s="1"/>
      <c r="W16" s="1">
        <f t="shared" si="11"/>
        <v>4.3659558183030303</v>
      </c>
      <c r="X16" s="1"/>
      <c r="Y16" s="1">
        <f t="shared" si="11"/>
        <v>4.3659558183030303</v>
      </c>
      <c r="Z16" s="1"/>
    </row>
    <row r="17" spans="1:26">
      <c r="A17" s="1" t="str">
        <f>results!A16</f>
        <v>O₂</v>
      </c>
      <c r="B17" s="19">
        <f>results!C16</f>
        <v>1.7448388645818179E-3</v>
      </c>
      <c r="C17" s="1">
        <f t="shared" si="11"/>
        <v>1.7448388645818179E-3</v>
      </c>
      <c r="D17" s="1"/>
      <c r="E17" s="1">
        <f t="shared" si="11"/>
        <v>1.7448388645818179E-3</v>
      </c>
      <c r="F17" s="1"/>
      <c r="G17" s="1">
        <f t="shared" si="11"/>
        <v>1.7448388645818179E-3</v>
      </c>
      <c r="H17" s="1"/>
      <c r="I17" s="1">
        <f t="shared" si="11"/>
        <v>1.7448388645818179E-3</v>
      </c>
      <c r="J17" s="1"/>
      <c r="K17" s="1">
        <f t="shared" si="11"/>
        <v>1.7448388645818179E-3</v>
      </c>
      <c r="L17" s="1"/>
      <c r="M17" s="1">
        <f t="shared" si="11"/>
        <v>1.7448388645818179E-3</v>
      </c>
      <c r="N17" s="1"/>
      <c r="O17" s="1">
        <f t="shared" si="11"/>
        <v>1.7448388645818179E-3</v>
      </c>
      <c r="P17" s="1"/>
      <c r="Q17" s="1">
        <f t="shared" si="11"/>
        <v>1.7448388645818179E-3</v>
      </c>
      <c r="R17" s="1"/>
      <c r="S17" s="1">
        <f t="shared" si="11"/>
        <v>1.7448388645818179E-3</v>
      </c>
      <c r="T17" s="1"/>
      <c r="U17" s="1">
        <f t="shared" si="11"/>
        <v>1.7448388645818179E-3</v>
      </c>
      <c r="V17" s="1"/>
      <c r="W17" s="1">
        <f t="shared" si="11"/>
        <v>1.7448388645818179E-3</v>
      </c>
      <c r="X17" s="1"/>
      <c r="Y17" s="1">
        <f t="shared" si="11"/>
        <v>1.7448388645818179E-3</v>
      </c>
      <c r="Z17" s="1"/>
    </row>
    <row r="18" spans="1:26" s="8" customFormat="1">
      <c r="A18" s="19" t="str">
        <f>results!A19</f>
        <v>Spray pyrolysis</v>
      </c>
      <c r="B18" s="19">
        <f>results!C19</f>
        <v>7.1646036132171692E-3</v>
      </c>
      <c r="C18" s="19">
        <f>$B18*(1-D$2)</f>
        <v>0</v>
      </c>
      <c r="D18" s="19"/>
      <c r="E18" s="19">
        <f>$B18*(1-F$2)</f>
        <v>7.1646036132171672E-4</v>
      </c>
      <c r="F18" s="19"/>
      <c r="G18" s="19">
        <f>$B18*(1-H$2)</f>
        <v>1.4329207226434334E-3</v>
      </c>
      <c r="H18" s="19"/>
      <c r="I18" s="19">
        <f>$B18*(1-J$2)</f>
        <v>2.1493810839651509E-3</v>
      </c>
      <c r="J18" s="19"/>
      <c r="K18" s="19">
        <f>$B18*(1-L$2)</f>
        <v>0</v>
      </c>
      <c r="L18" s="19"/>
      <c r="M18" s="19">
        <f>$B18*(1-N$2)</f>
        <v>7.1646036132171672E-4</v>
      </c>
      <c r="N18" s="19"/>
      <c r="O18" s="19">
        <f>$B18*(1-P$2)</f>
        <v>1.4329207226434334E-3</v>
      </c>
      <c r="P18" s="19"/>
      <c r="Q18" s="19">
        <f>$B18*(1-R$2)</f>
        <v>2.1493810839651509E-3</v>
      </c>
      <c r="R18" s="19"/>
      <c r="S18" s="19">
        <f>$B18*(1-T$2)</f>
        <v>0</v>
      </c>
      <c r="T18" s="19"/>
      <c r="U18" s="19">
        <f>$B18*(1-V$2)</f>
        <v>7.1646036132171672E-4</v>
      </c>
      <c r="V18" s="19"/>
      <c r="W18" s="19">
        <f>$B18*(1-X$2)</f>
        <v>1.4329207226434334E-3</v>
      </c>
      <c r="X18" s="19"/>
      <c r="Y18" s="19">
        <f>$B18*(1-Z$2)</f>
        <v>2.1493810839651509E-3</v>
      </c>
      <c r="Z18" s="19"/>
    </row>
    <row r="19" spans="1:26" s="8" customFormat="1">
      <c r="A19" s="19" t="str">
        <f>results!A20</f>
        <v>ETL slot-die coating</v>
      </c>
      <c r="B19" s="19">
        <f>results!C20</f>
        <v>0.2602417236290267</v>
      </c>
      <c r="C19" s="19">
        <f>$B19*(1-D$2)</f>
        <v>0</v>
      </c>
      <c r="D19" s="19"/>
      <c r="E19" s="19">
        <f>$B19*(1-F$2)</f>
        <v>2.6024172362902664E-2</v>
      </c>
      <c r="F19" s="19"/>
      <c r="G19" s="19">
        <f>$B19*(1-H$2)</f>
        <v>5.2048344725805329E-2</v>
      </c>
      <c r="H19" s="19"/>
      <c r="I19" s="19">
        <f>$B19*(1-J$2)</f>
        <v>7.8072517088708021E-2</v>
      </c>
      <c r="J19" s="19"/>
      <c r="K19" s="19">
        <f>$B19*(1-L$2)</f>
        <v>0</v>
      </c>
      <c r="L19" s="19"/>
      <c r="M19" s="19">
        <f>$B19*(1-N$2)</f>
        <v>2.6024172362902664E-2</v>
      </c>
      <c r="N19" s="19"/>
      <c r="O19" s="19">
        <f>$B19*(1-P$2)</f>
        <v>5.2048344725805329E-2</v>
      </c>
      <c r="P19" s="19"/>
      <c r="Q19" s="19">
        <f>$B19*(1-R$2)</f>
        <v>7.8072517088708021E-2</v>
      </c>
      <c r="R19" s="19"/>
      <c r="S19" s="19">
        <f>$B19*(1-T$2)</f>
        <v>0</v>
      </c>
      <c r="T19" s="19"/>
      <c r="U19" s="19">
        <f>$B19*(1-V$2)</f>
        <v>2.6024172362902664E-2</v>
      </c>
      <c r="V19" s="19"/>
      <c r="W19" s="19">
        <f>$B19*(1-X$2)</f>
        <v>5.2048344725805329E-2</v>
      </c>
      <c r="X19" s="19"/>
      <c r="Y19" s="19">
        <f>$B19*(1-Z$2)</f>
        <v>7.8072517088708021E-2</v>
      </c>
      <c r="Z19" s="19"/>
    </row>
    <row r="20" spans="1:26" s="8" customFormat="1">
      <c r="A20" s="19" t="str">
        <f>results!A21</f>
        <v>ETL calcining</v>
      </c>
      <c r="B20" s="19">
        <f>results!C21</f>
        <v>535.35440289399776</v>
      </c>
      <c r="C20" s="19">
        <f>$B20*(1-D$2)</f>
        <v>0</v>
      </c>
      <c r="D20" s="19"/>
      <c r="E20" s="19">
        <f>$B20*(1-F$2)</f>
        <v>53.535440289399766</v>
      </c>
      <c r="F20" s="19"/>
      <c r="G20" s="19">
        <f>$B20*(1-H$2)</f>
        <v>107.07088057879953</v>
      </c>
      <c r="H20" s="19"/>
      <c r="I20" s="19">
        <f>$B20*(1-J$2)</f>
        <v>160.60632086819936</v>
      </c>
      <c r="J20" s="19"/>
      <c r="K20" s="19">
        <f>$B20*(1-L$2)</f>
        <v>0</v>
      </c>
      <c r="L20" s="19"/>
      <c r="M20" s="19">
        <f>$B20*(1-N$2)</f>
        <v>53.535440289399766</v>
      </c>
      <c r="N20" s="19"/>
      <c r="O20" s="19">
        <f>$B20*(1-P$2)</f>
        <v>107.07088057879953</v>
      </c>
      <c r="P20" s="19"/>
      <c r="Q20" s="19">
        <f>$B20*(1-R$2)</f>
        <v>160.60632086819936</v>
      </c>
      <c r="R20" s="19"/>
      <c r="S20" s="19">
        <f>$B20*(1-T$2)</f>
        <v>0</v>
      </c>
      <c r="T20" s="19"/>
      <c r="U20" s="19">
        <f>$B20*(1-V$2)</f>
        <v>53.535440289399766</v>
      </c>
      <c r="V20" s="19"/>
      <c r="W20" s="19">
        <f>$B20*(1-X$2)</f>
        <v>107.07088057879953</v>
      </c>
      <c r="X20" s="19"/>
      <c r="Y20" s="19">
        <f>$B20*(1-Z$2)</f>
        <v>160.60632086819936</v>
      </c>
      <c r="Z20" s="19"/>
    </row>
    <row r="21" spans="1:26">
      <c r="A21" s="1" t="str">
        <f>results!A22</f>
        <v>PL 1st-step slot-die coating</v>
      </c>
      <c r="B21" s="19">
        <f>results!C22</f>
        <v>0.37177389089860957</v>
      </c>
      <c r="C21" s="1">
        <f t="shared" ref="C21:C28" si="12">$B21</f>
        <v>0.37177389089860957</v>
      </c>
      <c r="D21" s="1"/>
      <c r="E21" s="1">
        <f t="shared" ref="E21:E28" si="13">$B21</f>
        <v>0.37177389089860957</v>
      </c>
      <c r="F21" s="1"/>
      <c r="G21" s="1">
        <f t="shared" ref="G21:G28" si="14">$B21</f>
        <v>0.37177389089860957</v>
      </c>
      <c r="H21" s="1"/>
      <c r="I21" s="1">
        <f t="shared" ref="I21:I28" si="15">$B21</f>
        <v>0.37177389089860957</v>
      </c>
      <c r="J21" s="1"/>
      <c r="K21" s="1">
        <f t="shared" ref="K21:K28" si="16">$B21</f>
        <v>0.37177389089860957</v>
      </c>
      <c r="L21" s="1"/>
      <c r="M21" s="1">
        <f t="shared" ref="M21:M28" si="17">$B21</f>
        <v>0.37177389089860957</v>
      </c>
      <c r="N21" s="1"/>
      <c r="O21" s="1">
        <f t="shared" ref="O21:O28" si="18">$B21</f>
        <v>0.37177389089860957</v>
      </c>
      <c r="P21" s="1"/>
      <c r="Q21" s="1">
        <f t="shared" ref="Q21:Q28" si="19">$B21</f>
        <v>0.37177389089860957</v>
      </c>
      <c r="R21" s="1"/>
      <c r="S21" s="1">
        <f t="shared" ref="S21:S28" si="20">$B21</f>
        <v>0.37177389089860957</v>
      </c>
      <c r="T21" s="1"/>
      <c r="U21" s="1">
        <f t="shared" ref="U21:U28" si="21">$B21</f>
        <v>0.37177389089860957</v>
      </c>
      <c r="V21" s="1"/>
      <c r="W21" s="1">
        <f t="shared" ref="W21:W28" si="22">$B21</f>
        <v>0.37177389089860957</v>
      </c>
      <c r="X21" s="1"/>
      <c r="Y21" s="1">
        <f t="shared" ref="Y21:Y28" si="23">$B21</f>
        <v>0.37177389089860957</v>
      </c>
      <c r="Z21" s="1"/>
    </row>
    <row r="22" spans="1:26">
      <c r="A22" s="1" t="str">
        <f>results!A23</f>
        <v>PL 2nd-step slot-die coating</v>
      </c>
      <c r="B22" s="19">
        <f>results!C23</f>
        <v>0.37177389089860957</v>
      </c>
      <c r="C22" s="1">
        <f t="shared" si="12"/>
        <v>0.37177389089860957</v>
      </c>
      <c r="D22" s="1"/>
      <c r="E22" s="1">
        <f t="shared" si="13"/>
        <v>0.37177389089860957</v>
      </c>
      <c r="F22" s="1"/>
      <c r="G22" s="1">
        <f t="shared" si="14"/>
        <v>0.37177389089860957</v>
      </c>
      <c r="H22" s="1"/>
      <c r="I22" s="1">
        <f t="shared" si="15"/>
        <v>0.37177389089860957</v>
      </c>
      <c r="J22" s="1"/>
      <c r="K22" s="1">
        <f t="shared" si="16"/>
        <v>0.37177389089860957</v>
      </c>
      <c r="L22" s="1"/>
      <c r="M22" s="1">
        <f t="shared" si="17"/>
        <v>0.37177389089860957</v>
      </c>
      <c r="N22" s="1"/>
      <c r="O22" s="1">
        <f t="shared" si="18"/>
        <v>0.37177389089860957</v>
      </c>
      <c r="P22" s="1"/>
      <c r="Q22" s="1">
        <f t="shared" si="19"/>
        <v>0.37177389089860957</v>
      </c>
      <c r="R22" s="1"/>
      <c r="S22" s="1">
        <f t="shared" si="20"/>
        <v>0.37177389089860957</v>
      </c>
      <c r="T22" s="1"/>
      <c r="U22" s="1">
        <f t="shared" si="21"/>
        <v>0.37177389089860957</v>
      </c>
      <c r="V22" s="1"/>
      <c r="W22" s="1">
        <f t="shared" si="22"/>
        <v>0.37177389089860957</v>
      </c>
      <c r="X22" s="1"/>
      <c r="Y22" s="1">
        <f t="shared" si="23"/>
        <v>0.37177389089860957</v>
      </c>
      <c r="Z22" s="1"/>
    </row>
    <row r="23" spans="1:26">
      <c r="A23" s="1" t="str">
        <f>results!A24</f>
        <v>PL 1st-step drying</v>
      </c>
      <c r="B23" s="19">
        <f>results!C24</f>
        <v>53.535440289399773</v>
      </c>
      <c r="C23" s="1">
        <f t="shared" si="12"/>
        <v>53.535440289399773</v>
      </c>
      <c r="D23" s="1"/>
      <c r="E23" s="1">
        <f t="shared" si="13"/>
        <v>53.535440289399773</v>
      </c>
      <c r="F23" s="1"/>
      <c r="G23" s="1">
        <f t="shared" si="14"/>
        <v>53.535440289399773</v>
      </c>
      <c r="H23" s="1"/>
      <c r="I23" s="1">
        <f t="shared" si="15"/>
        <v>53.535440289399773</v>
      </c>
      <c r="J23" s="1"/>
      <c r="K23" s="1">
        <f t="shared" si="16"/>
        <v>53.535440289399773</v>
      </c>
      <c r="L23" s="1"/>
      <c r="M23" s="1">
        <f t="shared" si="17"/>
        <v>53.535440289399773</v>
      </c>
      <c r="N23" s="1"/>
      <c r="O23" s="1">
        <f t="shared" si="18"/>
        <v>53.535440289399773</v>
      </c>
      <c r="P23" s="1"/>
      <c r="Q23" s="1">
        <f t="shared" si="19"/>
        <v>53.535440289399773</v>
      </c>
      <c r="R23" s="1"/>
      <c r="S23" s="1">
        <f t="shared" si="20"/>
        <v>53.535440289399773</v>
      </c>
      <c r="T23" s="1"/>
      <c r="U23" s="1">
        <f t="shared" si="21"/>
        <v>53.535440289399773</v>
      </c>
      <c r="V23" s="1"/>
      <c r="W23" s="1">
        <f t="shared" si="22"/>
        <v>53.535440289399773</v>
      </c>
      <c r="X23" s="1"/>
      <c r="Y23" s="1">
        <f t="shared" si="23"/>
        <v>53.535440289399773</v>
      </c>
      <c r="Z23" s="1"/>
    </row>
    <row r="24" spans="1:26">
      <c r="A24" s="1" t="str">
        <f>results!A25</f>
        <v>PL 2nd-step drying</v>
      </c>
      <c r="B24" s="19">
        <f>results!C25</f>
        <v>80.303160434099667</v>
      </c>
      <c r="C24" s="1">
        <f t="shared" si="12"/>
        <v>80.303160434099667</v>
      </c>
      <c r="D24" s="1"/>
      <c r="E24" s="1">
        <f t="shared" si="13"/>
        <v>80.303160434099667</v>
      </c>
      <c r="F24" s="1"/>
      <c r="G24" s="1">
        <f t="shared" si="14"/>
        <v>80.303160434099667</v>
      </c>
      <c r="H24" s="1"/>
      <c r="I24" s="1">
        <f t="shared" si="15"/>
        <v>80.303160434099667</v>
      </c>
      <c r="J24" s="1"/>
      <c r="K24" s="1">
        <f t="shared" si="16"/>
        <v>80.303160434099667</v>
      </c>
      <c r="L24" s="1"/>
      <c r="M24" s="1">
        <f t="shared" si="17"/>
        <v>80.303160434099667</v>
      </c>
      <c r="N24" s="1"/>
      <c r="O24" s="1">
        <f t="shared" si="18"/>
        <v>80.303160434099667</v>
      </c>
      <c r="P24" s="1"/>
      <c r="Q24" s="1">
        <f t="shared" si="19"/>
        <v>80.303160434099667</v>
      </c>
      <c r="R24" s="1"/>
      <c r="S24" s="1">
        <f t="shared" si="20"/>
        <v>80.303160434099667</v>
      </c>
      <c r="T24" s="1"/>
      <c r="U24" s="1">
        <f t="shared" si="21"/>
        <v>80.303160434099667</v>
      </c>
      <c r="V24" s="1"/>
      <c r="W24" s="1">
        <f t="shared" si="22"/>
        <v>80.303160434099667</v>
      </c>
      <c r="X24" s="1"/>
      <c r="Y24" s="1">
        <f t="shared" si="23"/>
        <v>80.303160434099667</v>
      </c>
      <c r="Z24" s="1"/>
    </row>
    <row r="25" spans="1:26">
      <c r="A25" s="1" t="str">
        <f>results!A26</f>
        <v>PL annealing</v>
      </c>
      <c r="B25" s="19">
        <f>results!C26</f>
        <v>53.535440289399773</v>
      </c>
      <c r="C25" s="1">
        <f t="shared" si="12"/>
        <v>53.535440289399773</v>
      </c>
      <c r="D25" s="1"/>
      <c r="E25" s="1">
        <f t="shared" si="13"/>
        <v>53.535440289399773</v>
      </c>
      <c r="F25" s="1"/>
      <c r="G25" s="1">
        <f t="shared" si="14"/>
        <v>53.535440289399773</v>
      </c>
      <c r="H25" s="1"/>
      <c r="I25" s="1">
        <f t="shared" si="15"/>
        <v>53.535440289399773</v>
      </c>
      <c r="J25" s="1"/>
      <c r="K25" s="1">
        <f t="shared" si="16"/>
        <v>53.535440289399773</v>
      </c>
      <c r="L25" s="1"/>
      <c r="M25" s="1">
        <f t="shared" si="17"/>
        <v>53.535440289399773</v>
      </c>
      <c r="N25" s="1"/>
      <c r="O25" s="1">
        <f t="shared" si="18"/>
        <v>53.535440289399773</v>
      </c>
      <c r="P25" s="1"/>
      <c r="Q25" s="1">
        <f t="shared" si="19"/>
        <v>53.535440289399773</v>
      </c>
      <c r="R25" s="1"/>
      <c r="S25" s="1">
        <f t="shared" si="20"/>
        <v>53.535440289399773</v>
      </c>
      <c r="T25" s="1"/>
      <c r="U25" s="1">
        <f t="shared" si="21"/>
        <v>53.535440289399773</v>
      </c>
      <c r="V25" s="1"/>
      <c r="W25" s="1">
        <f t="shared" si="22"/>
        <v>53.535440289399773</v>
      </c>
      <c r="X25" s="1"/>
      <c r="Y25" s="1">
        <f t="shared" si="23"/>
        <v>53.535440289399773</v>
      </c>
      <c r="Z25" s="1"/>
    </row>
    <row r="26" spans="1:26">
      <c r="A26" s="1" t="str">
        <f>results!A27</f>
        <v>HTL slot-die coating</v>
      </c>
      <c r="B26" s="19">
        <f>results!C27</f>
        <v>1.7349448241935115</v>
      </c>
      <c r="C26" s="1">
        <f t="shared" si="12"/>
        <v>1.7349448241935115</v>
      </c>
      <c r="D26" s="1"/>
      <c r="E26" s="1">
        <f t="shared" si="13"/>
        <v>1.7349448241935115</v>
      </c>
      <c r="F26" s="1"/>
      <c r="G26" s="1">
        <f t="shared" si="14"/>
        <v>1.7349448241935115</v>
      </c>
      <c r="H26" s="1"/>
      <c r="I26" s="1">
        <f t="shared" si="15"/>
        <v>1.7349448241935115</v>
      </c>
      <c r="J26" s="1"/>
      <c r="K26" s="1">
        <f t="shared" si="16"/>
        <v>1.7349448241935115</v>
      </c>
      <c r="L26" s="1"/>
      <c r="M26" s="1">
        <f t="shared" si="17"/>
        <v>1.7349448241935115</v>
      </c>
      <c r="N26" s="1"/>
      <c r="O26" s="1">
        <f t="shared" si="18"/>
        <v>1.7349448241935115</v>
      </c>
      <c r="P26" s="1"/>
      <c r="Q26" s="1">
        <f t="shared" si="19"/>
        <v>1.7349448241935115</v>
      </c>
      <c r="R26" s="1"/>
      <c r="S26" s="1">
        <f t="shared" si="20"/>
        <v>1.7349448241935115</v>
      </c>
      <c r="T26" s="1"/>
      <c r="U26" s="1">
        <f t="shared" si="21"/>
        <v>1.7349448241935115</v>
      </c>
      <c r="V26" s="1"/>
      <c r="W26" s="1">
        <f t="shared" si="22"/>
        <v>1.7349448241935115</v>
      </c>
      <c r="X26" s="1"/>
      <c r="Y26" s="1">
        <f t="shared" si="23"/>
        <v>1.7349448241935115</v>
      </c>
      <c r="Z26" s="1"/>
    </row>
    <row r="27" spans="1:26">
      <c r="A27" s="1" t="str">
        <f>results!A28</f>
        <v>Electrode sputtering</v>
      </c>
      <c r="B27" s="19">
        <f>results!C28</f>
        <v>97.156910154836652</v>
      </c>
      <c r="C27" s="1">
        <f t="shared" si="12"/>
        <v>97.156910154836652</v>
      </c>
      <c r="D27" s="1"/>
      <c r="E27" s="1">
        <f t="shared" si="13"/>
        <v>97.156910154836652</v>
      </c>
      <c r="F27" s="1"/>
      <c r="G27" s="1">
        <f t="shared" si="14"/>
        <v>97.156910154836652</v>
      </c>
      <c r="H27" s="1"/>
      <c r="I27" s="1">
        <f t="shared" si="15"/>
        <v>97.156910154836652</v>
      </c>
      <c r="J27" s="1"/>
      <c r="K27" s="1">
        <f t="shared" si="16"/>
        <v>97.156910154836652</v>
      </c>
      <c r="L27" s="1"/>
      <c r="M27" s="1">
        <f t="shared" si="17"/>
        <v>97.156910154836652</v>
      </c>
      <c r="N27" s="1"/>
      <c r="O27" s="1">
        <f t="shared" si="18"/>
        <v>97.156910154836652</v>
      </c>
      <c r="P27" s="1"/>
      <c r="Q27" s="1">
        <f t="shared" si="19"/>
        <v>97.156910154836652</v>
      </c>
      <c r="R27" s="1"/>
      <c r="S27" s="1">
        <f t="shared" si="20"/>
        <v>97.156910154836652</v>
      </c>
      <c r="T27" s="1"/>
      <c r="U27" s="1">
        <f t="shared" si="21"/>
        <v>97.156910154836652</v>
      </c>
      <c r="V27" s="1"/>
      <c r="W27" s="1">
        <f t="shared" si="22"/>
        <v>97.156910154836652</v>
      </c>
      <c r="X27" s="1"/>
      <c r="Y27" s="1">
        <f t="shared" si="23"/>
        <v>97.156910154836652</v>
      </c>
      <c r="Z27" s="1"/>
    </row>
    <row r="28" spans="1:26">
      <c r="A28" s="1" t="str">
        <f>results!A29</f>
        <v>Lamination</v>
      </c>
      <c r="B28" s="19">
        <f>results!C29</f>
        <v>0.15614503417741601</v>
      </c>
      <c r="C28" s="1">
        <f t="shared" si="12"/>
        <v>0.15614503417741601</v>
      </c>
      <c r="D28" s="1"/>
      <c r="E28" s="1">
        <f t="shared" si="13"/>
        <v>0.15614503417741601</v>
      </c>
      <c r="F28" s="1"/>
      <c r="G28" s="1">
        <f t="shared" si="14"/>
        <v>0.15614503417741601</v>
      </c>
      <c r="H28" s="1"/>
      <c r="I28" s="1">
        <f t="shared" si="15"/>
        <v>0.15614503417741601</v>
      </c>
      <c r="J28" s="1"/>
      <c r="K28" s="1">
        <f t="shared" si="16"/>
        <v>0.15614503417741601</v>
      </c>
      <c r="L28" s="1"/>
      <c r="M28" s="1">
        <f t="shared" si="17"/>
        <v>0.15614503417741601</v>
      </c>
      <c r="N28" s="1"/>
      <c r="O28" s="1">
        <f t="shared" si="18"/>
        <v>0.15614503417741601</v>
      </c>
      <c r="P28" s="1"/>
      <c r="Q28" s="1">
        <f t="shared" si="19"/>
        <v>0.15614503417741601</v>
      </c>
      <c r="R28" s="1"/>
      <c r="S28" s="1">
        <f t="shared" si="20"/>
        <v>0.15614503417741601</v>
      </c>
      <c r="T28" s="1"/>
      <c r="U28" s="1">
        <f t="shared" si="21"/>
        <v>0.15614503417741601</v>
      </c>
      <c r="V28" s="1"/>
      <c r="W28" s="1">
        <f t="shared" si="22"/>
        <v>0.15614503417741601</v>
      </c>
      <c r="X28" s="1"/>
      <c r="Y28" s="1">
        <f t="shared" si="23"/>
        <v>0.15614503417741601</v>
      </c>
      <c r="Z28" s="1"/>
    </row>
    <row r="29" spans="1:26" s="8" customFormat="1">
      <c r="A29" s="19" t="s">
        <v>141</v>
      </c>
      <c r="B29" s="19">
        <v>0</v>
      </c>
      <c r="C29" s="19">
        <f>'energy consumption'!$R$18*'recycling level-pec'!D$2</f>
        <v>0.28730686288644547</v>
      </c>
      <c r="D29" s="19"/>
      <c r="E29" s="19">
        <f>'energy consumption'!$R$18*'recycling level-pec'!F$2</f>
        <v>0.25857617659780091</v>
      </c>
      <c r="F29" s="19"/>
      <c r="G29" s="19">
        <f>'energy consumption'!$R$18*'recycling level-pec'!H$2</f>
        <v>0.22984549030915638</v>
      </c>
      <c r="H29" s="19"/>
      <c r="I29" s="19">
        <f>'energy consumption'!$R$18*'recycling level-pec'!J$2</f>
        <v>0.20111480402051182</v>
      </c>
      <c r="J29" s="19"/>
      <c r="K29" s="19">
        <f>'energy consumption'!$R$18*'recycling level-pec'!L$2</f>
        <v>0.28730686288644547</v>
      </c>
      <c r="L29" s="19"/>
      <c r="M29" s="19">
        <f>'energy consumption'!$R$18*'recycling level-pec'!N$2</f>
        <v>0.25857617659780091</v>
      </c>
      <c r="N29" s="19"/>
      <c r="O29" s="19">
        <f>'energy consumption'!$R$18*'recycling level-pec'!P$2</f>
        <v>0.22984549030915638</v>
      </c>
      <c r="P29" s="19"/>
      <c r="Q29" s="19">
        <f>'energy consumption'!$R$18*'recycling level-pec'!R$2</f>
        <v>0.20111480402051182</v>
      </c>
      <c r="R29" s="19"/>
      <c r="S29" s="19">
        <f>'energy consumption'!$R$18*'recycling level-pec'!T$2</f>
        <v>0.28730686288644547</v>
      </c>
      <c r="T29" s="19"/>
      <c r="U29" s="19">
        <f>'energy consumption'!$R$18*'recycling level-pec'!V$2</f>
        <v>0.25857617659780091</v>
      </c>
      <c r="V29" s="19"/>
      <c r="W29" s="19">
        <f>'energy consumption'!$R$18*'recycling level-pec'!X$2</f>
        <v>0.22984549030915638</v>
      </c>
      <c r="X29" s="19"/>
      <c r="Y29" s="19">
        <f>'energy consumption'!$R$18*'recycling level-pec'!Z$2</f>
        <v>0.20111480402051182</v>
      </c>
      <c r="Z29" s="19"/>
    </row>
    <row r="30" spans="1:26" s="8" customFormat="1">
      <c r="A30" s="19" t="s">
        <v>108</v>
      </c>
      <c r="B30" s="19">
        <v>0</v>
      </c>
      <c r="C30" s="19">
        <f>'[10]FTO with TiO2'!$V$33</f>
        <v>140.95794733817957</v>
      </c>
      <c r="D30" s="19"/>
      <c r="E30" s="19">
        <f>'[10]FTO with TiO2'!$V$33</f>
        <v>140.95794733817957</v>
      </c>
      <c r="F30" s="19"/>
      <c r="G30" s="19">
        <f>'[10]FTO with TiO2'!$V$33</f>
        <v>140.95794733817957</v>
      </c>
      <c r="H30" s="19"/>
      <c r="I30" s="19">
        <f>'[10]FTO with TiO2'!$V$33</f>
        <v>140.95794733817957</v>
      </c>
      <c r="J30" s="19"/>
      <c r="K30" s="19">
        <f>'[10]FTO with TiO2'!$V$33</f>
        <v>140.95794733817957</v>
      </c>
      <c r="L30" s="19"/>
      <c r="M30" s="19">
        <f>'[10]FTO with TiO2'!$V$33</f>
        <v>140.95794733817957</v>
      </c>
      <c r="N30" s="19"/>
      <c r="O30" s="19">
        <f>'[10]FTO with TiO2'!$V$33</f>
        <v>140.95794733817957</v>
      </c>
      <c r="P30" s="19"/>
      <c r="Q30" s="19">
        <f>'[10]FTO with TiO2'!$V$33</f>
        <v>140.95794733817957</v>
      </c>
      <c r="R30" s="19"/>
      <c r="S30" s="19">
        <f>'[10]FTO with TiO2'!$V$33</f>
        <v>140.95794733817957</v>
      </c>
      <c r="T30" s="19"/>
      <c r="U30" s="19">
        <f>'[10]FTO with TiO2'!$V$33</f>
        <v>140.95794733817957</v>
      </c>
      <c r="V30" s="19"/>
      <c r="W30" s="19">
        <f>'[10]FTO with TiO2'!$V$33</f>
        <v>140.95794733817957</v>
      </c>
      <c r="X30" s="19"/>
      <c r="Y30" s="19">
        <f>'[10]FTO with TiO2'!$V$33</f>
        <v>140.95794733817957</v>
      </c>
      <c r="Z30" s="19"/>
    </row>
    <row r="31" spans="1:26" s="8" customFormat="1">
      <c r="A31" s="19" t="s">
        <v>89</v>
      </c>
      <c r="B31" s="19">
        <v>0</v>
      </c>
      <c r="C31" s="19">
        <f>'[10]FTO with TiO2'!$V$25</f>
        <v>3.9863997770141872</v>
      </c>
      <c r="D31" s="19"/>
      <c r="E31" s="19">
        <f>'[10]FTO with TiO2'!$V$25</f>
        <v>3.9863997770141872</v>
      </c>
      <c r="F31" s="19"/>
      <c r="G31" s="19">
        <f>'[10]FTO with TiO2'!$V$25</f>
        <v>3.9863997770141872</v>
      </c>
      <c r="H31" s="19"/>
      <c r="I31" s="19">
        <f>'[10]FTO with TiO2'!$V$25</f>
        <v>3.9863997770141872</v>
      </c>
      <c r="J31" s="19"/>
      <c r="K31" s="19">
        <f>'[10]FTO with TiO2'!$V$25</f>
        <v>3.9863997770141872</v>
      </c>
      <c r="L31" s="19"/>
      <c r="M31" s="19">
        <f>'[10]FTO with TiO2'!$V$25</f>
        <v>3.9863997770141872</v>
      </c>
      <c r="N31" s="19"/>
      <c r="O31" s="19">
        <f>'[10]FTO with TiO2'!$V$25</f>
        <v>3.9863997770141872</v>
      </c>
      <c r="P31" s="19"/>
      <c r="Q31" s="19">
        <f>'[10]FTO with TiO2'!$V$25</f>
        <v>3.9863997770141872</v>
      </c>
      <c r="R31" s="19"/>
      <c r="S31" s="19">
        <f>'[10]FTO with TiO2'!$V$25</f>
        <v>3.9863997770141872</v>
      </c>
      <c r="T31" s="19"/>
      <c r="U31" s="19">
        <f>'[10]FTO with TiO2'!$V$25</f>
        <v>3.9863997770141872</v>
      </c>
      <c r="V31" s="19"/>
      <c r="W31" s="19">
        <f>'[10]FTO with TiO2'!$V$25</f>
        <v>3.9863997770141872</v>
      </c>
      <c r="X31" s="19"/>
      <c r="Y31" s="19">
        <f>'[10]FTO with TiO2'!$V$25</f>
        <v>3.9863997770141872</v>
      </c>
      <c r="Z31" s="19"/>
    </row>
    <row r="33" spans="3:25">
      <c r="C33">
        <f>SUM(C3:C32)</f>
        <v>443.26507612808513</v>
      </c>
      <c r="E33">
        <f>SUM(E3:E32)</f>
        <v>505.3839373115988</v>
      </c>
      <c r="G33">
        <f>SUM(G3:G32)</f>
        <v>567.50279849511242</v>
      </c>
      <c r="I33">
        <f>SUM(I3:I32)</f>
        <v>629.62165967862609</v>
      </c>
      <c r="K33">
        <f>SUM(K3:K32)</f>
        <v>443.27027413499928</v>
      </c>
      <c r="M33">
        <f>SUM(M3:M32)</f>
        <v>505.38913531851296</v>
      </c>
      <c r="O33">
        <f>SUM(O3:O32)</f>
        <v>567.50799650202657</v>
      </c>
      <c r="Q33">
        <f>SUM(Q3:Q32)</f>
        <v>629.62685768554024</v>
      </c>
      <c r="S33">
        <f>SUM(S3:S32)</f>
        <v>443.27547214191344</v>
      </c>
      <c r="U33">
        <f>SUM(U3:U32)</f>
        <v>505.39433332542711</v>
      </c>
      <c r="W33">
        <f>SUM(W3:W32)</f>
        <v>567.51319450894073</v>
      </c>
      <c r="Y33">
        <f>SUM(Y3:Y32)</f>
        <v>629.6320556924544</v>
      </c>
    </row>
    <row r="36" spans="3:25">
      <c r="C36" s="2"/>
      <c r="F36" t="s">
        <v>111</v>
      </c>
    </row>
    <row r="37" spans="3:25">
      <c r="C37" s="2"/>
      <c r="D37" s="22">
        <f>C33</f>
        <v>443.26507612808513</v>
      </c>
      <c r="E37" s="22">
        <f>E33</f>
        <v>505.3839373115988</v>
      </c>
      <c r="F37" s="22">
        <f>G33</f>
        <v>567.50279849511242</v>
      </c>
      <c r="G37" s="22">
        <f>I33</f>
        <v>629.62165967862609</v>
      </c>
    </row>
    <row r="38" spans="3:25">
      <c r="C38" s="2" t="s">
        <v>110</v>
      </c>
      <c r="D38" s="22">
        <f>K33</f>
        <v>443.27027413499928</v>
      </c>
      <c r="E38" s="22">
        <f>M33</f>
        <v>505.38913531851296</v>
      </c>
      <c r="F38" s="22">
        <f>O33</f>
        <v>567.50799650202657</v>
      </c>
      <c r="G38" s="22">
        <f>Q33</f>
        <v>629.62685768554024</v>
      </c>
    </row>
    <row r="39" spans="3:25">
      <c r="C39" s="2"/>
      <c r="D39" s="22">
        <f>S33</f>
        <v>443.27547214191344</v>
      </c>
      <c r="E39" s="22">
        <f>U33</f>
        <v>505.39433332542711</v>
      </c>
      <c r="F39" s="22">
        <f>W33</f>
        <v>567.51319450894073</v>
      </c>
      <c r="G39" s="22">
        <f>Y33</f>
        <v>629.6320556924544</v>
      </c>
    </row>
  </sheetData>
  <conditionalFormatting sqref="D37:G39">
    <cfRule type="colorScale" priority="1">
      <colorScale>
        <cfvo type="min"/>
        <cfvo type="max"/>
        <color rgb="FFFCFCFF"/>
        <color rgb="FFF8696B"/>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8CA58-B21A-480C-AEA9-B5BB8F511106}">
  <dimension ref="A1:R35"/>
  <sheetViews>
    <sheetView workbookViewId="0">
      <pane xSplit="1" topLeftCell="L1" activePane="topRight" state="frozen"/>
      <selection pane="topRight" activeCell="M5" sqref="M5:R17"/>
    </sheetView>
  </sheetViews>
  <sheetFormatPr defaultRowHeight="15"/>
  <cols>
    <col min="1" max="1" width="25.140625" customWidth="1"/>
    <col min="2" max="2" width="17.28515625" customWidth="1"/>
    <col min="3" max="3" width="26.28515625" customWidth="1"/>
    <col min="9" max="9" width="25.85546875" customWidth="1"/>
    <col min="12" max="12" width="52.42578125" customWidth="1"/>
  </cols>
  <sheetData>
    <row r="1" spans="1:18">
      <c r="G1" t="s">
        <v>111</v>
      </c>
      <c r="H1" s="35">
        <f>O8</f>
        <v>1</v>
      </c>
      <c r="I1" t="s">
        <v>110</v>
      </c>
      <c r="J1" s="35">
        <f>O10</f>
        <v>1</v>
      </c>
    </row>
    <row r="2" spans="1:18">
      <c r="B2">
        <f>'recycling level-cf'!B2</f>
        <v>0</v>
      </c>
      <c r="C2" t="str">
        <f>'recycling level-pec'!B2</f>
        <v>Primary energy consumption</v>
      </c>
      <c r="E2" t="s">
        <v>87</v>
      </c>
      <c r="F2" t="s">
        <v>88</v>
      </c>
      <c r="H2" t="s">
        <v>87</v>
      </c>
      <c r="I2" t="s">
        <v>88</v>
      </c>
    </row>
    <row r="3" spans="1:18" ht="15.75" thickBot="1">
      <c r="A3" s="10" t="str">
        <f>'recycling level-cf'!A3</f>
        <v>FTO glass</v>
      </c>
      <c r="B3">
        <f>'recycling level-cf'!B3</f>
        <v>3.4780676817599994</v>
      </c>
      <c r="C3">
        <f>'recycling level-pec'!B3</f>
        <v>85.029036949120112</v>
      </c>
      <c r="E3">
        <v>0</v>
      </c>
      <c r="F3">
        <v>0</v>
      </c>
      <c r="H3">
        <f>B3*(1-$H$1)</f>
        <v>0</v>
      </c>
      <c r="I3">
        <f>C3*(1-$H$1)</f>
        <v>0</v>
      </c>
    </row>
    <row r="4" spans="1:18" ht="16.5" thickTop="1" thickBot="1">
      <c r="A4" s="10" t="str">
        <f>'recycling level-cf'!A4</f>
        <v>BL-TiO₂ ink</v>
      </c>
      <c r="B4">
        <f>'recycling level-cf'!B4</f>
        <v>2.2765392121238102E-2</v>
      </c>
      <c r="C4">
        <f>'recycling level-pec'!B4</f>
        <v>0.61700956254785699</v>
      </c>
      <c r="E4">
        <v>0</v>
      </c>
      <c r="F4">
        <v>0</v>
      </c>
      <c r="H4">
        <f t="shared" ref="H4:H6" si="0">B4*(1-$H$1)</f>
        <v>0</v>
      </c>
      <c r="I4">
        <f t="shared" ref="I4:I6" si="1">C4*(1-$H$1)</f>
        <v>0</v>
      </c>
      <c r="L4" s="26" t="s">
        <v>127</v>
      </c>
    </row>
    <row r="5" spans="1:18" ht="15.75" thickTop="1">
      <c r="A5" s="10" t="str">
        <f>'recycling level-cf'!A5</f>
        <v>MP-TiO₂</v>
      </c>
      <c r="B5">
        <f>'recycling level-cf'!B5</f>
        <v>4.3640402400000004E-3</v>
      </c>
      <c r="C5">
        <f>'recycling level-pec'!B5</f>
        <v>4.6809738838836004E-2</v>
      </c>
      <c r="E5">
        <v>0</v>
      </c>
      <c r="F5">
        <v>0</v>
      </c>
      <c r="H5">
        <f t="shared" si="0"/>
        <v>0</v>
      </c>
      <c r="I5">
        <f t="shared" si="1"/>
        <v>0</v>
      </c>
      <c r="L5" t="s">
        <v>131</v>
      </c>
      <c r="M5" s="27">
        <f>O5*0.8</f>
        <v>4.0000000000000008E-2</v>
      </c>
      <c r="N5">
        <v>9.9246976910891327</v>
      </c>
      <c r="O5" s="28">
        <v>0.05</v>
      </c>
      <c r="P5">
        <f>$E$33</f>
        <v>9.9317968910948125</v>
      </c>
      <c r="Q5" s="29">
        <f>O5*1.2</f>
        <v>0.06</v>
      </c>
      <c r="R5">
        <v>9.9388960911004904</v>
      </c>
    </row>
    <row r="6" spans="1:18">
      <c r="A6" s="10" t="str">
        <f>'recycling level-cf'!A6</f>
        <v>2-methoxyethanol</v>
      </c>
      <c r="B6">
        <f>'recycling level-cf'!B6</f>
        <v>5.7271391279999995E-3</v>
      </c>
      <c r="C6">
        <f>'recycling level-pec'!B6</f>
        <v>0.16125322627587776</v>
      </c>
      <c r="E6">
        <v>0</v>
      </c>
      <c r="F6">
        <v>0</v>
      </c>
      <c r="H6">
        <f t="shared" si="0"/>
        <v>0</v>
      </c>
      <c r="I6">
        <f t="shared" si="1"/>
        <v>0</v>
      </c>
      <c r="L6" t="s">
        <v>132</v>
      </c>
      <c r="M6" s="30">
        <f t="shared" ref="M6:M7" si="2">O6*0.8</f>
        <v>0.21280000000000002</v>
      </c>
      <c r="N6">
        <v>9.8939777129823643</v>
      </c>
      <c r="O6" s="28">
        <v>0.26600000000000001</v>
      </c>
      <c r="P6">
        <f t="shared" ref="P6:P10" si="3">$E$33</f>
        <v>9.9317968910948125</v>
      </c>
      <c r="Q6" s="29">
        <f t="shared" ref="Q6:Q7" si="4">O6*1.2</f>
        <v>0.31919999999999998</v>
      </c>
      <c r="R6">
        <v>9.9696160692072588</v>
      </c>
    </row>
    <row r="7" spans="1:18">
      <c r="A7" t="str">
        <f>'recycling level-cf'!A7</f>
        <v>PbI₂</v>
      </c>
      <c r="B7">
        <f>'recycling level-cf'!B7</f>
        <v>3.5016340047384839E-3</v>
      </c>
      <c r="C7">
        <f>'recycling level-pec'!B7</f>
        <v>4.1638537323627607E-2</v>
      </c>
      <c r="E7">
        <v>3.5016340047384839E-3</v>
      </c>
      <c r="F7">
        <v>4.1638537323627607E-2</v>
      </c>
      <c r="H7">
        <f>B7</f>
        <v>3.5016340047384839E-3</v>
      </c>
      <c r="I7">
        <f>C7</f>
        <v>4.1638537323627607E-2</v>
      </c>
      <c r="L7" t="s">
        <v>133</v>
      </c>
      <c r="M7" s="30">
        <f t="shared" si="2"/>
        <v>0.56799999999999995</v>
      </c>
      <c r="N7">
        <v>9.8309457494616197</v>
      </c>
      <c r="O7" s="28">
        <v>0.71</v>
      </c>
      <c r="P7">
        <f t="shared" si="3"/>
        <v>9.9317968910948125</v>
      </c>
      <c r="Q7" s="29">
        <f t="shared" si="4"/>
        <v>0.85199999999999998</v>
      </c>
      <c r="R7">
        <v>10.032648032728003</v>
      </c>
    </row>
    <row r="8" spans="1:18">
      <c r="A8" t="str">
        <f>'recycling level-cf'!A8</f>
        <v>PbBr₂</v>
      </c>
      <c r="B8">
        <f>'recycling level-cf'!B8</f>
        <v>6.0294176243999574E-5</v>
      </c>
      <c r="C8">
        <f>'recycling level-pec'!B8</f>
        <v>7.9057775962192297E-4</v>
      </c>
      <c r="E8">
        <v>6.0294176243999574E-5</v>
      </c>
      <c r="F8">
        <v>7.9057775962192297E-4</v>
      </c>
      <c r="H8">
        <f t="shared" ref="H8:H14" si="5">B8</f>
        <v>6.0294176243999574E-5</v>
      </c>
      <c r="I8">
        <f t="shared" ref="I8:I14" si="6">C8</f>
        <v>7.9057775962192297E-4</v>
      </c>
      <c r="L8" t="s">
        <v>128</v>
      </c>
      <c r="M8" s="31">
        <f>O8*0.7</f>
        <v>0.7</v>
      </c>
      <c r="N8">
        <v>11.709085104360163</v>
      </c>
      <c r="O8" s="32">
        <v>1</v>
      </c>
      <c r="P8">
        <f t="shared" si="3"/>
        <v>9.9317968910948125</v>
      </c>
      <c r="Q8" s="33" t="s">
        <v>14</v>
      </c>
      <c r="R8">
        <f>P8</f>
        <v>9.9317968910948125</v>
      </c>
    </row>
    <row r="9" spans="1:18">
      <c r="A9" t="str">
        <f>'recycling level-cf'!A9</f>
        <v>FAI</v>
      </c>
      <c r="B9">
        <f>'recycling level-cf'!B9</f>
        <v>2.0114480946874777E-2</v>
      </c>
      <c r="C9">
        <f>'recycling level-pec'!B9</f>
        <v>0.35631319119228022</v>
      </c>
      <c r="E9">
        <v>2.0114480946874777E-2</v>
      </c>
      <c r="F9">
        <v>0.35631319119228022</v>
      </c>
      <c r="H9">
        <f t="shared" si="5"/>
        <v>2.0114480946874777E-2</v>
      </c>
      <c r="I9">
        <f t="shared" si="6"/>
        <v>0.35631319119228022</v>
      </c>
      <c r="L9" t="s">
        <v>134</v>
      </c>
      <c r="M9" s="31">
        <f>0.9*O9</f>
        <v>0.9</v>
      </c>
      <c r="N9">
        <v>12.10914569109481</v>
      </c>
      <c r="O9" s="32">
        <v>1</v>
      </c>
      <c r="P9">
        <f t="shared" si="3"/>
        <v>9.9317968910948125</v>
      </c>
      <c r="Q9" s="33" t="s">
        <v>14</v>
      </c>
      <c r="R9">
        <f>P9</f>
        <v>9.9317968910948125</v>
      </c>
    </row>
    <row r="10" spans="1:18" ht="15.75" thickBot="1">
      <c r="A10" t="str">
        <f>'recycling level-cf'!A10</f>
        <v>MABr</v>
      </c>
      <c r="B10">
        <f>'recycling level-cf'!B10</f>
        <v>0.1114344024570799</v>
      </c>
      <c r="C10">
        <f>'recycling level-pec'!B10</f>
        <v>1.9630136677403471</v>
      </c>
      <c r="E10">
        <v>0.1114344024570799</v>
      </c>
      <c r="F10">
        <v>1.9630136677403471</v>
      </c>
      <c r="H10">
        <f t="shared" si="5"/>
        <v>0.1114344024570799</v>
      </c>
      <c r="I10">
        <f t="shared" si="6"/>
        <v>1.9630136677403471</v>
      </c>
      <c r="L10" t="s">
        <v>129</v>
      </c>
      <c r="M10" s="31">
        <f>O10*0.8</f>
        <v>0.8</v>
      </c>
      <c r="N10">
        <v>14.28649449109481</v>
      </c>
      <c r="O10" s="32">
        <v>1</v>
      </c>
      <c r="P10">
        <f t="shared" si="3"/>
        <v>9.9317968910948125</v>
      </c>
      <c r="Q10" s="33" t="s">
        <v>14</v>
      </c>
      <c r="R10">
        <f>P10</f>
        <v>9.9317968910948125</v>
      </c>
    </row>
    <row r="11" spans="1:18" ht="16.5" thickTop="1" thickBot="1">
      <c r="A11" t="str">
        <f>'recycling level-cf'!A11</f>
        <v>DMF</v>
      </c>
      <c r="B11">
        <f>'recycling level-cf'!B11</f>
        <v>2.7778789137676346E-3</v>
      </c>
      <c r="C11">
        <f>'recycling level-pec'!B11</f>
        <v>7.5556306550594685E-2</v>
      </c>
      <c r="E11">
        <v>2.7778789137676346E-3</v>
      </c>
      <c r="F11">
        <v>7.5556306550594685E-2</v>
      </c>
      <c r="H11">
        <f t="shared" si="5"/>
        <v>2.7778789137676346E-3</v>
      </c>
      <c r="I11">
        <f t="shared" si="6"/>
        <v>7.5556306550594685E-2</v>
      </c>
      <c r="L11" s="26" t="s">
        <v>130</v>
      </c>
    </row>
    <row r="12" spans="1:18" ht="15.75" thickTop="1">
      <c r="A12" t="str">
        <f>'recycling level-cf'!A12</f>
        <v>DMSO</v>
      </c>
      <c r="B12">
        <f>'recycling level-cf'!B12</f>
        <v>3.5756612254426892E-4</v>
      </c>
      <c r="C12">
        <f>'recycling level-pec'!B12</f>
        <v>1.6499999309507574E-2</v>
      </c>
      <c r="E12">
        <v>3.5756612254426892E-4</v>
      </c>
      <c r="F12">
        <v>1.6499999309507574E-2</v>
      </c>
      <c r="H12">
        <f t="shared" si="5"/>
        <v>3.5756612254426892E-4</v>
      </c>
      <c r="I12">
        <f t="shared" si="6"/>
        <v>1.6499999309507574E-2</v>
      </c>
      <c r="L12" t="s">
        <v>131</v>
      </c>
      <c r="M12" s="34">
        <f>M5</f>
        <v>4.0000000000000008E-2</v>
      </c>
      <c r="N12">
        <v>167.85653951431115</v>
      </c>
      <c r="O12" s="28">
        <f>O5</f>
        <v>0.05</v>
      </c>
      <c r="P12">
        <f>$F$33</f>
        <v>167.98145554165308</v>
      </c>
      <c r="Q12" s="33">
        <f>Q5</f>
        <v>0.06</v>
      </c>
      <c r="R12">
        <v>168.106371568995</v>
      </c>
    </row>
    <row r="13" spans="1:18">
      <c r="A13" t="str">
        <f>'recycling level-cf'!A13</f>
        <v>Isopropanol</v>
      </c>
      <c r="B13">
        <f>'recycling level-cf'!B13</f>
        <v>9.8536232918946171E-2</v>
      </c>
      <c r="C13">
        <f>'recycling level-pec'!B13</f>
        <v>3.2570821583550118</v>
      </c>
      <c r="E13">
        <v>4.4190389189461702E-3</v>
      </c>
      <c r="F13">
        <v>0.14606985058801172</v>
      </c>
      <c r="H13">
        <f t="shared" si="5"/>
        <v>9.8536232918946171E-2</v>
      </c>
      <c r="I13">
        <f t="shared" si="6"/>
        <v>3.2570821583550118</v>
      </c>
      <c r="L13" t="s">
        <v>132</v>
      </c>
      <c r="M13" s="34">
        <f>M6</f>
        <v>0.21280000000000002</v>
      </c>
      <c r="N13">
        <v>167.31599725292131</v>
      </c>
      <c r="O13" s="28">
        <f>O6</f>
        <v>0.26600000000000001</v>
      </c>
      <c r="P13">
        <f t="shared" ref="P13:P17" si="7">$F$33</f>
        <v>167.98145554165308</v>
      </c>
      <c r="Q13" s="33">
        <f>Q6</f>
        <v>0.31919999999999998</v>
      </c>
      <c r="R13">
        <v>168.64691383038485</v>
      </c>
    </row>
    <row r="14" spans="1:18">
      <c r="A14" t="str">
        <f>'recycling level-cf'!A14</f>
        <v>PTAA solution</v>
      </c>
      <c r="B14">
        <f>'recycling level-cf'!B14</f>
        <v>4.2266595161539466E-2</v>
      </c>
      <c r="C14">
        <f>'recycling level-pec'!B14</f>
        <v>0.78923824670233655</v>
      </c>
      <c r="E14">
        <v>4.2266595161539466E-2</v>
      </c>
      <c r="F14">
        <v>0.78923824670233655</v>
      </c>
      <c r="H14">
        <f t="shared" si="5"/>
        <v>4.2266595161539466E-2</v>
      </c>
      <c r="I14">
        <f t="shared" si="6"/>
        <v>0.78923824670233655</v>
      </c>
      <c r="L14" t="s">
        <v>133</v>
      </c>
      <c r="M14" s="34">
        <f>M7</f>
        <v>0.56799999999999995</v>
      </c>
      <c r="N14">
        <v>166.20690010503506</v>
      </c>
      <c r="O14" s="28">
        <f>O7</f>
        <v>0.71</v>
      </c>
      <c r="P14">
        <f t="shared" si="7"/>
        <v>167.98145554165308</v>
      </c>
      <c r="Q14" s="33">
        <f>Q7</f>
        <v>0.85199999999999998</v>
      </c>
      <c r="R14">
        <v>169.75601097827109</v>
      </c>
    </row>
    <row r="15" spans="1:18">
      <c r="A15" s="10" t="str">
        <f>'recycling level-cf'!A15</f>
        <v>Cu</v>
      </c>
      <c r="B15">
        <f>'recycling level-cf'!B15</f>
        <v>7.2295014400000001E-3</v>
      </c>
      <c r="C15">
        <f>'recycling level-pec'!B15</f>
        <v>0.103960138283008</v>
      </c>
      <c r="E15">
        <v>0</v>
      </c>
      <c r="F15">
        <v>0</v>
      </c>
      <c r="H15">
        <f>B15*(1-$O$9*$J$1)</f>
        <v>0</v>
      </c>
      <c r="I15">
        <f>C15*(1-$O$9*$J$1)</f>
        <v>0</v>
      </c>
      <c r="L15" t="s">
        <v>134</v>
      </c>
      <c r="M15" s="31">
        <f>M9</f>
        <v>0.9</v>
      </c>
      <c r="N15">
        <v>200.40205508237307</v>
      </c>
      <c r="O15" s="32">
        <f>O9</f>
        <v>1</v>
      </c>
      <c r="P15">
        <f t="shared" si="7"/>
        <v>167.98145554165308</v>
      </c>
      <c r="Q15" s="33" t="s">
        <v>14</v>
      </c>
      <c r="R15">
        <f>P15</f>
        <v>167.98145554165308</v>
      </c>
    </row>
    <row r="16" spans="1:18">
      <c r="A16" t="str">
        <f>'recycling level-cf'!A16</f>
        <v>Ar</v>
      </c>
      <c r="B16">
        <f>'recycling level-cf'!B16</f>
        <v>0.29058656969696967</v>
      </c>
      <c r="C16">
        <f>'recycling level-pec'!B16</f>
        <v>4.3659558183030303</v>
      </c>
      <c r="E16">
        <v>5.8513339999999997E-2</v>
      </c>
      <c r="F16">
        <v>1.121768096012</v>
      </c>
      <c r="H16">
        <f>B16</f>
        <v>0.29058656969696967</v>
      </c>
      <c r="I16">
        <f>C16</f>
        <v>4.3659558183030303</v>
      </c>
      <c r="L16" t="s">
        <v>128</v>
      </c>
      <c r="M16" s="31">
        <f>M8</f>
        <v>0.7</v>
      </c>
      <c r="N16">
        <v>206.47723227218171</v>
      </c>
      <c r="O16" s="32">
        <f>O8</f>
        <v>1</v>
      </c>
      <c r="P16">
        <f t="shared" si="7"/>
        <v>167.98145554165308</v>
      </c>
      <c r="Q16" s="33" t="str">
        <f>Q8</f>
        <v>-</v>
      </c>
      <c r="R16">
        <f>P16</f>
        <v>167.98145554165308</v>
      </c>
    </row>
    <row r="17" spans="1:18">
      <c r="A17" t="str">
        <f>'recycling level-cf'!A17</f>
        <v>O₂</v>
      </c>
      <c r="B17">
        <f>'recycling level-cf'!B17</f>
        <v>1.2806957575757575E-4</v>
      </c>
      <c r="C17">
        <f>'recycling level-pec'!B17</f>
        <v>1.7448388645818179E-3</v>
      </c>
      <c r="E17">
        <v>0.19433649</v>
      </c>
      <c r="F17">
        <v>4.876431431436</v>
      </c>
      <c r="H17">
        <f>B17</f>
        <v>1.2806957575757575E-4</v>
      </c>
      <c r="I17">
        <f>C17</f>
        <v>1.7448388645818179E-3</v>
      </c>
      <c r="L17" t="s">
        <v>129</v>
      </c>
      <c r="M17" s="31">
        <f>M10</f>
        <v>0.8</v>
      </c>
      <c r="N17">
        <v>232.82265462309306</v>
      </c>
      <c r="O17" s="32">
        <f>O10</f>
        <v>1</v>
      </c>
      <c r="P17">
        <f t="shared" si="7"/>
        <v>167.98145554165308</v>
      </c>
      <c r="Q17" s="33" t="str">
        <f>Q10</f>
        <v>-</v>
      </c>
      <c r="R17">
        <f>P17</f>
        <v>167.98145554165308</v>
      </c>
    </row>
    <row r="18" spans="1:18">
      <c r="A18" s="10" t="str">
        <f>'recycling level-cf'!A18</f>
        <v>Spray pyrolysis</v>
      </c>
      <c r="B18">
        <f>'recycling level-cf'!B18</f>
        <v>4.0717716608465655E-4</v>
      </c>
      <c r="C18">
        <f>'recycling level-pec'!B18</f>
        <v>7.1646036132171692E-3</v>
      </c>
      <c r="E18">
        <v>0</v>
      </c>
      <c r="F18">
        <v>0</v>
      </c>
      <c r="H18">
        <f>B18*(1-$H$1)</f>
        <v>0</v>
      </c>
      <c r="I18">
        <f>C18*(1-$H$1)</f>
        <v>0</v>
      </c>
    </row>
    <row r="19" spans="1:18">
      <c r="A19" s="10" t="str">
        <f>'recycling level-cf'!A19</f>
        <v>ETL slot-die coating</v>
      </c>
      <c r="B19">
        <f>'recycling level-cf'!B19</f>
        <v>1.4790000011831998E-2</v>
      </c>
      <c r="C19">
        <f>'recycling level-pec'!B19</f>
        <v>0.2602417236290267</v>
      </c>
      <c r="E19">
        <v>0</v>
      </c>
      <c r="F19">
        <v>0</v>
      </c>
      <c r="H19">
        <f t="shared" ref="H19:H20" si="8">B19*(1-$H$1)</f>
        <v>0</v>
      </c>
      <c r="I19">
        <f t="shared" ref="I19:I20" si="9">C19*(1-$H$1)</f>
        <v>0</v>
      </c>
    </row>
    <row r="20" spans="1:18">
      <c r="A20" s="10" t="str">
        <f>'recycling level-cf'!A20</f>
        <v>ETL calcining</v>
      </c>
      <c r="B20">
        <f>'recycling level-cf'!B20</f>
        <v>30.425142881482966</v>
      </c>
      <c r="C20">
        <f>'recycling level-pec'!B20</f>
        <v>535.35440289399776</v>
      </c>
      <c r="E20">
        <v>0</v>
      </c>
      <c r="F20">
        <v>0</v>
      </c>
      <c r="H20">
        <f t="shared" si="8"/>
        <v>0</v>
      </c>
      <c r="I20">
        <f t="shared" si="9"/>
        <v>0</v>
      </c>
    </row>
    <row r="21" spans="1:18">
      <c r="A21" t="str">
        <f>'recycling level-cf'!A21</f>
        <v>PL 1st-step slot-die coating</v>
      </c>
      <c r="B21">
        <f>'recycling level-cf'!B21</f>
        <v>2.1128571445474281E-2</v>
      </c>
      <c r="C21">
        <f>'recycling level-pec'!B21</f>
        <v>0.37177389089860957</v>
      </c>
      <c r="E21">
        <v>1.7748000014198396E-2</v>
      </c>
      <c r="F21">
        <v>0.31229006835483203</v>
      </c>
      <c r="H21">
        <f>(B21+B22)/$O$5*$O$5</f>
        <v>4.2257142890948562E-2</v>
      </c>
      <c r="I21">
        <f>(C21+C22)/$O$5*$O$5</f>
        <v>0.74354778179721914</v>
      </c>
    </row>
    <row r="22" spans="1:18">
      <c r="A22" t="str">
        <f>'recycling level-cf'!A22</f>
        <v>PL 2nd-step slot-die coating</v>
      </c>
      <c r="B22">
        <f>'recycling level-cf'!B22</f>
        <v>2.1128571445474281E-2</v>
      </c>
      <c r="C22">
        <f>'recycling level-pec'!B22</f>
        <v>0.37177389089860957</v>
      </c>
      <c r="E22">
        <v>1.7748000014198396E-2</v>
      </c>
      <c r="F22">
        <v>0.31229006835483203</v>
      </c>
    </row>
    <row r="23" spans="1:18">
      <c r="A23" t="str">
        <f>'recycling level-cf'!A23</f>
        <v>PL 1st-step drying</v>
      </c>
      <c r="B23">
        <f>'recycling level-cf'!B23</f>
        <v>3.0425142881482961</v>
      </c>
      <c r="C23">
        <f>'recycling level-pec'!B23</f>
        <v>53.535440289399773</v>
      </c>
      <c r="E23">
        <v>0.18909589056223558</v>
      </c>
      <c r="F23">
        <v>3.327291443658789</v>
      </c>
      <c r="H23">
        <f>(B23+B24)/$O$7*$O$7</f>
        <v>7.6062857203707424</v>
      </c>
      <c r="I23">
        <f>(C23+C24)/$O$7*$O$7</f>
        <v>133.83860072349944</v>
      </c>
    </row>
    <row r="24" spans="1:18">
      <c r="A24" t="str">
        <f>'recycling level-cf'!A24</f>
        <v>PL 2nd-step drying</v>
      </c>
      <c r="B24">
        <f>'recycling level-cf'!B24</f>
        <v>4.5637714322224454</v>
      </c>
      <c r="C24">
        <f>'recycling level-pec'!B24</f>
        <v>80.303160434099667</v>
      </c>
      <c r="E24">
        <v>0.31515981760372602</v>
      </c>
      <c r="F24">
        <v>5.5454857394313155</v>
      </c>
    </row>
    <row r="25" spans="1:18">
      <c r="A25" t="str">
        <f>'recycling level-cf'!A25</f>
        <v>PL annealing</v>
      </c>
      <c r="B25">
        <f>'recycling level-cf'!B25</f>
        <v>3.0425142881482961</v>
      </c>
      <c r="C25">
        <f>'recycling level-pec'!B25</f>
        <v>53.535440289399773</v>
      </c>
      <c r="E25">
        <v>0.18909589056223558</v>
      </c>
      <c r="F25">
        <v>3.327291443658789</v>
      </c>
      <c r="H25">
        <f>B25/$O$6*$O$6</f>
        <v>3.0425142881482961</v>
      </c>
      <c r="I25">
        <f>C25/$O$6*$O$6</f>
        <v>53.535440289399773</v>
      </c>
    </row>
    <row r="26" spans="1:18">
      <c r="A26" t="str">
        <f>'recycling level-cf'!A26</f>
        <v>HTL slot-die coating</v>
      </c>
      <c r="B26">
        <f>'recycling level-cf'!B26</f>
        <v>9.8600000078879993E-2</v>
      </c>
      <c r="C26">
        <f>'recycling level-pec'!B26</f>
        <v>1.7349448241935115</v>
      </c>
      <c r="E26">
        <v>1.7748000014198396E-2</v>
      </c>
      <c r="F26">
        <v>0.31229006835483203</v>
      </c>
      <c r="H26">
        <f t="shared" ref="H26:H28" si="10">B26</f>
        <v>9.8600000078879993E-2</v>
      </c>
      <c r="I26">
        <f t="shared" ref="I26:I28" si="11">C26</f>
        <v>1.7349448241935115</v>
      </c>
    </row>
    <row r="27" spans="1:18">
      <c r="A27" t="str">
        <f>'recycling level-cf'!A27</f>
        <v>Electrode sputtering</v>
      </c>
      <c r="B27">
        <f>'recycling level-cf'!B27</f>
        <v>5.5216000044172793</v>
      </c>
      <c r="C27">
        <f>'recycling level-pec'!B27</f>
        <v>97.156910154836652</v>
      </c>
      <c r="E27">
        <v>3.9440000031551996E-3</v>
      </c>
      <c r="F27">
        <v>6.9397792967740457E-2</v>
      </c>
      <c r="H27">
        <f t="shared" si="10"/>
        <v>5.5216000044172793</v>
      </c>
      <c r="I27">
        <f t="shared" si="11"/>
        <v>97.156910154836652</v>
      </c>
    </row>
    <row r="28" spans="1:18">
      <c r="A28" t="str">
        <f>'recycling level-cf'!A28</f>
        <v>Lamination</v>
      </c>
      <c r="B28">
        <f>'recycling level-cf'!B28</f>
        <v>8.8740000070991979E-3</v>
      </c>
      <c r="C28">
        <f>'recycling level-pec'!B28</f>
        <v>0.15614503417741601</v>
      </c>
      <c r="E28">
        <v>8.8740000070991979E-3</v>
      </c>
      <c r="F28">
        <v>0.15614503417741601</v>
      </c>
      <c r="H28">
        <f t="shared" si="10"/>
        <v>8.8740000070991979E-3</v>
      </c>
      <c r="I28">
        <f t="shared" si="11"/>
        <v>0.15614503417741601</v>
      </c>
    </row>
    <row r="29" spans="1:18">
      <c r="A29" s="10" t="str">
        <f>'recycling level-cf'!A29</f>
        <v>UV/O₃ cleaning</v>
      </c>
      <c r="B29">
        <f>'recycling level-cf'!B29</f>
        <v>0</v>
      </c>
      <c r="C29">
        <f>'recycling level-pec'!B29</f>
        <v>0</v>
      </c>
      <c r="E29">
        <v>1.6328160013062525E-2</v>
      </c>
      <c r="F29">
        <v>0.28730686288644547</v>
      </c>
      <c r="H29" s="20">
        <v>1.6328160013062525E-2</v>
      </c>
      <c r="I29" s="20">
        <v>0.28730686288644547</v>
      </c>
    </row>
    <row r="30" spans="1:18">
      <c r="A30" t="str">
        <f>'recycling level-cf'!A30</f>
        <v>Recycling</v>
      </c>
      <c r="B30">
        <f>'recycling level-cf'!B30</f>
        <v>0</v>
      </c>
      <c r="C30">
        <f>'recycling level-pec'!B30</f>
        <v>0</v>
      </c>
      <c r="E30">
        <v>6.0357972033270002</v>
      </c>
      <c r="F30">
        <v>140.95794733817957</v>
      </c>
      <c r="H30">
        <f>'recycling level-cf'!C30</f>
        <v>6.0357972033270002</v>
      </c>
      <c r="I30">
        <f>'recycling level-pec'!C30</f>
        <v>140.95794733817957</v>
      </c>
    </row>
    <row r="31" spans="1:18">
      <c r="A31" t="str">
        <f>'recycling level-cf'!A31</f>
        <v>Treatment</v>
      </c>
      <c r="B31">
        <f>'recycling level-cf'!B31</f>
        <v>0</v>
      </c>
      <c r="C31">
        <f>'recycling level-pec'!B31</f>
        <v>0</v>
      </c>
      <c r="E31">
        <v>2.6824762082719671</v>
      </c>
      <c r="F31">
        <v>3.9863997770141872</v>
      </c>
      <c r="H31">
        <f>'recycling level-cf'!C31</f>
        <v>2.6824762082719671</v>
      </c>
      <c r="I31">
        <f>'recycling level-pec'!C31</f>
        <v>3.9863997770141872</v>
      </c>
    </row>
    <row r="33" spans="5:9">
      <c r="E33">
        <v>9.9317968910948125</v>
      </c>
      <c r="F33">
        <v>167.98145554165308</v>
      </c>
      <c r="H33">
        <f>SUM(H3:H32)</f>
        <v>25.624496451499741</v>
      </c>
      <c r="I33">
        <f>SUM(I3:I32)</f>
        <v>443.26507612808513</v>
      </c>
    </row>
    <row r="35" spans="5:9">
      <c r="H35">
        <f>E33-H33</f>
        <v>-15.692699560404929</v>
      </c>
      <c r="I35">
        <f>F33-I33</f>
        <v>-275.28362058643205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DE43C-20B2-46C8-8316-A7C96F1279AC}">
  <sheetPr codeName="Sheet3"/>
  <dimension ref="A1:H34"/>
  <sheetViews>
    <sheetView zoomScaleNormal="100" workbookViewId="0">
      <pane ySplit="1" topLeftCell="A4" activePane="bottomLeft" state="frozen"/>
      <selection pane="bottomLeft" activeCell="H35" sqref="H35"/>
    </sheetView>
  </sheetViews>
  <sheetFormatPr defaultRowHeight="15"/>
  <cols>
    <col min="1" max="1" width="33.42578125" style="38" customWidth="1"/>
    <col min="2" max="2" width="13.28515625" style="38" bestFit="1" customWidth="1"/>
    <col min="3" max="3" width="9.28515625" style="38" bestFit="1" customWidth="1"/>
    <col min="4" max="4" width="13.140625" style="38" bestFit="1" customWidth="1"/>
    <col min="5" max="6" width="9.28515625" style="38" bestFit="1" customWidth="1"/>
    <col min="7" max="8" width="13.140625" style="38" bestFit="1" customWidth="1"/>
    <col min="9" max="9" width="9.28515625" style="38" bestFit="1" customWidth="1"/>
    <col min="10" max="10" width="13.140625" style="38" bestFit="1" customWidth="1"/>
    <col min="11" max="11" width="9.28515625" style="38" bestFit="1" customWidth="1"/>
    <col min="12" max="24" width="13.140625" style="38" bestFit="1" customWidth="1"/>
    <col min="25" max="16384" width="9.140625" style="38"/>
  </cols>
  <sheetData>
    <row r="1" spans="1:8">
      <c r="A1" s="89"/>
      <c r="B1" s="89" t="s">
        <v>87</v>
      </c>
      <c r="C1" s="89" t="s">
        <v>88</v>
      </c>
      <c r="D1" s="89"/>
      <c r="E1" s="89"/>
      <c r="F1" s="89"/>
      <c r="G1" s="89" t="str">
        <f>B1</f>
        <v>Carbon footprint</v>
      </c>
      <c r="H1" s="89" t="str">
        <f>C1</f>
        <v>Primary energy consumption</v>
      </c>
    </row>
    <row r="2" spans="1:8">
      <c r="A2" s="90" t="str">
        <f>'[11]material inventory'!K13</f>
        <v>FTO glass</v>
      </c>
      <c r="B2" s="38">
        <f>'[11]material inventory'!L13</f>
        <v>0.34780676817599987</v>
      </c>
      <c r="C2" s="38">
        <f>'[11]material inventory'!M13</f>
        <v>8.5029036949120105</v>
      </c>
      <c r="G2" s="38">
        <f>B2</f>
        <v>0.34780676817599987</v>
      </c>
      <c r="H2" s="38">
        <f>C2</f>
        <v>8.5029036949120105</v>
      </c>
    </row>
    <row r="3" spans="1:8">
      <c r="A3" s="90" t="str">
        <f>'[11]material inventory'!K14</f>
        <v>BL-TiO₂ ink</v>
      </c>
      <c r="B3" s="38">
        <f>'[11]material inventory'!L14</f>
        <v>2.2765392121238096E-3</v>
      </c>
      <c r="C3" s="38">
        <f>'[11]material inventory'!M14</f>
        <v>6.1700956254785687E-2</v>
      </c>
      <c r="G3" s="38">
        <f t="shared" ref="G3:H28" si="0">B3</f>
        <v>2.2765392121238096E-3</v>
      </c>
      <c r="H3" s="38">
        <f t="shared" si="0"/>
        <v>6.1700956254785687E-2</v>
      </c>
    </row>
    <row r="4" spans="1:8">
      <c r="A4" s="90" t="str">
        <f>'[11]material inventory'!K15</f>
        <v>MP-TiO₂</v>
      </c>
      <c r="B4" s="38">
        <f>'[11]material inventory'!L15</f>
        <v>4.364040239999999E-4</v>
      </c>
      <c r="C4" s="38">
        <f>'[11]material inventory'!M15</f>
        <v>4.6809738838835997E-3</v>
      </c>
      <c r="G4" s="38">
        <f t="shared" si="0"/>
        <v>4.364040239999999E-4</v>
      </c>
      <c r="H4" s="38">
        <f t="shared" si="0"/>
        <v>4.6809738838835997E-3</v>
      </c>
    </row>
    <row r="5" spans="1:8">
      <c r="A5" s="90" t="str">
        <f>'[11]material inventory'!K16</f>
        <v>2-methoxyethanol</v>
      </c>
      <c r="B5" s="38">
        <f>'[11]material inventory'!L16</f>
        <v>5.7271391279999984E-4</v>
      </c>
      <c r="C5" s="38">
        <f>'[11]material inventory'!M16</f>
        <v>1.6125322627587774E-2</v>
      </c>
      <c r="G5" s="38">
        <f t="shared" si="0"/>
        <v>5.7271391279999984E-4</v>
      </c>
      <c r="H5" s="38">
        <f t="shared" si="0"/>
        <v>1.6125322627587774E-2</v>
      </c>
    </row>
    <row r="6" spans="1:8">
      <c r="A6" s="90" t="str">
        <f>'[11]material inventory'!K17</f>
        <v>PbI₂</v>
      </c>
      <c r="B6" s="38">
        <f>'[11]material inventory'!L17</f>
        <v>3.5016340047384839E-3</v>
      </c>
      <c r="C6" s="38">
        <f>'[11]material inventory'!M17</f>
        <v>4.1638537323627607E-2</v>
      </c>
      <c r="G6" s="38">
        <f t="shared" si="0"/>
        <v>3.5016340047384839E-3</v>
      </c>
      <c r="H6" s="38">
        <f t="shared" si="0"/>
        <v>4.1638537323627607E-2</v>
      </c>
    </row>
    <row r="7" spans="1:8">
      <c r="A7" s="90" t="str">
        <f>'[11]material inventory'!K18</f>
        <v>PbBr₂</v>
      </c>
      <c r="B7" s="38">
        <f>'[11]material inventory'!L18</f>
        <v>6.0294176243999574E-5</v>
      </c>
      <c r="C7" s="38">
        <f>'[11]material inventory'!M18</f>
        <v>7.9057775962192297E-4</v>
      </c>
      <c r="G7" s="38">
        <f t="shared" si="0"/>
        <v>6.0294176243999574E-5</v>
      </c>
      <c r="H7" s="38">
        <f t="shared" si="0"/>
        <v>7.9057775962192297E-4</v>
      </c>
    </row>
    <row r="8" spans="1:8">
      <c r="A8" s="90" t="str">
        <f>'[11]material inventory'!K19</f>
        <v>FAI</v>
      </c>
      <c r="B8" s="38">
        <f>'[11]material inventory'!L19</f>
        <v>2.0114480946874777E-2</v>
      </c>
      <c r="C8" s="38">
        <f>'[11]material inventory'!M19</f>
        <v>0.35631319119228022</v>
      </c>
      <c r="G8" s="38">
        <f t="shared" si="0"/>
        <v>2.0114480946874777E-2</v>
      </c>
      <c r="H8" s="38">
        <f t="shared" si="0"/>
        <v>0.35631319119228022</v>
      </c>
    </row>
    <row r="9" spans="1:8">
      <c r="A9" s="90" t="str">
        <f>'[11]material inventory'!K20</f>
        <v>MABr</v>
      </c>
      <c r="B9" s="38">
        <f>'[11]material inventory'!L20</f>
        <v>0.1114344024570799</v>
      </c>
      <c r="C9" s="38">
        <f>'[11]material inventory'!M20</f>
        <v>1.9630136677403471</v>
      </c>
      <c r="G9" s="38">
        <f t="shared" si="0"/>
        <v>0.1114344024570799</v>
      </c>
      <c r="H9" s="38">
        <f t="shared" si="0"/>
        <v>1.9630136677403471</v>
      </c>
    </row>
    <row r="10" spans="1:8">
      <c r="A10" s="90" t="str">
        <f>'[11]material inventory'!K21</f>
        <v>DMF</v>
      </c>
      <c r="B10" s="38">
        <f>'[11]material inventory'!L21</f>
        <v>2.7778789137676346E-3</v>
      </c>
      <c r="C10" s="38">
        <f>'[11]material inventory'!M21</f>
        <v>7.5556306550594685E-2</v>
      </c>
      <c r="G10" s="38">
        <f t="shared" si="0"/>
        <v>2.7778789137676346E-3</v>
      </c>
      <c r="H10" s="38">
        <f t="shared" si="0"/>
        <v>7.5556306550594685E-2</v>
      </c>
    </row>
    <row r="11" spans="1:8">
      <c r="A11" s="90" t="str">
        <f>'[11]material inventory'!K22</f>
        <v>DMSO</v>
      </c>
      <c r="B11" s="38">
        <f>'[11]material inventory'!L22</f>
        <v>3.5756612254426892E-4</v>
      </c>
      <c r="C11" s="38">
        <f>'[11]material inventory'!M22</f>
        <v>1.6499999309507574E-2</v>
      </c>
      <c r="G11" s="38">
        <f t="shared" si="0"/>
        <v>3.5756612254426892E-4</v>
      </c>
      <c r="H11" s="38">
        <f t="shared" si="0"/>
        <v>1.6499999309507574E-2</v>
      </c>
    </row>
    <row r="12" spans="1:8">
      <c r="A12" s="90" t="str">
        <f>'[11]material inventory'!K23</f>
        <v>Isopropanol</v>
      </c>
      <c r="B12" s="38">
        <f>'[11]material inventory'!L23</f>
        <v>9.8536232918946171E-2</v>
      </c>
      <c r="C12" s="38">
        <f>'[11]material inventory'!M23</f>
        <v>3.2570821583550118</v>
      </c>
      <c r="G12" s="38">
        <f t="shared" si="0"/>
        <v>9.8536232918946171E-2</v>
      </c>
      <c r="H12" s="38">
        <f t="shared" si="0"/>
        <v>3.2570821583550118</v>
      </c>
    </row>
    <row r="13" spans="1:8">
      <c r="A13" s="90" t="str">
        <f>'[11]material inventory'!K24</f>
        <v>PTAA solution</v>
      </c>
      <c r="B13" s="38">
        <f>'[11]material inventory'!L24</f>
        <v>4.2266595161539466E-2</v>
      </c>
      <c r="C13" s="38">
        <f>'[11]material inventory'!M24</f>
        <v>0.78923824670233655</v>
      </c>
      <c r="G13" s="38">
        <f t="shared" si="0"/>
        <v>4.2266595161539466E-2</v>
      </c>
      <c r="H13" s="38">
        <f t="shared" si="0"/>
        <v>0.78923824670233655</v>
      </c>
    </row>
    <row r="14" spans="1:8">
      <c r="A14" s="90" t="str">
        <f>'[11]material inventory'!K25</f>
        <v>Cu</v>
      </c>
      <c r="B14" s="38">
        <f>'[11]material inventory'!L25</f>
        <v>3.7954882559999999E-3</v>
      </c>
      <c r="C14" s="38">
        <f>'[11]material inventory'!M25</f>
        <v>5.4579072598579199E-2</v>
      </c>
      <c r="G14" s="38">
        <f t="shared" si="0"/>
        <v>3.7954882559999999E-3</v>
      </c>
      <c r="H14" s="38">
        <f t="shared" si="0"/>
        <v>5.4579072598579199E-2</v>
      </c>
    </row>
    <row r="15" spans="1:8">
      <c r="A15" s="90" t="str">
        <f>'[11]material inventory'!K26</f>
        <v>Ar</v>
      </c>
      <c r="B15" s="38">
        <f>'[11]material inventory'!L26</f>
        <v>0.29058656969696967</v>
      </c>
      <c r="C15" s="38">
        <f>'[11]material inventory'!M26</f>
        <v>4.3659558183030303</v>
      </c>
      <c r="G15" s="38">
        <f t="shared" si="0"/>
        <v>0.29058656969696967</v>
      </c>
      <c r="H15" s="38">
        <f t="shared" si="0"/>
        <v>4.3659558183030303</v>
      </c>
    </row>
    <row r="16" spans="1:8">
      <c r="A16" s="90" t="str">
        <f>'[11]material inventory'!K27</f>
        <v>O₂</v>
      </c>
      <c r="B16" s="38">
        <f>'[11]material inventory'!L27</f>
        <v>1.2806957575757575E-4</v>
      </c>
      <c r="C16" s="38">
        <f>'[11]material inventory'!M27</f>
        <v>1.7448388645818179E-3</v>
      </c>
      <c r="G16" s="38">
        <f t="shared" si="0"/>
        <v>1.2806957575757575E-4</v>
      </c>
      <c r="H16" s="38">
        <f t="shared" si="0"/>
        <v>1.7448388645818179E-3</v>
      </c>
    </row>
    <row r="17" spans="1:8">
      <c r="A17" s="90" t="str">
        <f>'[11]material inventory'!K28</f>
        <v>Adhesive</v>
      </c>
      <c r="B17" s="38">
        <f>'[11]material inventory'!L28</f>
        <v>5.8513339999999997E-2</v>
      </c>
      <c r="C17" s="38">
        <f>'[11]material inventory'!M28</f>
        <v>1.121768096012</v>
      </c>
      <c r="G17" s="38">
        <f t="shared" si="0"/>
        <v>5.8513339999999997E-2</v>
      </c>
      <c r="H17" s="38">
        <f t="shared" si="0"/>
        <v>1.121768096012</v>
      </c>
    </row>
    <row r="18" spans="1:8">
      <c r="A18" s="90" t="str">
        <f>'[11]material inventory'!K29</f>
        <v>PET</v>
      </c>
      <c r="B18" s="38">
        <f>'[11]material inventory'!L29</f>
        <v>0.19433649</v>
      </c>
      <c r="C18" s="38">
        <f>'[11]material inventory'!M29</f>
        <v>4.876431431436</v>
      </c>
      <c r="G18" s="38">
        <f t="shared" si="0"/>
        <v>0.19433649</v>
      </c>
      <c r="H18" s="38">
        <f t="shared" si="0"/>
        <v>4.876431431436</v>
      </c>
    </row>
    <row r="19" spans="1:8">
      <c r="A19" s="91" t="str">
        <f>'[11]energy consumption'!H3</f>
        <v>Spray pyrolysis</v>
      </c>
      <c r="B19" s="91">
        <f>'[11]energy consumption'!I3</f>
        <v>4.1750057176257169E-5</v>
      </c>
      <c r="C19" s="91">
        <f>'[11]energy consumption'!R3</f>
        <v>7.3462520841565228E-4</v>
      </c>
      <c r="D19" s="91"/>
      <c r="E19" s="91"/>
      <c r="F19" s="91"/>
      <c r="G19" s="91">
        <f t="shared" si="0"/>
        <v>4.1750057176257169E-5</v>
      </c>
      <c r="H19" s="91">
        <f t="shared" si="0"/>
        <v>7.3462520841565228E-4</v>
      </c>
    </row>
    <row r="20" spans="1:8">
      <c r="A20" s="91" t="str">
        <f>'[11]energy consumption'!H4</f>
        <v>ETL slot-die coating</v>
      </c>
      <c r="B20" s="91">
        <f>'[11]energy consumption'!I4</f>
        <v>1.4790000011831994E-3</v>
      </c>
      <c r="C20" s="91">
        <f>'[11]energy consumption'!R4</f>
        <v>2.6024172362902664E-2</v>
      </c>
      <c r="D20" s="91"/>
      <c r="E20" s="91"/>
      <c r="F20" s="91"/>
      <c r="G20" s="91">
        <f t="shared" si="0"/>
        <v>1.4790000011831994E-3</v>
      </c>
      <c r="H20" s="91">
        <f t="shared" si="0"/>
        <v>2.6024172362902664E-2</v>
      </c>
    </row>
    <row r="21" spans="1:8">
      <c r="A21" s="91" t="str">
        <f>'[11]energy consumption'!H5</f>
        <v>ETL calcining</v>
      </c>
      <c r="B21" s="91">
        <f>'[11]energy consumption'!I5</f>
        <v>3.0425142881482956</v>
      </c>
      <c r="C21" s="91">
        <f>'[11]energy consumption'!R5</f>
        <v>53.535440289399759</v>
      </c>
      <c r="D21" s="91"/>
      <c r="E21" s="91"/>
      <c r="F21" s="91"/>
      <c r="G21" s="91">
        <f t="shared" si="0"/>
        <v>3.0425142881482956</v>
      </c>
      <c r="H21" s="91">
        <f t="shared" si="0"/>
        <v>53.535440289399759</v>
      </c>
    </row>
    <row r="22" spans="1:8">
      <c r="A22" s="91" t="str">
        <f>'[11]energy consumption'!H6</f>
        <v>PL 1st-step slot-die coating</v>
      </c>
      <c r="B22" s="91">
        <f>'[11]energy consumption'!I6</f>
        <v>2.1128571445474281E-2</v>
      </c>
      <c r="C22" s="91">
        <f>'[11]energy consumption'!R6</f>
        <v>0.37177389089860957</v>
      </c>
      <c r="D22" s="91"/>
      <c r="E22" s="91"/>
      <c r="F22" s="91"/>
      <c r="G22" s="91">
        <f t="shared" si="0"/>
        <v>2.1128571445474281E-2</v>
      </c>
      <c r="H22" s="91">
        <f t="shared" si="0"/>
        <v>0.37177389089860957</v>
      </c>
    </row>
    <row r="23" spans="1:8">
      <c r="A23" s="91" t="str">
        <f>'[11]energy consumption'!H7</f>
        <v>PL 2nd-step slot-die coating</v>
      </c>
      <c r="B23" s="91">
        <f>'[11]energy consumption'!I7</f>
        <v>2.1128571445474281E-2</v>
      </c>
      <c r="C23" s="91">
        <f>'[11]energy consumption'!R7</f>
        <v>0.37177389089860957</v>
      </c>
      <c r="D23" s="91"/>
      <c r="E23" s="91"/>
      <c r="F23" s="91"/>
      <c r="G23" s="91">
        <f t="shared" si="0"/>
        <v>2.1128571445474281E-2</v>
      </c>
      <c r="H23" s="91">
        <f t="shared" si="0"/>
        <v>0.37177389089860957</v>
      </c>
    </row>
    <row r="24" spans="1:8">
      <c r="A24" s="91" t="str">
        <f>'[11]energy consumption'!H8</f>
        <v>PL 1st-step drying</v>
      </c>
      <c r="B24" s="91">
        <f>'[11]energy consumption'!I8</f>
        <v>3.0425142881482961</v>
      </c>
      <c r="C24" s="91">
        <f>'[11]energy consumption'!R8</f>
        <v>53.535440289399773</v>
      </c>
      <c r="D24" s="91"/>
      <c r="E24" s="91"/>
      <c r="F24" s="91"/>
      <c r="G24" s="91">
        <f t="shared" si="0"/>
        <v>3.0425142881482961</v>
      </c>
      <c r="H24" s="91">
        <f t="shared" si="0"/>
        <v>53.535440289399773</v>
      </c>
    </row>
    <row r="25" spans="1:8">
      <c r="A25" s="91" t="str">
        <f>'[11]energy consumption'!H9</f>
        <v>PL 2nd-step drying</v>
      </c>
      <c r="B25" s="91">
        <f>'[11]energy consumption'!I9</f>
        <v>4.5637714322224454</v>
      </c>
      <c r="C25" s="91">
        <f>'[11]energy consumption'!R9</f>
        <v>80.303160434099667</v>
      </c>
      <c r="D25" s="91"/>
      <c r="E25" s="91"/>
      <c r="F25" s="91"/>
      <c r="G25" s="91">
        <f t="shared" si="0"/>
        <v>4.5637714322224454</v>
      </c>
      <c r="H25" s="91">
        <f t="shared" si="0"/>
        <v>80.303160434099667</v>
      </c>
    </row>
    <row r="26" spans="1:8">
      <c r="A26" s="91" t="str">
        <f>'[11]energy consumption'!H10</f>
        <v>PL annealing</v>
      </c>
      <c r="B26" s="91">
        <f>'[11]energy consumption'!I10</f>
        <v>3.0425142881482961</v>
      </c>
      <c r="C26" s="91">
        <f>'[11]energy consumption'!R10</f>
        <v>53.535440289399773</v>
      </c>
      <c r="D26" s="91"/>
      <c r="E26" s="91"/>
      <c r="F26" s="91"/>
      <c r="G26" s="91">
        <f t="shared" si="0"/>
        <v>3.0425142881482961</v>
      </c>
      <c r="H26" s="91">
        <f t="shared" si="0"/>
        <v>53.535440289399773</v>
      </c>
    </row>
    <row r="27" spans="1:8">
      <c r="A27" s="91" t="str">
        <f>'[11]energy consumption'!H11</f>
        <v>HTL slot-die coating</v>
      </c>
      <c r="B27" s="91">
        <f>'[11]energy consumption'!I11</f>
        <v>9.8600000078879993E-2</v>
      </c>
      <c r="C27" s="91">
        <f>'[11]energy consumption'!R11</f>
        <v>1.7349448241935115</v>
      </c>
      <c r="D27" s="91"/>
      <c r="E27" s="91"/>
      <c r="F27" s="91"/>
      <c r="G27" s="91">
        <f t="shared" si="0"/>
        <v>9.8600000078879993E-2</v>
      </c>
      <c r="H27" s="91">
        <f t="shared" si="0"/>
        <v>1.7349448241935115</v>
      </c>
    </row>
    <row r="28" spans="1:8">
      <c r="A28" s="91" t="str">
        <f>'[11]energy consumption'!H12</f>
        <v>Electrode sputtering</v>
      </c>
      <c r="B28" s="91">
        <f>'[11]energy consumption'!I12</f>
        <v>5.5216000044172793</v>
      </c>
      <c r="C28" s="91">
        <f>'[11]energy consumption'!R12</f>
        <v>97.156910154836652</v>
      </c>
      <c r="D28" s="91"/>
      <c r="E28" s="91"/>
      <c r="F28" s="91"/>
      <c r="G28" s="91">
        <f t="shared" si="0"/>
        <v>5.5216000044172793</v>
      </c>
      <c r="H28" s="91">
        <f t="shared" si="0"/>
        <v>97.156910154836652</v>
      </c>
    </row>
    <row r="29" spans="1:8">
      <c r="A29" s="91" t="str">
        <f>'[11]energy consumption'!H13</f>
        <v>Lamination</v>
      </c>
      <c r="B29" s="91">
        <f>'[11]energy consumption'!I13</f>
        <v>8.8740000070991979E-3</v>
      </c>
      <c r="C29" s="91">
        <f>'[11]energy consumption'!R13</f>
        <v>0.15614503417741601</v>
      </c>
      <c r="D29" s="91"/>
      <c r="E29" s="91"/>
      <c r="F29" s="91"/>
      <c r="G29" s="91">
        <f t="shared" ref="G29:H32" si="1">B29</f>
        <v>8.8740000070991979E-3</v>
      </c>
      <c r="H29" s="91">
        <f t="shared" si="1"/>
        <v>0.15614503417741601</v>
      </c>
    </row>
    <row r="30" spans="1:8">
      <c r="A30" s="91" t="s">
        <v>157</v>
      </c>
      <c r="B30" s="91">
        <f>'[11]energy consumption'!I18*'[11]material inventory'!$B$2</f>
        <v>1.4695344011756272E-2</v>
      </c>
      <c r="C30" s="91">
        <f>'[11]energy consumption'!R18*'[11]material inventory'!$B$2</f>
        <v>0.25857617659780091</v>
      </c>
      <c r="D30" s="91"/>
      <c r="E30" s="91"/>
      <c r="F30" s="91"/>
      <c r="G30" s="91">
        <f>B30</f>
        <v>1.4695344011756272E-2</v>
      </c>
      <c r="H30" s="91">
        <f>C30</f>
        <v>0.25857617659780091</v>
      </c>
    </row>
    <row r="31" spans="1:8">
      <c r="A31" s="92" t="s">
        <v>18</v>
      </c>
      <c r="B31" s="92">
        <f>'[11]material inventory'!L30</f>
        <v>0</v>
      </c>
      <c r="C31" s="92">
        <f>'[11]material inventory'!M30</f>
        <v>0</v>
      </c>
      <c r="D31" s="92"/>
      <c r="E31" s="92"/>
      <c r="F31" s="92"/>
      <c r="G31" s="92">
        <f t="shared" si="1"/>
        <v>0</v>
      </c>
      <c r="H31" s="92">
        <f t="shared" si="1"/>
        <v>0</v>
      </c>
    </row>
    <row r="32" spans="1:8">
      <c r="A32" s="92" t="s">
        <v>89</v>
      </c>
      <c r="B32" s="92">
        <f>'[11]material inventory'!L47</f>
        <v>1.2757696199999999E-4</v>
      </c>
      <c r="C32" s="92">
        <f>'[11]material inventory'!M47</f>
        <v>1.0661210680980003E-3</v>
      </c>
      <c r="D32" s="92"/>
      <c r="E32" s="92"/>
      <c r="F32" s="92"/>
      <c r="G32" s="92">
        <f t="shared" si="1"/>
        <v>1.2757696199999999E-4</v>
      </c>
      <c r="H32" s="92">
        <f t="shared" si="1"/>
        <v>1.0661210680980003E-3</v>
      </c>
    </row>
    <row r="33" spans="1:8">
      <c r="A33" s="92" t="s">
        <v>90</v>
      </c>
      <c r="B33" s="92">
        <f>'[11]material inventory'!L52</f>
        <v>3.1911057464590917E-3</v>
      </c>
      <c r="C33" s="92">
        <f>'[11]material inventory'!M52</f>
        <v>0.10213142163525465</v>
      </c>
      <c r="D33" s="92"/>
      <c r="E33" s="92"/>
      <c r="F33" s="92"/>
      <c r="G33" s="92">
        <v>6.2954943647999988</v>
      </c>
      <c r="H33" s="92">
        <v>102.3232979508053</v>
      </c>
    </row>
    <row r="34" spans="1:8">
      <c r="A34" s="96" t="s">
        <v>63</v>
      </c>
      <c r="B34" s="96">
        <f>SUM(B2:B33)</f>
        <v>20.559681688395504</v>
      </c>
      <c r="C34" s="96">
        <f t="shared" ref="C34" si="2">SUM(C2:C33)</f>
        <v>366.59558450400203</v>
      </c>
      <c r="D34" s="96"/>
      <c r="E34" s="96"/>
      <c r="F34" s="96"/>
      <c r="G34" s="96">
        <f>SUM(G2:G33)</f>
        <v>26.851984947449044</v>
      </c>
      <c r="H34" s="96">
        <f>SUM(H2:H33)</f>
        <v>468.81675103317207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8FB9-31C3-4363-8C7A-036C21D3FF49}">
  <dimension ref="A1:P31"/>
  <sheetViews>
    <sheetView workbookViewId="0"/>
  </sheetViews>
  <sheetFormatPr defaultRowHeight="15"/>
  <cols>
    <col min="1" max="2" width="36.7109375" customWidth="1"/>
  </cols>
  <sheetData>
    <row r="1" spans="1:16">
      <c r="A1" s="8" t="s">
        <v>65</v>
      </c>
    </row>
    <row r="2" spans="1:16">
      <c r="P2">
        <f ca="1">_xll.CB.RecalcCounterFN()</f>
        <v>0</v>
      </c>
    </row>
    <row r="3" spans="1:16">
      <c r="A3" t="s">
        <v>66</v>
      </c>
      <c r="B3" t="s">
        <v>67</v>
      </c>
      <c r="C3">
        <v>0</v>
      </c>
    </row>
    <row r="4" spans="1:16">
      <c r="A4" t="s">
        <v>68</v>
      </c>
    </row>
    <row r="5" spans="1:16">
      <c r="A5" t="s">
        <v>69</v>
      </c>
    </row>
    <row r="7" spans="1:16">
      <c r="A7" s="8" t="s">
        <v>70</v>
      </c>
      <c r="B7" t="s">
        <v>71</v>
      </c>
    </row>
    <row r="8" spans="1:16">
      <c r="B8">
        <v>2</v>
      </c>
    </row>
    <row r="10" spans="1:16">
      <c r="A10" t="s">
        <v>72</v>
      </c>
    </row>
    <row r="11" spans="1:16">
      <c r="A11" t="e">
        <f>CB_DATA_!#REF!</f>
        <v>#REF!</v>
      </c>
      <c r="B11" t="e">
        <f>uncertainty!#REF!</f>
        <v>#REF!</v>
      </c>
    </row>
    <row r="13" spans="1:16">
      <c r="A13" t="s">
        <v>73</v>
      </c>
    </row>
    <row r="14" spans="1:16">
      <c r="A14" t="s">
        <v>77</v>
      </c>
      <c r="B14" t="s">
        <v>122</v>
      </c>
    </row>
    <row r="16" spans="1:16">
      <c r="A16" t="s">
        <v>74</v>
      </c>
    </row>
    <row r="19" spans="1:2">
      <c r="A19" t="s">
        <v>75</v>
      </c>
    </row>
    <row r="20" spans="1:2">
      <c r="A20">
        <v>31</v>
      </c>
      <c r="B20">
        <v>31</v>
      </c>
    </row>
    <row r="25" spans="1:2">
      <c r="A25" s="8" t="s">
        <v>76</v>
      </c>
    </row>
    <row r="26" spans="1:2">
      <c r="A26" s="9" t="s">
        <v>78</v>
      </c>
      <c r="B26" s="9" t="s">
        <v>107</v>
      </c>
    </row>
    <row r="27" spans="1:2">
      <c r="A27" t="s">
        <v>135</v>
      </c>
      <c r="B27" t="s">
        <v>160</v>
      </c>
    </row>
    <row r="28" spans="1:2">
      <c r="A28" s="9" t="s">
        <v>79</v>
      </c>
      <c r="B28" s="9" t="s">
        <v>79</v>
      </c>
    </row>
    <row r="29" spans="1:2">
      <c r="A29" s="9" t="s">
        <v>107</v>
      </c>
      <c r="B29" s="9" t="s">
        <v>78</v>
      </c>
    </row>
    <row r="30" spans="1:2">
      <c r="A30" t="s">
        <v>159</v>
      </c>
      <c r="B30" t="s">
        <v>136</v>
      </c>
    </row>
    <row r="31" spans="1:2">
      <c r="A31" s="9" t="s">
        <v>79</v>
      </c>
      <c r="B31" s="9" t="s">
        <v>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material inventory</vt:lpstr>
      <vt:lpstr>energy consumption</vt:lpstr>
      <vt:lpstr>results</vt:lpstr>
      <vt:lpstr>uncertainty</vt:lpstr>
      <vt:lpstr>recycling level-cf</vt:lpstr>
      <vt:lpstr>recycling level-pec</vt:lpstr>
      <vt:lpstr>sensitivity</vt:lpstr>
      <vt:lpstr>results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2020-01-04T22:30:36Z</dcterms:modified>
</cp:coreProperties>
</file>