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filterPrivacy="1"/>
  <xr:revisionPtr revIDLastSave="0" documentId="13_ncr:1_{D53148DD-15F3-4BB3-B9DB-3D26AC9BE9E1}" xr6:coauthVersionLast="45" xr6:coauthVersionMax="45" xr10:uidLastSave="{00000000-0000-0000-0000-000000000000}"/>
  <bookViews>
    <workbookView xWindow="-28920" yWindow="-120" windowWidth="29040" windowHeight="15840" activeTab="8" xr2:uid="{00000000-000D-0000-FFFF-FFFF00000000}"/>
  </bookViews>
  <sheets>
    <sheet name="material inventory" sheetId="1" r:id="rId1"/>
    <sheet name="energy consumption" sheetId="2" r:id="rId2"/>
    <sheet name="results" sheetId="3" r:id="rId3"/>
    <sheet name="CB_DATA_" sheetId="8" state="veryHidden" r:id="rId4"/>
    <sheet name="uncertainty" sheetId="4" r:id="rId5"/>
    <sheet name="recycling level-cf" sheetId="5" r:id="rId6"/>
    <sheet name="recycling level-pec" sheetId="6" r:id="rId7"/>
    <sheet name="sensitivity" sheetId="7" r:id="rId8"/>
    <sheet name="results (2)" sheetId="9"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CB_1498f0c570aa47528611da8ae9c5412b" localSheetId="4" hidden="1">uncertainty!$C$4</definedName>
    <definedName name="CB_1adb21ab6e604eb094b6510f143468d3" localSheetId="4" hidden="1">uncertainty!$C$8</definedName>
    <definedName name="CB_5369fa9e403e48419f668e5893ad42f6" localSheetId="4" hidden="1">uncertainty!$C$6</definedName>
    <definedName name="CB_85e62b11a951452485e679db176cc353" localSheetId="3" hidden="1">#N/A</definedName>
    <definedName name="CB_Block_00000000000000000000000000000000" localSheetId="3" hidden="1">"'7.0.0.0"</definedName>
    <definedName name="CB_Block_00000000000000000000000000000000" localSheetId="4" hidden="1">"'7.0.0.0"</definedName>
    <definedName name="CB_Block_00000000000000000000000000000001" localSheetId="3" hidden="1">"'637136671796182037"</definedName>
    <definedName name="CB_Block_00000000000000000000000000000001" localSheetId="4" hidden="1">"'637136671796338473"</definedName>
    <definedName name="CB_Block_00000000000000000000000000000003" localSheetId="3" hidden="1">"'11.1.4716.0"</definedName>
    <definedName name="CB_Block_00000000000000000000000000000003" localSheetId="4" hidden="1">"'11.1.4716.0"</definedName>
    <definedName name="CB_BlockExt_00000000000000000000000000000003" localSheetId="3" hidden="1">"'11.1.2.4.850"</definedName>
    <definedName name="CB_BlockExt_00000000000000000000000000000003" localSheetId="4" hidden="1">"'11.1.2.4.850"</definedName>
    <definedName name="CB_c4afc9c94b8e42eca433de7fe90a6f77" localSheetId="4" hidden="1">uncertainty!$C$2</definedName>
    <definedName name="CB_c8ca68d09ed040d79ca1eceafd55711d" localSheetId="3" hidden="1">#N/A</definedName>
    <definedName name="CB_cdcb296dd0c14006b68d29a966c8db49" localSheetId="4" hidden="1">uncertainty!$C$9</definedName>
    <definedName name="CB_d2b9a80ebb484da3941a8a423688dc42" localSheetId="4" hidden="1">uncertainty!$C$10</definedName>
    <definedName name="CB_e67efa37378c453193a6bd51da50b942" localSheetId="4" hidden="1">uncertainty!$C$7</definedName>
    <definedName name="CB_fcc81876c204460ab8cf8d0e2ef8e5b6" localSheetId="4" hidden="1">uncertainty!$C$3</definedName>
    <definedName name="CBCR_257c931ea5024a4c82b2d4404bdd31e3" localSheetId="4" hidden="1">uncertainty!$E$4</definedName>
    <definedName name="CBCR_2ca147aa25e0472ca42061c28bce5789" localSheetId="4" hidden="1">uncertainty!$E$2</definedName>
    <definedName name="CBCR_472f607942974ab7a04eb65cbbf1b2ae" localSheetId="4" hidden="1">uncertainty!$E$7</definedName>
    <definedName name="CBCR_4d16fb822560492e82a4d5aa38b7d063" localSheetId="4" hidden="1">uncertainty!$E$3</definedName>
    <definedName name="CBCR_4f2903d79fd540dfb81e49202ffb6bb1" localSheetId="4" hidden="1">uncertainty!$C$6</definedName>
    <definedName name="CBCR_535576b64fe84dcf933b24820a2cd79d" localSheetId="4" hidden="1">uncertainty!$C$2</definedName>
    <definedName name="CBCR_803a714d9bf2495da45c2351fdee383f" localSheetId="4" hidden="1">uncertainty!$C$7</definedName>
    <definedName name="CBCR_9693578c01fc42038a316e4652d53452" localSheetId="4" hidden="1">uncertainty!$E$8</definedName>
    <definedName name="CBCR_9a2c9149b3564ae197df0f3684d4ae76" localSheetId="4" hidden="1">uncertainty!$C$4</definedName>
    <definedName name="CBCR_b158331be314495f8700de3cd241a579" localSheetId="4" hidden="1">uncertainty!$E$6</definedName>
    <definedName name="CBCR_c4d0c305e77e489b859b0ba4d146d04a" localSheetId="4" hidden="1">uncertainty!$C$8</definedName>
    <definedName name="CBCR_f0d15413ce4a47b1a6fbcd8fa2f8bf7e" localSheetId="4" hidden="1">uncertainty!$C$3</definedName>
    <definedName name="CBWorkbookPriority" localSheetId="3" hidden="1">-1382517059060860</definedName>
    <definedName name="CBx_7ec3dce2f7e94a96a3913a0369f7e605" localSheetId="3" hidden="1">"'uncertainty'!$A$1"</definedName>
    <definedName name="CBx_9b0d9e04d5824c6db612644bbe23bf6b" localSheetId="3" hidden="1">"'CB_DATA_'!$A$1"</definedName>
    <definedName name="CBx_Sheet_Guid" localSheetId="3" hidden="1">"'9b0d9e04-d582-4c6d-b612-644bbe23bf6b"</definedName>
    <definedName name="CBx_Sheet_Guid" localSheetId="4" hidden="1">"'7ec3dce2-f7e9-4a96-a391-3a0369f7e605"</definedName>
    <definedName name="CBx_SheetRef" localSheetId="3" hidden="1">CB_DATA_!$A$14</definedName>
    <definedName name="CBx_SheetRef" localSheetId="4" hidden="1">CB_DATA_!$B$14</definedName>
    <definedName name="CBx_StorageType" localSheetId="3" hidden="1">2</definedName>
    <definedName name="CBx_StorageType" localSheetId="4"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4" i="9" l="1"/>
  <c r="B34" i="9"/>
  <c r="C33" i="9"/>
  <c r="H33" i="9" s="1"/>
  <c r="B33" i="9"/>
  <c r="G33" i="9" s="1"/>
  <c r="C32" i="9"/>
  <c r="H32" i="9" s="1"/>
  <c r="B32" i="9"/>
  <c r="G32" i="9" s="1"/>
  <c r="C31" i="9"/>
  <c r="H31" i="9" s="1"/>
  <c r="B31" i="9"/>
  <c r="G31" i="9" s="1"/>
  <c r="A31" i="9"/>
  <c r="C30" i="9"/>
  <c r="H30" i="9" s="1"/>
  <c r="B30" i="9"/>
  <c r="G30" i="9" s="1"/>
  <c r="A30" i="9"/>
  <c r="C29" i="9"/>
  <c r="H29" i="9" s="1"/>
  <c r="B29" i="9"/>
  <c r="G29" i="9" s="1"/>
  <c r="A29" i="9"/>
  <c r="C28" i="9"/>
  <c r="H28" i="9" s="1"/>
  <c r="B28" i="9"/>
  <c r="G28" i="9" s="1"/>
  <c r="A28" i="9"/>
  <c r="C27" i="9"/>
  <c r="H27" i="9" s="1"/>
  <c r="B27" i="9"/>
  <c r="G27" i="9" s="1"/>
  <c r="A27" i="9"/>
  <c r="C26" i="9"/>
  <c r="H26" i="9" s="1"/>
  <c r="B26" i="9"/>
  <c r="G26" i="9" s="1"/>
  <c r="A26" i="9"/>
  <c r="H25" i="9"/>
  <c r="C25" i="9"/>
  <c r="B25" i="9"/>
  <c r="G25" i="9" s="1"/>
  <c r="A25" i="9"/>
  <c r="C24" i="9"/>
  <c r="H24" i="9" s="1"/>
  <c r="B24" i="9"/>
  <c r="G24" i="9" s="1"/>
  <c r="A24" i="9"/>
  <c r="C23" i="9"/>
  <c r="H23" i="9" s="1"/>
  <c r="B23" i="9"/>
  <c r="G23" i="9" s="1"/>
  <c r="A23" i="9"/>
  <c r="G22" i="9"/>
  <c r="C22" i="9"/>
  <c r="H22" i="9" s="1"/>
  <c r="B22" i="9"/>
  <c r="A22" i="9"/>
  <c r="C21" i="9"/>
  <c r="H21" i="9" s="1"/>
  <c r="B21" i="9"/>
  <c r="G21" i="9" s="1"/>
  <c r="A21" i="9"/>
  <c r="H20" i="9"/>
  <c r="C20" i="9"/>
  <c r="B20" i="9"/>
  <c r="G20" i="9" s="1"/>
  <c r="A20" i="9"/>
  <c r="C19" i="9"/>
  <c r="H19" i="9" s="1"/>
  <c r="B19" i="9"/>
  <c r="G19" i="9" s="1"/>
  <c r="A19" i="9"/>
  <c r="G18" i="9"/>
  <c r="C18" i="9"/>
  <c r="H18" i="9" s="1"/>
  <c r="B18" i="9"/>
  <c r="A18" i="9"/>
  <c r="C17" i="9"/>
  <c r="H17" i="9" s="1"/>
  <c r="B17" i="9"/>
  <c r="G17" i="9" s="1"/>
  <c r="A17" i="9"/>
  <c r="C16" i="9"/>
  <c r="H16" i="9" s="1"/>
  <c r="B16" i="9"/>
  <c r="G16" i="9" s="1"/>
  <c r="A16" i="9"/>
  <c r="C15" i="9"/>
  <c r="H15" i="9" s="1"/>
  <c r="B15" i="9"/>
  <c r="G15" i="9" s="1"/>
  <c r="A15" i="9"/>
  <c r="C14" i="9"/>
  <c r="H14" i="9" s="1"/>
  <c r="B14" i="9"/>
  <c r="G14" i="9" s="1"/>
  <c r="A14" i="9"/>
  <c r="C13" i="9"/>
  <c r="H13" i="9" s="1"/>
  <c r="B13" i="9"/>
  <c r="G13" i="9" s="1"/>
  <c r="A13" i="9"/>
  <c r="C12" i="9"/>
  <c r="H12" i="9" s="1"/>
  <c r="B12" i="9"/>
  <c r="G12" i="9" s="1"/>
  <c r="A12" i="9"/>
  <c r="C11" i="9"/>
  <c r="H11" i="9" s="1"/>
  <c r="B11" i="9"/>
  <c r="G11" i="9" s="1"/>
  <c r="A11" i="9"/>
  <c r="G10" i="9"/>
  <c r="C10" i="9"/>
  <c r="H10" i="9" s="1"/>
  <c r="B10" i="9"/>
  <c r="A10" i="9"/>
  <c r="C9" i="9"/>
  <c r="H9" i="9" s="1"/>
  <c r="B9" i="9"/>
  <c r="G9" i="9" s="1"/>
  <c r="A9" i="9"/>
  <c r="C8" i="9"/>
  <c r="H8" i="9" s="1"/>
  <c r="B8" i="9"/>
  <c r="G8" i="9" s="1"/>
  <c r="A8" i="9"/>
  <c r="C7" i="9"/>
  <c r="H7" i="9" s="1"/>
  <c r="B7" i="9"/>
  <c r="G7" i="9" s="1"/>
  <c r="A7" i="9"/>
  <c r="G6" i="9"/>
  <c r="C6" i="9"/>
  <c r="H6" i="9" s="1"/>
  <c r="B6" i="9"/>
  <c r="A6" i="9"/>
  <c r="H5" i="9"/>
  <c r="C5" i="9"/>
  <c r="B5" i="9"/>
  <c r="G5" i="9" s="1"/>
  <c r="A5" i="9"/>
  <c r="C4" i="9"/>
  <c r="H4" i="9" s="1"/>
  <c r="B4" i="9"/>
  <c r="G4" i="9" s="1"/>
  <c r="A4" i="9"/>
  <c r="C3" i="9"/>
  <c r="H3" i="9" s="1"/>
  <c r="B3" i="9"/>
  <c r="A3" i="9"/>
  <c r="C2" i="9"/>
  <c r="B2" i="9"/>
  <c r="G2" i="9" s="1"/>
  <c r="A2" i="9"/>
  <c r="H1" i="9"/>
  <c r="G1" i="9"/>
  <c r="C35" i="9" l="1"/>
  <c r="B35" i="9"/>
  <c r="H2" i="9"/>
  <c r="H35" i="9" s="1"/>
  <c r="G3" i="9"/>
  <c r="G35" i="9" s="1"/>
  <c r="A21" i="5" l="1"/>
  <c r="A22" i="5"/>
  <c r="P2" i="8"/>
  <c r="A21" i="6" l="1"/>
  <c r="A22" i="6"/>
  <c r="A23" i="3" l="1"/>
  <c r="A24" i="3"/>
  <c r="A25" i="3"/>
  <c r="A26" i="3"/>
  <c r="A27" i="3"/>
  <c r="A28" i="3"/>
  <c r="A29" i="3"/>
  <c r="A30" i="3"/>
  <c r="A31" i="3"/>
  <c r="A22" i="3"/>
  <c r="A3" i="3"/>
  <c r="A4" i="3"/>
  <c r="A5" i="3"/>
  <c r="A6" i="3"/>
  <c r="A7" i="3"/>
  <c r="A8" i="3"/>
  <c r="A9" i="3"/>
  <c r="A10" i="3"/>
  <c r="A11" i="3"/>
  <c r="A12" i="3"/>
  <c r="A13" i="3"/>
  <c r="A14" i="3"/>
  <c r="A15" i="3"/>
  <c r="A16" i="3"/>
  <c r="A17" i="3"/>
  <c r="A18" i="3"/>
  <c r="A19" i="3"/>
  <c r="A20" i="3"/>
  <c r="A21" i="3"/>
  <c r="A2" i="3"/>
  <c r="V37" i="1"/>
  <c r="D33" i="3" s="1"/>
  <c r="W37" i="1"/>
  <c r="E33" i="3" s="1"/>
  <c r="X37" i="1"/>
  <c r="F33" i="3" s="1"/>
  <c r="Y37" i="1"/>
  <c r="G33" i="3" s="1"/>
  <c r="Z37" i="1"/>
  <c r="H33" i="3" s="1"/>
  <c r="AA37" i="1"/>
  <c r="I33" i="3" s="1"/>
  <c r="AB37" i="1"/>
  <c r="J33" i="3" s="1"/>
  <c r="AC37" i="1"/>
  <c r="K33" i="3" s="1"/>
  <c r="AD37" i="1"/>
  <c r="L33" i="3" s="1"/>
  <c r="AE37" i="1"/>
  <c r="M33" i="3" s="1"/>
  <c r="AF37" i="1"/>
  <c r="N33" i="3" s="1"/>
  <c r="AG37" i="1"/>
  <c r="O33" i="3" s="1"/>
  <c r="AH37" i="1"/>
  <c r="P33" i="3" s="1"/>
  <c r="AI37" i="1"/>
  <c r="Q33" i="3" s="1"/>
  <c r="AJ37" i="1"/>
  <c r="R33" i="3" s="1"/>
  <c r="AK37" i="1"/>
  <c r="S33" i="3" s="1"/>
  <c r="AL37" i="1"/>
  <c r="T33" i="3" s="1"/>
  <c r="AM37" i="1"/>
  <c r="U33" i="3" s="1"/>
  <c r="AN37" i="1"/>
  <c r="V33" i="3" s="1"/>
  <c r="AO37" i="1"/>
  <c r="W33" i="3" s="1"/>
  <c r="AP37" i="1"/>
  <c r="X33" i="3" s="1"/>
  <c r="M37" i="1"/>
  <c r="N37" i="1"/>
  <c r="O37" i="1"/>
  <c r="P37" i="1"/>
  <c r="Q37" i="1"/>
  <c r="R37" i="1"/>
  <c r="S37" i="1"/>
  <c r="T37" i="1"/>
  <c r="U37" i="1"/>
  <c r="C33" i="3" s="1"/>
  <c r="L37" i="1"/>
  <c r="B33" i="3" s="1"/>
  <c r="K27" i="1"/>
  <c r="M12" i="1"/>
  <c r="N12" i="1"/>
  <c r="O12" i="1"/>
  <c r="P12" i="1"/>
  <c r="Q12" i="1"/>
  <c r="R12" i="1"/>
  <c r="S12" i="1"/>
  <c r="T12" i="1"/>
  <c r="U12" i="1"/>
  <c r="C11" i="3" s="1"/>
  <c r="V12" i="1"/>
  <c r="D11" i="3" s="1"/>
  <c r="W12" i="1"/>
  <c r="E11" i="3" s="1"/>
  <c r="X12" i="1"/>
  <c r="F11" i="3" s="1"/>
  <c r="Y12" i="1"/>
  <c r="G11" i="3" s="1"/>
  <c r="Z12" i="1"/>
  <c r="H11" i="3" s="1"/>
  <c r="AA12" i="1"/>
  <c r="I11" i="3" s="1"/>
  <c r="AB12" i="1"/>
  <c r="J11" i="3" s="1"/>
  <c r="AC12" i="1"/>
  <c r="K11" i="3" s="1"/>
  <c r="AD12" i="1"/>
  <c r="L11" i="3" s="1"/>
  <c r="AE12" i="1"/>
  <c r="M11" i="3" s="1"/>
  <c r="AF12" i="1"/>
  <c r="N11" i="3" s="1"/>
  <c r="AG12" i="1"/>
  <c r="O11" i="3" s="1"/>
  <c r="AH12" i="1"/>
  <c r="P11" i="3" s="1"/>
  <c r="AI12" i="1"/>
  <c r="Q11" i="3" s="1"/>
  <c r="AJ12" i="1"/>
  <c r="R11" i="3" s="1"/>
  <c r="AK12" i="1"/>
  <c r="S11" i="3" s="1"/>
  <c r="AL12" i="1"/>
  <c r="T11" i="3" s="1"/>
  <c r="AM12" i="1"/>
  <c r="U11" i="3" s="1"/>
  <c r="AN12" i="1"/>
  <c r="V11" i="3" s="1"/>
  <c r="AO12" i="1"/>
  <c r="W11" i="3" s="1"/>
  <c r="AP12" i="1"/>
  <c r="X11" i="3" s="1"/>
  <c r="L12" i="1"/>
  <c r="B11" i="3" s="1"/>
  <c r="V30" i="1"/>
  <c r="W30" i="1"/>
  <c r="X30" i="1"/>
  <c r="Y30" i="1"/>
  <c r="Z30" i="1"/>
  <c r="AA30" i="1"/>
  <c r="AB30" i="1"/>
  <c r="AC30" i="1"/>
  <c r="AD30" i="1"/>
  <c r="AE30" i="1"/>
  <c r="AF30" i="1"/>
  <c r="AG30" i="1"/>
  <c r="AH30" i="1"/>
  <c r="AI30" i="1"/>
  <c r="AJ30" i="1"/>
  <c r="AK30" i="1"/>
  <c r="AL30" i="1"/>
  <c r="AM30" i="1"/>
  <c r="AN30" i="1"/>
  <c r="AO30" i="1"/>
  <c r="AP30" i="1"/>
  <c r="M30" i="1"/>
  <c r="N30" i="1"/>
  <c r="O30" i="1"/>
  <c r="P30" i="1"/>
  <c r="Q30" i="1"/>
  <c r="R30" i="1"/>
  <c r="S30" i="1"/>
  <c r="T30" i="1"/>
  <c r="U30" i="1"/>
  <c r="L30" i="1"/>
  <c r="V18" i="1"/>
  <c r="D17" i="3" s="1"/>
  <c r="W18" i="1"/>
  <c r="E17" i="3" s="1"/>
  <c r="X18" i="1"/>
  <c r="F17" i="3" s="1"/>
  <c r="Y18" i="1"/>
  <c r="G17" i="3" s="1"/>
  <c r="Z18" i="1"/>
  <c r="H17" i="3" s="1"/>
  <c r="AA18" i="1"/>
  <c r="I17" i="3" s="1"/>
  <c r="AB18" i="1"/>
  <c r="J17" i="3" s="1"/>
  <c r="AC18" i="1"/>
  <c r="K17" i="3" s="1"/>
  <c r="AD18" i="1"/>
  <c r="L17" i="3" s="1"/>
  <c r="AE18" i="1"/>
  <c r="M17" i="3" s="1"/>
  <c r="AF18" i="1"/>
  <c r="N17" i="3" s="1"/>
  <c r="AG18" i="1"/>
  <c r="O17" i="3" s="1"/>
  <c r="AH18" i="1"/>
  <c r="P17" i="3" s="1"/>
  <c r="AI18" i="1"/>
  <c r="Q17" i="3" s="1"/>
  <c r="AJ18" i="1"/>
  <c r="R17" i="3" s="1"/>
  <c r="AK18" i="1"/>
  <c r="S17" i="3" s="1"/>
  <c r="AL18" i="1"/>
  <c r="T17" i="3" s="1"/>
  <c r="AM18" i="1"/>
  <c r="U17" i="3" s="1"/>
  <c r="AN18" i="1"/>
  <c r="V17" i="3" s="1"/>
  <c r="AO18" i="1"/>
  <c r="W17" i="3" s="1"/>
  <c r="AP18" i="1"/>
  <c r="X17" i="3" s="1"/>
  <c r="M18" i="1"/>
  <c r="N18" i="1"/>
  <c r="O18" i="1"/>
  <c r="P18" i="1"/>
  <c r="Q18" i="1"/>
  <c r="R18" i="1"/>
  <c r="S18" i="1"/>
  <c r="T18" i="1"/>
  <c r="U18" i="1"/>
  <c r="C17" i="3" s="1"/>
  <c r="L18" i="1"/>
  <c r="B17" i="3" s="1"/>
  <c r="K23" i="1"/>
  <c r="F23" i="1" l="1"/>
  <c r="F8" i="1"/>
  <c r="D16" i="2"/>
  <c r="F26" i="1" s="1"/>
  <c r="C16" i="2"/>
  <c r="D14" i="2"/>
  <c r="C12" i="2"/>
  <c r="C10" i="2"/>
  <c r="C7" i="2"/>
  <c r="D11" i="2"/>
  <c r="D9" i="2"/>
  <c r="D6" i="2"/>
  <c r="A40" i="1"/>
  <c r="A39" i="1"/>
  <c r="AB19" i="1" l="1"/>
  <c r="AJ19" i="1"/>
  <c r="P19" i="1"/>
  <c r="L19" i="1"/>
  <c r="AE19" i="1"/>
  <c r="AO19" i="1"/>
  <c r="Z19" i="1"/>
  <c r="AC19" i="1"/>
  <c r="AK19" i="1"/>
  <c r="Q19" i="1"/>
  <c r="W19" i="1"/>
  <c r="S19" i="1"/>
  <c r="AF19" i="1"/>
  <c r="AN19" i="1"/>
  <c r="Y19" i="1"/>
  <c r="M19" i="1"/>
  <c r="AH19" i="1"/>
  <c r="AP19" i="1"/>
  <c r="N19" i="1"/>
  <c r="AI19" i="1"/>
  <c r="O19" i="1"/>
  <c r="V19" i="1"/>
  <c r="AD19" i="1"/>
  <c r="AL19" i="1"/>
  <c r="R19" i="1"/>
  <c r="AM19" i="1"/>
  <c r="X19" i="1"/>
  <c r="T19" i="1"/>
  <c r="AG19" i="1"/>
  <c r="U19" i="1"/>
  <c r="AA19" i="1"/>
  <c r="F43" i="1"/>
  <c r="E16" i="2"/>
  <c r="F39" i="1"/>
  <c r="F27" i="1"/>
  <c r="Q25" i="7"/>
  <c r="O25" i="7"/>
  <c r="Q24" i="7"/>
  <c r="O24" i="7"/>
  <c r="O23" i="7"/>
  <c r="O22" i="7"/>
  <c r="M22" i="7"/>
  <c r="O21" i="7"/>
  <c r="O20" i="7"/>
  <c r="M18" i="7"/>
  <c r="M25" i="7" s="1"/>
  <c r="M17" i="7"/>
  <c r="M23" i="7" s="1"/>
  <c r="M16" i="7"/>
  <c r="M24" i="7" s="1"/>
  <c r="Q15" i="7"/>
  <c r="Q22" i="7" s="1"/>
  <c r="M15" i="7"/>
  <c r="Q14" i="7"/>
  <c r="Q21" i="7" s="1"/>
  <c r="M14" i="7"/>
  <c r="M21" i="7" s="1"/>
  <c r="Q13" i="7"/>
  <c r="Q20" i="7" s="1"/>
  <c r="M13" i="7"/>
  <c r="M20" i="7" s="1"/>
  <c r="G35" i="7"/>
  <c r="P22" i="7" s="1"/>
  <c r="F35" i="7"/>
  <c r="C31" i="7"/>
  <c r="C32" i="7"/>
  <c r="C33" i="7"/>
  <c r="C3" i="7"/>
  <c r="A33" i="7"/>
  <c r="B33" i="7"/>
  <c r="A31" i="7"/>
  <c r="B31" i="7"/>
  <c r="A32" i="7"/>
  <c r="B32" i="7"/>
  <c r="B3" i="7"/>
  <c r="I18" i="3" l="1"/>
  <c r="T18" i="3"/>
  <c r="K18" i="3"/>
  <c r="G18" i="3"/>
  <c r="H18" i="3"/>
  <c r="D18" i="3"/>
  <c r="W18" i="3"/>
  <c r="C18" i="3"/>
  <c r="V18" i="3"/>
  <c r="O18" i="3"/>
  <c r="N18" i="3"/>
  <c r="M18" i="3"/>
  <c r="F40" i="1"/>
  <c r="F41" i="1" s="1"/>
  <c r="AL20" i="1"/>
  <c r="T19" i="3" s="1"/>
  <c r="W20" i="1"/>
  <c r="E19" i="3" s="1"/>
  <c r="AE20" i="1"/>
  <c r="M19" i="3" s="1"/>
  <c r="AM20" i="1"/>
  <c r="U19" i="3" s="1"/>
  <c r="O20" i="1"/>
  <c r="AI20" i="1"/>
  <c r="Q19" i="3" s="1"/>
  <c r="M20" i="1"/>
  <c r="V20" i="1"/>
  <c r="D19" i="3" s="1"/>
  <c r="X20" i="1"/>
  <c r="F19" i="3" s="1"/>
  <c r="AF20" i="1"/>
  <c r="N19" i="3" s="1"/>
  <c r="AN20" i="1"/>
  <c r="V19" i="3" s="1"/>
  <c r="P20" i="1"/>
  <c r="AH20" i="1"/>
  <c r="P19" i="3" s="1"/>
  <c r="S20" i="1"/>
  <c r="AB20" i="1"/>
  <c r="J19" i="3" s="1"/>
  <c r="AC20" i="1"/>
  <c r="K19" i="3" s="1"/>
  <c r="AK20" i="1"/>
  <c r="S19" i="3" s="1"/>
  <c r="U20" i="1"/>
  <c r="C19" i="3" s="1"/>
  <c r="Y20" i="1"/>
  <c r="G19" i="3" s="1"/>
  <c r="AG20" i="1"/>
  <c r="O19" i="3" s="1"/>
  <c r="AO20" i="1"/>
  <c r="W19" i="3" s="1"/>
  <c r="Q20" i="1"/>
  <c r="Z20" i="1"/>
  <c r="H19" i="3" s="1"/>
  <c r="AP20" i="1"/>
  <c r="X19" i="3" s="1"/>
  <c r="R20" i="1"/>
  <c r="AA20" i="1"/>
  <c r="I19" i="3" s="1"/>
  <c r="AJ20" i="1"/>
  <c r="R19" i="3" s="1"/>
  <c r="T20" i="1"/>
  <c r="AD20" i="1"/>
  <c r="L19" i="3" s="1"/>
  <c r="N20" i="1"/>
  <c r="L20" i="1"/>
  <c r="B19" i="3" s="1"/>
  <c r="Q18" i="3"/>
  <c r="B18" i="3"/>
  <c r="E18" i="3"/>
  <c r="F18" i="3"/>
  <c r="X18" i="3"/>
  <c r="R18" i="3"/>
  <c r="L18" i="3"/>
  <c r="U18" i="3"/>
  <c r="P18" i="3"/>
  <c r="S18" i="3"/>
  <c r="J18" i="3"/>
  <c r="P17" i="7"/>
  <c r="R17" i="7" s="1"/>
  <c r="P16" i="7"/>
  <c r="R16" i="7" s="1"/>
  <c r="P25" i="7"/>
  <c r="R25" i="7" s="1"/>
  <c r="P13" i="7"/>
  <c r="P24" i="7"/>
  <c r="R24" i="7" s="1"/>
  <c r="P21" i="7"/>
  <c r="P15" i="7"/>
  <c r="P14" i="7"/>
  <c r="P20" i="7"/>
  <c r="P18" i="7"/>
  <c r="R18" i="7" s="1"/>
  <c r="P23" i="7"/>
  <c r="R23" i="7" s="1"/>
  <c r="T41" i="1" l="1"/>
  <c r="AB41" i="1"/>
  <c r="J34" i="3" s="1"/>
  <c r="AJ41" i="1"/>
  <c r="R34" i="3" s="1"/>
  <c r="AE41" i="1"/>
  <c r="M34" i="3" s="1"/>
  <c r="AF41" i="1"/>
  <c r="N34" i="3" s="1"/>
  <c r="AG41" i="1"/>
  <c r="O34" i="3" s="1"/>
  <c r="AH41" i="1"/>
  <c r="P34" i="3" s="1"/>
  <c r="M41" i="1"/>
  <c r="U41" i="1"/>
  <c r="C34" i="3" s="1"/>
  <c r="AC41" i="1"/>
  <c r="K34" i="3" s="1"/>
  <c r="AK41" i="1"/>
  <c r="S34" i="3" s="1"/>
  <c r="W41" i="1"/>
  <c r="E34" i="3" s="1"/>
  <c r="P41" i="1"/>
  <c r="AN41" i="1"/>
  <c r="V34" i="3" s="1"/>
  <c r="Y41" i="1"/>
  <c r="G34" i="3" s="1"/>
  <c r="Z41" i="1"/>
  <c r="H34" i="3" s="1"/>
  <c r="S41" i="1"/>
  <c r="AI41" i="1"/>
  <c r="Q34" i="3" s="1"/>
  <c r="N41" i="1"/>
  <c r="V41" i="1"/>
  <c r="D34" i="3" s="1"/>
  <c r="AD41" i="1"/>
  <c r="L34" i="3" s="1"/>
  <c r="AL41" i="1"/>
  <c r="T34" i="3" s="1"/>
  <c r="O41" i="1"/>
  <c r="AM41" i="1"/>
  <c r="U34" i="3" s="1"/>
  <c r="X41" i="1"/>
  <c r="F34" i="3" s="1"/>
  <c r="Q41" i="1"/>
  <c r="AO41" i="1"/>
  <c r="W34" i="3" s="1"/>
  <c r="R41" i="1"/>
  <c r="AP41" i="1"/>
  <c r="X34" i="3" s="1"/>
  <c r="AA41" i="1"/>
  <c r="I34" i="3" s="1"/>
  <c r="L41" i="1"/>
  <c r="B34" i="3" s="1"/>
  <c r="B11" i="8"/>
  <c r="A11" i="8"/>
  <c r="A19" i="6" l="1"/>
  <c r="A20" i="5"/>
  <c r="A21" i="7" s="1"/>
  <c r="F30" i="1"/>
  <c r="AC22" i="1" s="1"/>
  <c r="K21" i="3" s="1"/>
  <c r="F29" i="1"/>
  <c r="S21" i="1" s="1"/>
  <c r="AD22" i="1" l="1"/>
  <c r="L21" i="3" s="1"/>
  <c r="V22" i="1"/>
  <c r="D21" i="3" s="1"/>
  <c r="AL22" i="1"/>
  <c r="T21" i="3" s="1"/>
  <c r="N22" i="1"/>
  <c r="AK22" i="1"/>
  <c r="S21" i="3" s="1"/>
  <c r="M22" i="1"/>
  <c r="AA21" i="1"/>
  <c r="I20" i="3" s="1"/>
  <c r="AB22" i="1"/>
  <c r="J21" i="3" s="1"/>
  <c r="T22" i="1"/>
  <c r="AH21" i="1"/>
  <c r="P20" i="3" s="1"/>
  <c r="L22" i="1"/>
  <c r="S22" i="1"/>
  <c r="AG21" i="1"/>
  <c r="O20" i="3" s="1"/>
  <c r="Q21" i="1"/>
  <c r="AP22" i="1"/>
  <c r="X21" i="3" s="1"/>
  <c r="Z22" i="1"/>
  <c r="H21" i="3" s="1"/>
  <c r="AN21" i="1"/>
  <c r="V20" i="3" s="1"/>
  <c r="AF21" i="1"/>
  <c r="N20" i="3" s="1"/>
  <c r="X21" i="1"/>
  <c r="F20" i="3" s="1"/>
  <c r="P21" i="1"/>
  <c r="AB21" i="1"/>
  <c r="J20" i="3" s="1"/>
  <c r="U22" i="1"/>
  <c r="AJ22" i="1"/>
  <c r="R21" i="3" s="1"/>
  <c r="Z21" i="1"/>
  <c r="H20" i="3" s="1"/>
  <c r="AA22" i="1"/>
  <c r="I21" i="3" s="1"/>
  <c r="AO21" i="1"/>
  <c r="W20" i="3" s="1"/>
  <c r="Y21" i="1"/>
  <c r="G20" i="3" s="1"/>
  <c r="AH22" i="1"/>
  <c r="P21" i="3" s="1"/>
  <c r="R22" i="1"/>
  <c r="AO22" i="1"/>
  <c r="W21" i="3" s="1"/>
  <c r="AG22" i="1"/>
  <c r="O21" i="3" s="1"/>
  <c r="Y22" i="1"/>
  <c r="G21" i="3" s="1"/>
  <c r="Q22" i="1"/>
  <c r="AM21" i="1"/>
  <c r="U20" i="3" s="1"/>
  <c r="AE21" i="1"/>
  <c r="M20" i="3" s="1"/>
  <c r="W21" i="1"/>
  <c r="E20" i="3" s="1"/>
  <c r="O21" i="1"/>
  <c r="AJ21" i="1"/>
  <c r="R20" i="3" s="1"/>
  <c r="T21" i="1"/>
  <c r="AI21" i="1"/>
  <c r="Q20" i="3" s="1"/>
  <c r="L21" i="1"/>
  <c r="AP21" i="1"/>
  <c r="X20" i="3" s="1"/>
  <c r="R21" i="1"/>
  <c r="AI22" i="1"/>
  <c r="Q21" i="3" s="1"/>
  <c r="AN22" i="1"/>
  <c r="V21" i="3" s="1"/>
  <c r="AF22" i="1"/>
  <c r="N21" i="3" s="1"/>
  <c r="X22" i="1"/>
  <c r="F21" i="3" s="1"/>
  <c r="P22" i="1"/>
  <c r="AL21" i="1"/>
  <c r="T20" i="3" s="1"/>
  <c r="AD21" i="1"/>
  <c r="L20" i="3" s="1"/>
  <c r="V21" i="1"/>
  <c r="D20" i="3" s="1"/>
  <c r="N21" i="1"/>
  <c r="AM22" i="1"/>
  <c r="U21" i="3" s="1"/>
  <c r="AE22" i="1"/>
  <c r="M21" i="3" s="1"/>
  <c r="W22" i="1"/>
  <c r="E21" i="3" s="1"/>
  <c r="O22" i="1"/>
  <c r="AK21" i="1"/>
  <c r="S20" i="3" s="1"/>
  <c r="AC21" i="1"/>
  <c r="K20" i="3" s="1"/>
  <c r="U21" i="1"/>
  <c r="M21" i="1"/>
  <c r="A19" i="5"/>
  <c r="A20" i="7" s="1"/>
  <c r="A20" i="6"/>
  <c r="C10" i="4"/>
  <c r="C9" i="4"/>
  <c r="B20" i="6" l="1"/>
  <c r="C21" i="7" s="1"/>
  <c r="J21" i="7" s="1"/>
  <c r="C21" i="3"/>
  <c r="B22" i="6" s="1"/>
  <c r="C22" i="6" s="1"/>
  <c r="B19" i="6"/>
  <c r="C20" i="7" s="1"/>
  <c r="J20" i="7" s="1"/>
  <c r="C20" i="3"/>
  <c r="B21" i="6" s="1"/>
  <c r="C21" i="6" s="1"/>
  <c r="B20" i="5"/>
  <c r="B21" i="7" s="1"/>
  <c r="I21" i="7" s="1"/>
  <c r="B21" i="3"/>
  <c r="B22" i="5" s="1"/>
  <c r="C22" i="5" s="1"/>
  <c r="B19" i="5"/>
  <c r="B20" i="7" s="1"/>
  <c r="I20" i="7" s="1"/>
  <c r="B20" i="3"/>
  <c r="B21" i="5" s="1"/>
  <c r="C21" i="5" s="1"/>
  <c r="E20" i="6"/>
  <c r="Y33" i="6"/>
  <c r="Y32" i="6"/>
  <c r="W33" i="6"/>
  <c r="W32" i="6"/>
  <c r="U33" i="6"/>
  <c r="U32" i="6"/>
  <c r="S33" i="6"/>
  <c r="S32" i="6"/>
  <c r="Q33" i="6"/>
  <c r="Q32" i="6"/>
  <c r="O33" i="6"/>
  <c r="O32" i="6"/>
  <c r="M33" i="6"/>
  <c r="M32" i="6"/>
  <c r="K33" i="6"/>
  <c r="K32" i="6"/>
  <c r="I33" i="6"/>
  <c r="I32" i="6"/>
  <c r="G33" i="6"/>
  <c r="G32" i="6"/>
  <c r="E33" i="6"/>
  <c r="E32" i="6"/>
  <c r="C33" i="6"/>
  <c r="C32" i="6"/>
  <c r="Y33" i="5"/>
  <c r="Y32" i="5"/>
  <c r="W33" i="5"/>
  <c r="W32" i="5"/>
  <c r="U33" i="5"/>
  <c r="U32" i="5"/>
  <c r="S33" i="5"/>
  <c r="S32" i="5"/>
  <c r="Q33" i="5"/>
  <c r="Q32" i="5"/>
  <c r="O33" i="5"/>
  <c r="O32" i="5"/>
  <c r="M33" i="5"/>
  <c r="M32" i="5"/>
  <c r="K33" i="5"/>
  <c r="K32" i="5"/>
  <c r="I33" i="5"/>
  <c r="I32" i="5"/>
  <c r="G33" i="5"/>
  <c r="G32" i="5"/>
  <c r="E33" i="5"/>
  <c r="E32" i="5"/>
  <c r="C33" i="5"/>
  <c r="I19" i="6" l="1"/>
  <c r="C20" i="5"/>
  <c r="I19" i="5"/>
  <c r="S19" i="5"/>
  <c r="U20" i="5"/>
  <c r="Y20" i="5"/>
  <c r="E20" i="5"/>
  <c r="C19" i="5"/>
  <c r="G19" i="5"/>
  <c r="E19" i="5"/>
  <c r="Y19" i="5"/>
  <c r="W20" i="5"/>
  <c r="Q19" i="5"/>
  <c r="G20" i="5"/>
  <c r="M19" i="5"/>
  <c r="M20" i="5"/>
  <c r="K19" i="5"/>
  <c r="O20" i="5"/>
  <c r="O19" i="5"/>
  <c r="Q20" i="5"/>
  <c r="W19" i="5"/>
  <c r="S20" i="5"/>
  <c r="U19" i="5"/>
  <c r="K20" i="5"/>
  <c r="I20" i="5"/>
  <c r="Y20" i="6"/>
  <c r="K20" i="6"/>
  <c r="U19" i="6"/>
  <c r="K19" i="6"/>
  <c r="W19" i="6"/>
  <c r="I20" i="6"/>
  <c r="M20" i="6"/>
  <c r="Y19" i="6"/>
  <c r="S19" i="6"/>
  <c r="C19" i="6"/>
  <c r="G20" i="6"/>
  <c r="W20" i="6"/>
  <c r="O20" i="6"/>
  <c r="O19" i="6"/>
  <c r="U20" i="6"/>
  <c r="Q19" i="6"/>
  <c r="G19" i="6"/>
  <c r="S20" i="6"/>
  <c r="C20" i="6"/>
  <c r="E19" i="6"/>
  <c r="M19" i="6"/>
  <c r="Q20" i="6"/>
  <c r="C32" i="5"/>
  <c r="A26" i="6"/>
  <c r="A27" i="6"/>
  <c r="A28" i="6"/>
  <c r="A29" i="6"/>
  <c r="A30" i="6"/>
  <c r="A31" i="6"/>
  <c r="A23" i="6"/>
  <c r="A24" i="6"/>
  <c r="A25" i="6"/>
  <c r="D18" i="2"/>
  <c r="E18" i="2" s="1"/>
  <c r="F18" i="2" s="1"/>
  <c r="L12" i="2" s="1"/>
  <c r="A4" i="6"/>
  <c r="A5" i="6"/>
  <c r="A6" i="6"/>
  <c r="A7" i="6"/>
  <c r="A8" i="6"/>
  <c r="A9" i="6"/>
  <c r="A10" i="6"/>
  <c r="A11" i="6"/>
  <c r="A12" i="6"/>
  <c r="A13" i="6"/>
  <c r="A14" i="6"/>
  <c r="A15" i="6"/>
  <c r="A16" i="6"/>
  <c r="A17" i="6"/>
  <c r="A18" i="6"/>
  <c r="A3" i="6"/>
  <c r="K12" i="2" l="1"/>
  <c r="A30" i="5"/>
  <c r="A29" i="7" s="1"/>
  <c r="A29" i="5"/>
  <c r="A28" i="7" s="1"/>
  <c r="A31" i="5"/>
  <c r="A30" i="7" s="1"/>
  <c r="A26" i="5"/>
  <c r="A25" i="7" s="1"/>
  <c r="A25" i="5"/>
  <c r="A24" i="7" s="1"/>
  <c r="A23" i="5"/>
  <c r="A22" i="7" s="1"/>
  <c r="A28" i="5"/>
  <c r="A27" i="7" s="1"/>
  <c r="A27" i="5"/>
  <c r="A26" i="7" s="1"/>
  <c r="A24" i="5"/>
  <c r="A23" i="7" s="1"/>
  <c r="A3" i="5"/>
  <c r="A4" i="7" s="1"/>
  <c r="A13" i="5"/>
  <c r="A14" i="7" s="1"/>
  <c r="A12" i="5"/>
  <c r="A13" i="7" s="1"/>
  <c r="A10" i="5"/>
  <c r="A11" i="7" s="1"/>
  <c r="A9" i="5"/>
  <c r="A10" i="7" s="1"/>
  <c r="A17" i="5"/>
  <c r="A18" i="7" s="1"/>
  <c r="A16" i="5"/>
  <c r="A17" i="7" s="1"/>
  <c r="A8" i="5"/>
  <c r="A9" i="7" s="1"/>
  <c r="A18" i="5"/>
  <c r="A19" i="7" s="1"/>
  <c r="A15" i="5"/>
  <c r="A16" i="7" s="1"/>
  <c r="A7" i="5"/>
  <c r="A8" i="7" s="1"/>
  <c r="A14" i="5"/>
  <c r="A15" i="7" s="1"/>
  <c r="A6" i="5"/>
  <c r="A7" i="7" s="1"/>
  <c r="A5" i="5"/>
  <c r="A6" i="7" s="1"/>
  <c r="A4" i="5"/>
  <c r="A5" i="7" s="1"/>
  <c r="A11" i="5"/>
  <c r="A12" i="7" s="1"/>
  <c r="J12" i="2"/>
  <c r="AL12" i="2"/>
  <c r="W31" i="3" s="1"/>
  <c r="X12" i="2"/>
  <c r="I31" i="3" s="1"/>
  <c r="W12" i="2"/>
  <c r="H31" i="3" s="1"/>
  <c r="AI12" i="2"/>
  <c r="T31" i="3" s="1"/>
  <c r="AE12" i="2"/>
  <c r="P31" i="3" s="1"/>
  <c r="R12" i="2"/>
  <c r="AH12" i="2"/>
  <c r="S31" i="3" s="1"/>
  <c r="V12" i="2"/>
  <c r="G31" i="3" s="1"/>
  <c r="AF12" i="2"/>
  <c r="Q31" i="3" s="1"/>
  <c r="S12" i="2"/>
  <c r="D31" i="3" s="1"/>
  <c r="AD12" i="2"/>
  <c r="O31" i="3" s="1"/>
  <c r="I12" i="2"/>
  <c r="AA12" i="2"/>
  <c r="L31" i="3" s="1"/>
  <c r="O12" i="2"/>
  <c r="P12" i="2"/>
  <c r="AM12" i="2"/>
  <c r="X31" i="3" s="1"/>
  <c r="Z12" i="2"/>
  <c r="K31" i="3" s="1"/>
  <c r="N12" i="2"/>
  <c r="AG12" i="2"/>
  <c r="R31" i="3" s="1"/>
  <c r="Y12" i="2"/>
  <c r="J31" i="3" s="1"/>
  <c r="Q12" i="2"/>
  <c r="AK12" i="2"/>
  <c r="V31" i="3" s="1"/>
  <c r="AC12" i="2"/>
  <c r="N31" i="3" s="1"/>
  <c r="U12" i="2"/>
  <c r="F31" i="3" s="1"/>
  <c r="M12" i="2"/>
  <c r="AJ12" i="2"/>
  <c r="U31" i="3" s="1"/>
  <c r="AB12" i="2"/>
  <c r="M31" i="3" s="1"/>
  <c r="T12" i="2"/>
  <c r="E31" i="3" s="1"/>
  <c r="B31" i="3" l="1"/>
  <c r="B31" i="5" s="1"/>
  <c r="C31" i="3"/>
  <c r="B31" i="6" s="1"/>
  <c r="C30" i="7" s="1"/>
  <c r="J30" i="7" s="1"/>
  <c r="B30" i="7" l="1"/>
  <c r="I30" i="7" s="1"/>
  <c r="E31" i="5"/>
  <c r="G31" i="5"/>
  <c r="S31" i="5"/>
  <c r="O31" i="5"/>
  <c r="W31" i="5"/>
  <c r="I31" i="5"/>
  <c r="Q31" i="5"/>
  <c r="U31" i="5"/>
  <c r="M31" i="5"/>
  <c r="Y31" i="5"/>
  <c r="C31" i="5"/>
  <c r="K31" i="5"/>
  <c r="M3" i="1"/>
  <c r="N3" i="1"/>
  <c r="O3" i="1"/>
  <c r="P3" i="1"/>
  <c r="Q3" i="1"/>
  <c r="R3" i="1"/>
  <c r="S3" i="1"/>
  <c r="T3" i="1"/>
  <c r="D12" i="2" l="1"/>
  <c r="E10" i="2"/>
  <c r="F10" i="2" s="1"/>
  <c r="D7" i="2"/>
  <c r="D4" i="2"/>
  <c r="M7" i="2" l="1"/>
  <c r="U7" i="2"/>
  <c r="F26" i="3" s="1"/>
  <c r="AC7" i="2"/>
  <c r="N26" i="3" s="1"/>
  <c r="AK7" i="2"/>
  <c r="V26" i="3" s="1"/>
  <c r="X7" i="2"/>
  <c r="I26" i="3" s="1"/>
  <c r="AJ7" i="2"/>
  <c r="U26" i="3" s="1"/>
  <c r="N7" i="2"/>
  <c r="V7" i="2"/>
  <c r="G26" i="3" s="1"/>
  <c r="AD7" i="2"/>
  <c r="O26" i="3" s="1"/>
  <c r="AL7" i="2"/>
  <c r="W26" i="3" s="1"/>
  <c r="P7" i="2"/>
  <c r="AF7" i="2"/>
  <c r="Q26" i="3" s="1"/>
  <c r="O7" i="2"/>
  <c r="W7" i="2"/>
  <c r="H26" i="3" s="1"/>
  <c r="AE7" i="2"/>
  <c r="P26" i="3" s="1"/>
  <c r="AM7" i="2"/>
  <c r="X26" i="3" s="1"/>
  <c r="T7" i="2"/>
  <c r="E26" i="3" s="1"/>
  <c r="I7" i="2"/>
  <c r="Q7" i="2"/>
  <c r="Y7" i="2"/>
  <c r="J26" i="3" s="1"/>
  <c r="AG7" i="2"/>
  <c r="R26" i="3" s="1"/>
  <c r="K7" i="2"/>
  <c r="AA7" i="2"/>
  <c r="L26" i="3" s="1"/>
  <c r="AB7" i="2"/>
  <c r="M26" i="3" s="1"/>
  <c r="J7" i="2"/>
  <c r="R7" i="2"/>
  <c r="Z7" i="2"/>
  <c r="K26" i="3" s="1"/>
  <c r="AH7" i="2"/>
  <c r="S26" i="3" s="1"/>
  <c r="S7" i="2"/>
  <c r="D26" i="3" s="1"/>
  <c r="AI7" i="2"/>
  <c r="T26" i="3" s="1"/>
  <c r="L7" i="2"/>
  <c r="E14" i="2"/>
  <c r="F14" i="2" s="1"/>
  <c r="E11" i="2"/>
  <c r="F11" i="2" s="1"/>
  <c r="E9" i="2"/>
  <c r="F9" i="2" s="1"/>
  <c r="E7" i="2"/>
  <c r="F7" i="2" s="1"/>
  <c r="E6" i="2"/>
  <c r="F6" i="2" s="1"/>
  <c r="E4" i="2"/>
  <c r="C26" i="3" l="1"/>
  <c r="B26" i="6" s="1"/>
  <c r="C25" i="7" s="1"/>
  <c r="J25" i="7" s="1"/>
  <c r="B26" i="3"/>
  <c r="B26" i="5" s="1"/>
  <c r="K5" i="2"/>
  <c r="S5" i="2"/>
  <c r="D24" i="3" s="1"/>
  <c r="AA5" i="2"/>
  <c r="L24" i="3" s="1"/>
  <c r="AI5" i="2"/>
  <c r="T24" i="3" s="1"/>
  <c r="V5" i="2"/>
  <c r="G24" i="3" s="1"/>
  <c r="AL5" i="2"/>
  <c r="W24" i="3" s="1"/>
  <c r="AH5" i="2"/>
  <c r="S24" i="3" s="1"/>
  <c r="L5" i="2"/>
  <c r="T5" i="2"/>
  <c r="E24" i="3" s="1"/>
  <c r="AB5" i="2"/>
  <c r="M24" i="3" s="1"/>
  <c r="AJ5" i="2"/>
  <c r="U24" i="3" s="1"/>
  <c r="N5" i="2"/>
  <c r="AD5" i="2"/>
  <c r="O24" i="3" s="1"/>
  <c r="R5" i="2"/>
  <c r="M5" i="2"/>
  <c r="U5" i="2"/>
  <c r="F24" i="3" s="1"/>
  <c r="AC5" i="2"/>
  <c r="N24" i="3" s="1"/>
  <c r="AK5" i="2"/>
  <c r="V24" i="3" s="1"/>
  <c r="J5" i="2"/>
  <c r="O5" i="2"/>
  <c r="W5" i="2"/>
  <c r="H24" i="3" s="1"/>
  <c r="AE5" i="2"/>
  <c r="P24" i="3" s="1"/>
  <c r="AM5" i="2"/>
  <c r="X24" i="3" s="1"/>
  <c r="I5" i="2"/>
  <c r="Y5" i="2"/>
  <c r="J24" i="3" s="1"/>
  <c r="P5" i="2"/>
  <c r="X5" i="2"/>
  <c r="I24" i="3" s="1"/>
  <c r="AF5" i="2"/>
  <c r="Q24" i="3" s="1"/>
  <c r="Q5" i="2"/>
  <c r="AG5" i="2"/>
  <c r="R24" i="3" s="1"/>
  <c r="Z5" i="2"/>
  <c r="K24" i="3" s="1"/>
  <c r="L6" i="2"/>
  <c r="T6" i="2"/>
  <c r="E25" i="3" s="1"/>
  <c r="AB6" i="2"/>
  <c r="M25" i="3" s="1"/>
  <c r="AJ6" i="2"/>
  <c r="U25" i="3" s="1"/>
  <c r="AE6" i="2"/>
  <c r="P25" i="3" s="1"/>
  <c r="AI6" i="2"/>
  <c r="T25" i="3" s="1"/>
  <c r="M6" i="2"/>
  <c r="U6" i="2"/>
  <c r="F25" i="3" s="1"/>
  <c r="AC6" i="2"/>
  <c r="N25" i="3" s="1"/>
  <c r="AK6" i="2"/>
  <c r="V25" i="3" s="1"/>
  <c r="W6" i="2"/>
  <c r="H25" i="3" s="1"/>
  <c r="AA6" i="2"/>
  <c r="L25" i="3" s="1"/>
  <c r="N6" i="2"/>
  <c r="V6" i="2"/>
  <c r="G25" i="3" s="1"/>
  <c r="AD6" i="2"/>
  <c r="O25" i="3" s="1"/>
  <c r="AL6" i="2"/>
  <c r="W25" i="3" s="1"/>
  <c r="O6" i="2"/>
  <c r="AM6" i="2"/>
  <c r="X25" i="3" s="1"/>
  <c r="K6" i="2"/>
  <c r="P6" i="2"/>
  <c r="X6" i="2"/>
  <c r="I25" i="3" s="1"/>
  <c r="AF6" i="2"/>
  <c r="Q25" i="3" s="1"/>
  <c r="J6" i="2"/>
  <c r="Z6" i="2"/>
  <c r="K25" i="3" s="1"/>
  <c r="S6" i="2"/>
  <c r="D25" i="3" s="1"/>
  <c r="I6" i="2"/>
  <c r="Q6" i="2"/>
  <c r="Y6" i="2"/>
  <c r="J25" i="3" s="1"/>
  <c r="AG6" i="2"/>
  <c r="R25" i="3" s="1"/>
  <c r="R6" i="2"/>
  <c r="AH6" i="2"/>
  <c r="S25" i="3" s="1"/>
  <c r="N8" i="2"/>
  <c r="V8" i="2"/>
  <c r="G27" i="3" s="1"/>
  <c r="AD8" i="2"/>
  <c r="O27" i="3" s="1"/>
  <c r="AL8" i="2"/>
  <c r="W27" i="3" s="1"/>
  <c r="Y8" i="2"/>
  <c r="J27" i="3" s="1"/>
  <c r="O8" i="2"/>
  <c r="W8" i="2"/>
  <c r="H27" i="3" s="1"/>
  <c r="AE8" i="2"/>
  <c r="P27" i="3" s="1"/>
  <c r="AM8" i="2"/>
  <c r="X27" i="3" s="1"/>
  <c r="Q8" i="2"/>
  <c r="M8" i="2"/>
  <c r="P8" i="2"/>
  <c r="X8" i="2"/>
  <c r="I27" i="3" s="1"/>
  <c r="AF8" i="2"/>
  <c r="Q27" i="3" s="1"/>
  <c r="I8" i="2"/>
  <c r="AG8" i="2"/>
  <c r="R27" i="3" s="1"/>
  <c r="AK8" i="2"/>
  <c r="V27" i="3" s="1"/>
  <c r="J8" i="2"/>
  <c r="R8" i="2"/>
  <c r="Z8" i="2"/>
  <c r="K27" i="3" s="1"/>
  <c r="AH8" i="2"/>
  <c r="S27" i="3" s="1"/>
  <c r="T8" i="2"/>
  <c r="E27" i="3" s="1"/>
  <c r="AJ8" i="2"/>
  <c r="U27" i="3" s="1"/>
  <c r="U8" i="2"/>
  <c r="F27" i="3" s="1"/>
  <c r="K8" i="2"/>
  <c r="S8" i="2"/>
  <c r="D27" i="3" s="1"/>
  <c r="AA8" i="2"/>
  <c r="L27" i="3" s="1"/>
  <c r="AI8" i="2"/>
  <c r="T27" i="3" s="1"/>
  <c r="L8" i="2"/>
  <c r="AB8" i="2"/>
  <c r="M27" i="3" s="1"/>
  <c r="AC8" i="2"/>
  <c r="N27" i="3" s="1"/>
  <c r="J4" i="2"/>
  <c r="R4" i="2"/>
  <c r="Z4" i="2"/>
  <c r="K23" i="3" s="1"/>
  <c r="AH4" i="2"/>
  <c r="S23" i="3" s="1"/>
  <c r="AC4" i="2"/>
  <c r="N23" i="3" s="1"/>
  <c r="AG4" i="2"/>
  <c r="R23" i="3" s="1"/>
  <c r="K4" i="2"/>
  <c r="S4" i="2"/>
  <c r="D23" i="3" s="1"/>
  <c r="AA4" i="2"/>
  <c r="L23" i="3" s="1"/>
  <c r="AI4" i="2"/>
  <c r="T23" i="3" s="1"/>
  <c r="U4" i="2"/>
  <c r="F23" i="3" s="1"/>
  <c r="AK4" i="2"/>
  <c r="V23" i="3" s="1"/>
  <c r="Q4" i="2"/>
  <c r="L4" i="2"/>
  <c r="T4" i="2"/>
  <c r="E23" i="3" s="1"/>
  <c r="AB4" i="2"/>
  <c r="M23" i="3" s="1"/>
  <c r="AJ4" i="2"/>
  <c r="U23" i="3" s="1"/>
  <c r="M4" i="2"/>
  <c r="N4" i="2"/>
  <c r="V4" i="2"/>
  <c r="G23" i="3" s="1"/>
  <c r="AD4" i="2"/>
  <c r="O23" i="3" s="1"/>
  <c r="AL4" i="2"/>
  <c r="W23" i="3" s="1"/>
  <c r="X4" i="2"/>
  <c r="I23" i="3" s="1"/>
  <c r="Y4" i="2"/>
  <c r="J23" i="3" s="1"/>
  <c r="O4" i="2"/>
  <c r="W4" i="2"/>
  <c r="H23" i="3" s="1"/>
  <c r="AE4" i="2"/>
  <c r="P23" i="3" s="1"/>
  <c r="AM4" i="2"/>
  <c r="X23" i="3" s="1"/>
  <c r="P4" i="2"/>
  <c r="AF4" i="2"/>
  <c r="Q23" i="3" s="1"/>
  <c r="I4" i="2"/>
  <c r="P10" i="2"/>
  <c r="X10" i="2"/>
  <c r="I29" i="3" s="1"/>
  <c r="AF10" i="2"/>
  <c r="Q29" i="3" s="1"/>
  <c r="S10" i="2"/>
  <c r="D29" i="3" s="1"/>
  <c r="AE10" i="2"/>
  <c r="P29" i="3" s="1"/>
  <c r="I10" i="2"/>
  <c r="Q10" i="2"/>
  <c r="Y10" i="2"/>
  <c r="J29" i="3" s="1"/>
  <c r="AG10" i="2"/>
  <c r="R29" i="3" s="1"/>
  <c r="AA10" i="2"/>
  <c r="L29" i="3" s="1"/>
  <c r="O10" i="2"/>
  <c r="J10" i="2"/>
  <c r="R10" i="2"/>
  <c r="Z10" i="2"/>
  <c r="K29" i="3" s="1"/>
  <c r="AH10" i="2"/>
  <c r="S29" i="3" s="1"/>
  <c r="K10" i="2"/>
  <c r="AI10" i="2"/>
  <c r="T29" i="3" s="1"/>
  <c r="W10" i="2"/>
  <c r="H29" i="3" s="1"/>
  <c r="L10" i="2"/>
  <c r="T10" i="2"/>
  <c r="E29" i="3" s="1"/>
  <c r="AB10" i="2"/>
  <c r="M29" i="3" s="1"/>
  <c r="AJ10" i="2"/>
  <c r="U29" i="3" s="1"/>
  <c r="V10" i="2"/>
  <c r="G29" i="3" s="1"/>
  <c r="AL10" i="2"/>
  <c r="W29" i="3" s="1"/>
  <c r="AM10" i="2"/>
  <c r="X29" i="3" s="1"/>
  <c r="M10" i="2"/>
  <c r="U10" i="2"/>
  <c r="F29" i="3" s="1"/>
  <c r="AC10" i="2"/>
  <c r="N29" i="3" s="1"/>
  <c r="AK10" i="2"/>
  <c r="V29" i="3" s="1"/>
  <c r="N10" i="2"/>
  <c r="AD10" i="2"/>
  <c r="O29" i="3" s="1"/>
  <c r="E12" i="2"/>
  <c r="F12" i="2" s="1"/>
  <c r="F16" i="2"/>
  <c r="F4" i="2"/>
  <c r="B25" i="7" l="1"/>
  <c r="I25" i="7" s="1"/>
  <c r="Q26" i="5"/>
  <c r="G26" i="5"/>
  <c r="M26" i="5"/>
  <c r="O26" i="5"/>
  <c r="E26" i="5"/>
  <c r="I26" i="5"/>
  <c r="W26" i="5"/>
  <c r="C26" i="5"/>
  <c r="S26" i="5"/>
  <c r="B24" i="3"/>
  <c r="B24" i="5" s="1"/>
  <c r="C23" i="3"/>
  <c r="B23" i="6" s="1"/>
  <c r="C22" i="7" s="1"/>
  <c r="J22" i="7" s="1"/>
  <c r="B27" i="3"/>
  <c r="B27" i="5" s="1"/>
  <c r="C25" i="3"/>
  <c r="B25" i="6" s="1"/>
  <c r="B23" i="3"/>
  <c r="B23" i="5" s="1"/>
  <c r="K26" i="5"/>
  <c r="B29" i="3"/>
  <c r="B29" i="5" s="1"/>
  <c r="Y26" i="5"/>
  <c r="C24" i="3"/>
  <c r="B24" i="6" s="1"/>
  <c r="C29" i="3"/>
  <c r="B29" i="6" s="1"/>
  <c r="C28" i="7" s="1"/>
  <c r="J28" i="7" s="1"/>
  <c r="C27" i="3"/>
  <c r="B27" i="6" s="1"/>
  <c r="B25" i="3"/>
  <c r="B25" i="5" s="1"/>
  <c r="U26" i="5"/>
  <c r="M26" i="6"/>
  <c r="K26" i="6"/>
  <c r="I26" i="6"/>
  <c r="Q26" i="6"/>
  <c r="O26" i="6"/>
  <c r="G26" i="6"/>
  <c r="S26" i="6"/>
  <c r="U26" i="6"/>
  <c r="C26" i="6"/>
  <c r="E26" i="6"/>
  <c r="W26" i="6"/>
  <c r="Y26" i="6"/>
  <c r="I11" i="2"/>
  <c r="Q11" i="2"/>
  <c r="Y11" i="2"/>
  <c r="J30" i="3" s="1"/>
  <c r="AG11" i="2"/>
  <c r="R30" i="3" s="1"/>
  <c r="L11" i="2"/>
  <c r="AJ11" i="2"/>
  <c r="U30" i="3" s="1"/>
  <c r="AF11" i="2"/>
  <c r="Q30" i="3" s="1"/>
  <c r="J11" i="2"/>
  <c r="R11" i="2"/>
  <c r="Z11" i="2"/>
  <c r="K30" i="3" s="1"/>
  <c r="AH11" i="2"/>
  <c r="S30" i="3" s="1"/>
  <c r="T11" i="2"/>
  <c r="E30" i="3" s="1"/>
  <c r="X11" i="2"/>
  <c r="I30" i="3" s="1"/>
  <c r="K11" i="2"/>
  <c r="S11" i="2"/>
  <c r="D30" i="3" s="1"/>
  <c r="AA11" i="2"/>
  <c r="L30" i="3" s="1"/>
  <c r="AI11" i="2"/>
  <c r="T30" i="3" s="1"/>
  <c r="AB11" i="2"/>
  <c r="M30" i="3" s="1"/>
  <c r="M11" i="2"/>
  <c r="U11" i="2"/>
  <c r="F30" i="3" s="1"/>
  <c r="AC11" i="2"/>
  <c r="N30" i="3" s="1"/>
  <c r="AK11" i="2"/>
  <c r="V30" i="3" s="1"/>
  <c r="W11" i="2"/>
  <c r="H30" i="3" s="1"/>
  <c r="AM11" i="2"/>
  <c r="X30" i="3" s="1"/>
  <c r="N11" i="2"/>
  <c r="V11" i="2"/>
  <c r="G30" i="3" s="1"/>
  <c r="AD11" i="2"/>
  <c r="O30" i="3" s="1"/>
  <c r="AL11" i="2"/>
  <c r="W30" i="3" s="1"/>
  <c r="O11" i="2"/>
  <c r="AE11" i="2"/>
  <c r="P30" i="3" s="1"/>
  <c r="P11" i="2"/>
  <c r="K3" i="2"/>
  <c r="S3" i="2"/>
  <c r="D22" i="3" s="1"/>
  <c r="AA3" i="2"/>
  <c r="L22" i="3" s="1"/>
  <c r="AI3" i="2"/>
  <c r="T22" i="3" s="1"/>
  <c r="V3" i="2"/>
  <c r="G22" i="3" s="1"/>
  <c r="AL3" i="2"/>
  <c r="W22" i="3" s="1"/>
  <c r="L3" i="2"/>
  <c r="T3" i="2"/>
  <c r="E22" i="3" s="1"/>
  <c r="AB3" i="2"/>
  <c r="M22" i="3" s="1"/>
  <c r="AJ3" i="2"/>
  <c r="U22" i="3" s="1"/>
  <c r="N3" i="2"/>
  <c r="AH3" i="2"/>
  <c r="S22" i="3" s="1"/>
  <c r="M3" i="2"/>
  <c r="U3" i="2"/>
  <c r="F22" i="3" s="1"/>
  <c r="AC3" i="2"/>
  <c r="N22" i="3" s="1"/>
  <c r="AK3" i="2"/>
  <c r="V22" i="3" s="1"/>
  <c r="AD3" i="2"/>
  <c r="O22" i="3" s="1"/>
  <c r="J3" i="2"/>
  <c r="O3" i="2"/>
  <c r="W3" i="2"/>
  <c r="H22" i="3" s="1"/>
  <c r="AE3" i="2"/>
  <c r="P22" i="3" s="1"/>
  <c r="AM3" i="2"/>
  <c r="X22" i="3" s="1"/>
  <c r="AG3" i="2"/>
  <c r="R22" i="3" s="1"/>
  <c r="R3" i="2"/>
  <c r="C22" i="3" s="1"/>
  <c r="P3" i="2"/>
  <c r="X3" i="2"/>
  <c r="I22" i="3" s="1"/>
  <c r="AF3" i="2"/>
  <c r="Q22" i="3" s="1"/>
  <c r="I3" i="2"/>
  <c r="B22" i="3" s="1"/>
  <c r="Q3" i="2"/>
  <c r="Y3" i="2"/>
  <c r="J22" i="3" s="1"/>
  <c r="Z3" i="2"/>
  <c r="K22" i="3" s="1"/>
  <c r="O9" i="2"/>
  <c r="W9" i="2"/>
  <c r="H28" i="3" s="1"/>
  <c r="AE9" i="2"/>
  <c r="P28" i="3" s="1"/>
  <c r="AM9" i="2"/>
  <c r="X28" i="3" s="1"/>
  <c r="Z9" i="2"/>
  <c r="K28" i="3" s="1"/>
  <c r="V9" i="2"/>
  <c r="G28" i="3" s="1"/>
  <c r="P9" i="2"/>
  <c r="X9" i="2"/>
  <c r="I28" i="3" s="1"/>
  <c r="AF9" i="2"/>
  <c r="Q28" i="3" s="1"/>
  <c r="J9" i="2"/>
  <c r="R9" i="2"/>
  <c r="AH9" i="2"/>
  <c r="S28" i="3" s="1"/>
  <c r="N9" i="2"/>
  <c r="I9" i="2"/>
  <c r="Q9" i="2"/>
  <c r="Y9" i="2"/>
  <c r="J28" i="3" s="1"/>
  <c r="AG9" i="2"/>
  <c r="R28" i="3" s="1"/>
  <c r="K9" i="2"/>
  <c r="S9" i="2"/>
  <c r="D28" i="3" s="1"/>
  <c r="AA9" i="2"/>
  <c r="L28" i="3" s="1"/>
  <c r="AI9" i="2"/>
  <c r="T28" i="3" s="1"/>
  <c r="U9" i="2"/>
  <c r="F28" i="3" s="1"/>
  <c r="AK9" i="2"/>
  <c r="V28" i="3" s="1"/>
  <c r="AD9" i="2"/>
  <c r="O28" i="3" s="1"/>
  <c r="L9" i="2"/>
  <c r="T9" i="2"/>
  <c r="E28" i="3" s="1"/>
  <c r="AB9" i="2"/>
  <c r="M28" i="3" s="1"/>
  <c r="AJ9" i="2"/>
  <c r="U28" i="3" s="1"/>
  <c r="M9" i="2"/>
  <c r="AC9" i="2"/>
  <c r="N28" i="3" s="1"/>
  <c r="AL9" i="2"/>
  <c r="W28" i="3" s="1"/>
  <c r="F20" i="2"/>
  <c r="E20" i="2"/>
  <c r="B28" i="7" l="1"/>
  <c r="I28" i="7" s="1"/>
  <c r="E29" i="5"/>
  <c r="G29" i="5"/>
  <c r="W29" i="5"/>
  <c r="Y29" i="5"/>
  <c r="K29" i="5"/>
  <c r="I29" i="5"/>
  <c r="O29" i="5"/>
  <c r="C29" i="5"/>
  <c r="U29" i="5"/>
  <c r="S29" i="5"/>
  <c r="Q29" i="5"/>
  <c r="M29" i="5"/>
  <c r="C26" i="7"/>
  <c r="J26" i="7" s="1"/>
  <c r="W27" i="6"/>
  <c r="G27" i="6"/>
  <c r="M27" i="6"/>
  <c r="I27" i="6"/>
  <c r="Y27" i="6"/>
  <c r="O27" i="6"/>
  <c r="E27" i="6"/>
  <c r="U27" i="6"/>
  <c r="Q27" i="6"/>
  <c r="C27" i="6"/>
  <c r="K27" i="6"/>
  <c r="S27" i="6"/>
  <c r="C24" i="7"/>
  <c r="J24" i="7" s="1"/>
  <c r="M25" i="6"/>
  <c r="S25" i="6"/>
  <c r="G25" i="6"/>
  <c r="O25" i="6"/>
  <c r="K25" i="6"/>
  <c r="I25" i="6"/>
  <c r="C25" i="6"/>
  <c r="E25" i="6"/>
  <c r="Q25" i="6"/>
  <c r="W25" i="6"/>
  <c r="U25" i="6"/>
  <c r="Y25" i="6"/>
  <c r="B22" i="7"/>
  <c r="I22" i="7" s="1"/>
  <c r="K23" i="5"/>
  <c r="U23" i="5"/>
  <c r="Y23" i="5"/>
  <c r="G23" i="5"/>
  <c r="I23" i="5"/>
  <c r="W23" i="5"/>
  <c r="S23" i="5"/>
  <c r="Q23" i="5"/>
  <c r="E23" i="5"/>
  <c r="M23" i="5"/>
  <c r="O23" i="5"/>
  <c r="C23" i="5"/>
  <c r="B26" i="7"/>
  <c r="I26" i="7" s="1"/>
  <c r="Y27" i="5"/>
  <c r="E27" i="5"/>
  <c r="C27" i="5"/>
  <c r="Q27" i="5"/>
  <c r="U27" i="5"/>
  <c r="W27" i="5"/>
  <c r="G27" i="5"/>
  <c r="S27" i="5"/>
  <c r="M27" i="5"/>
  <c r="K27" i="5"/>
  <c r="I27" i="5"/>
  <c r="O27" i="5"/>
  <c r="B24" i="7"/>
  <c r="I24" i="7" s="1"/>
  <c r="Q25" i="5"/>
  <c r="M25" i="5"/>
  <c r="S25" i="5"/>
  <c r="I25" i="5"/>
  <c r="Y25" i="5"/>
  <c r="E25" i="5"/>
  <c r="W25" i="5"/>
  <c r="O25" i="5"/>
  <c r="C25" i="5"/>
  <c r="U25" i="5"/>
  <c r="K25" i="5"/>
  <c r="G25" i="5"/>
  <c r="C23" i="7"/>
  <c r="J23" i="7" s="1"/>
  <c r="C24" i="6"/>
  <c r="W24" i="6"/>
  <c r="O24" i="6"/>
  <c r="Q24" i="6"/>
  <c r="K24" i="6"/>
  <c r="S24" i="6"/>
  <c r="M24" i="6"/>
  <c r="Y24" i="6"/>
  <c r="I24" i="6"/>
  <c r="G24" i="6"/>
  <c r="U24" i="6"/>
  <c r="E24" i="6"/>
  <c r="B23" i="7"/>
  <c r="I23" i="7" s="1"/>
  <c r="G24" i="5"/>
  <c r="K24" i="5"/>
  <c r="Y24" i="5"/>
  <c r="U24" i="5"/>
  <c r="M24" i="5"/>
  <c r="C24" i="5"/>
  <c r="S24" i="5"/>
  <c r="Q24" i="5"/>
  <c r="W24" i="5"/>
  <c r="I24" i="5"/>
  <c r="E24" i="5"/>
  <c r="O24" i="5"/>
  <c r="C28" i="3"/>
  <c r="B28" i="6" s="1"/>
  <c r="C30" i="3"/>
  <c r="B30" i="6" s="1"/>
  <c r="B30" i="3"/>
  <c r="B30" i="5" s="1"/>
  <c r="B29" i="7" s="1"/>
  <c r="I29" i="7" s="1"/>
  <c r="B28" i="3"/>
  <c r="B28" i="5" s="1"/>
  <c r="U23" i="6"/>
  <c r="E23" i="6"/>
  <c r="Q23" i="6"/>
  <c r="S23" i="6"/>
  <c r="K23" i="6"/>
  <c r="M23" i="6"/>
  <c r="G23" i="6"/>
  <c r="I23" i="6"/>
  <c r="W23" i="6"/>
  <c r="Y23" i="6"/>
  <c r="C23" i="6"/>
  <c r="O23" i="6"/>
  <c r="I29" i="6"/>
  <c r="M29" i="6"/>
  <c r="Y29" i="6"/>
  <c r="O29" i="6"/>
  <c r="Q29" i="6"/>
  <c r="S29" i="6"/>
  <c r="G29" i="6"/>
  <c r="E29" i="6"/>
  <c r="K29" i="6"/>
  <c r="C29" i="6"/>
  <c r="U29" i="6"/>
  <c r="W29" i="6"/>
  <c r="U31" i="6"/>
  <c r="E31" i="6"/>
  <c r="Q31" i="6"/>
  <c r="S31" i="6"/>
  <c r="M31" i="6"/>
  <c r="G31" i="6"/>
  <c r="I31" i="6"/>
  <c r="K31" i="6"/>
  <c r="W31" i="6"/>
  <c r="Y31" i="6"/>
  <c r="C31" i="6"/>
  <c r="O31" i="6"/>
  <c r="H15" i="1"/>
  <c r="J15" i="1" s="1"/>
  <c r="H14" i="1"/>
  <c r="H13" i="1"/>
  <c r="G13" i="1"/>
  <c r="G14" i="1"/>
  <c r="G15" i="1"/>
  <c r="M30" i="5" l="1"/>
  <c r="C29" i="7"/>
  <c r="J29" i="7" s="1"/>
  <c r="U30" i="6"/>
  <c r="Q30" i="6"/>
  <c r="C30" i="6"/>
  <c r="C27" i="7"/>
  <c r="J27" i="7" s="1"/>
  <c r="G28" i="6"/>
  <c r="C28" i="6"/>
  <c r="E28" i="6"/>
  <c r="W28" i="6"/>
  <c r="Y28" i="6"/>
  <c r="I28" i="6"/>
  <c r="K28" i="6"/>
  <c r="Q28" i="6"/>
  <c r="M28" i="6"/>
  <c r="O28" i="6"/>
  <c r="U28" i="6"/>
  <c r="S28" i="6"/>
  <c r="B27" i="7"/>
  <c r="I27" i="7" s="1"/>
  <c r="W28" i="5"/>
  <c r="K28" i="5"/>
  <c r="I28" i="5"/>
  <c r="Y28" i="5"/>
  <c r="M28" i="5"/>
  <c r="E28" i="5"/>
  <c r="O28" i="5"/>
  <c r="S28" i="5"/>
  <c r="G28" i="5"/>
  <c r="Q28" i="5"/>
  <c r="U28" i="5"/>
  <c r="C28" i="5"/>
  <c r="U30" i="5"/>
  <c r="W30" i="5"/>
  <c r="Y30" i="6"/>
  <c r="Y30" i="5"/>
  <c r="W30" i="6"/>
  <c r="E30" i="6"/>
  <c r="G30" i="5"/>
  <c r="S30" i="6"/>
  <c r="C30" i="5"/>
  <c r="O30" i="5"/>
  <c r="M30" i="6"/>
  <c r="O30" i="6"/>
  <c r="G30" i="6"/>
  <c r="K30" i="5"/>
  <c r="Q30" i="5"/>
  <c r="E30" i="5"/>
  <c r="I30" i="5"/>
  <c r="K30" i="6"/>
  <c r="S30" i="5"/>
  <c r="I30" i="6"/>
  <c r="G10" i="1"/>
  <c r="H10" i="1" s="1"/>
  <c r="J10" i="1" s="1"/>
  <c r="F6" i="1"/>
  <c r="F25" i="1"/>
  <c r="F38" i="1" s="1"/>
  <c r="F18" i="1"/>
  <c r="J14" i="1"/>
  <c r="J13" i="1"/>
  <c r="J16" i="1" l="1"/>
  <c r="B10" i="1" s="1"/>
  <c r="F10" i="1" s="1"/>
  <c r="AM6" i="1" s="1"/>
  <c r="U5" i="3" s="1"/>
  <c r="S13" i="1"/>
  <c r="N13" i="1"/>
  <c r="T13" i="1"/>
  <c r="M13" i="1"/>
  <c r="O13" i="1"/>
  <c r="P13" i="1"/>
  <c r="Q13" i="1"/>
  <c r="R13" i="1"/>
  <c r="F20" i="1"/>
  <c r="F22" i="1"/>
  <c r="F19" i="1"/>
  <c r="F21" i="1"/>
  <c r="B18" i="5"/>
  <c r="P4" i="1"/>
  <c r="X4" i="1"/>
  <c r="F3" i="3" s="1"/>
  <c r="AF4" i="1"/>
  <c r="N3" i="3" s="1"/>
  <c r="AN4" i="1"/>
  <c r="V3" i="3" s="1"/>
  <c r="Q4" i="1"/>
  <c r="AG4" i="1"/>
  <c r="O3" i="3" s="1"/>
  <c r="Z4" i="1"/>
  <c r="H3" i="3" s="1"/>
  <c r="AP4" i="1"/>
  <c r="X3" i="3" s="1"/>
  <c r="AA4" i="1"/>
  <c r="I3" i="3" s="1"/>
  <c r="AB4" i="1"/>
  <c r="J3" i="3" s="1"/>
  <c r="M4" i="1"/>
  <c r="N4" i="1"/>
  <c r="AL4" i="1"/>
  <c r="T3" i="3" s="1"/>
  <c r="W4" i="1"/>
  <c r="E3" i="3" s="1"/>
  <c r="Y4" i="1"/>
  <c r="G3" i="3" s="1"/>
  <c r="AO4" i="1"/>
  <c r="W3" i="3" s="1"/>
  <c r="AH4" i="1"/>
  <c r="P3" i="3" s="1"/>
  <c r="S4" i="1"/>
  <c r="V4" i="1"/>
  <c r="D3" i="3" s="1"/>
  <c r="R4" i="1"/>
  <c r="AI4" i="1"/>
  <c r="Q3" i="3" s="1"/>
  <c r="AJ4" i="1"/>
  <c r="R3" i="3" s="1"/>
  <c r="U4" i="1"/>
  <c r="AD4" i="1"/>
  <c r="L3" i="3" s="1"/>
  <c r="AM4" i="1"/>
  <c r="U3" i="3" s="1"/>
  <c r="L4" i="1"/>
  <c r="T4" i="1"/>
  <c r="AK4" i="1"/>
  <c r="S3" i="3" s="1"/>
  <c r="AE4" i="1"/>
  <c r="M3" i="3" s="1"/>
  <c r="AC4" i="1"/>
  <c r="K3" i="3" s="1"/>
  <c r="O4" i="1"/>
  <c r="F7" i="1"/>
  <c r="Y3" i="1"/>
  <c r="AG3" i="1"/>
  <c r="AO3" i="1"/>
  <c r="W13" i="1"/>
  <c r="E12" i="3" s="1"/>
  <c r="AE13" i="1"/>
  <c r="M12" i="3" s="1"/>
  <c r="AM13" i="1"/>
  <c r="U12" i="3" s="1"/>
  <c r="AF13" i="1"/>
  <c r="N12" i="3" s="1"/>
  <c r="AA3" i="1"/>
  <c r="AG13" i="1"/>
  <c r="O12" i="3" s="1"/>
  <c r="L3" i="1"/>
  <c r="AB3" i="1"/>
  <c r="AJ3" i="1"/>
  <c r="AN13" i="1"/>
  <c r="V12" i="3" s="1"/>
  <c r="AI3" i="1"/>
  <c r="Y13" i="1"/>
  <c r="G12" i="3" s="1"/>
  <c r="AA13" i="1"/>
  <c r="I12" i="3" s="1"/>
  <c r="AI13" i="1"/>
  <c r="Q12" i="3" s="1"/>
  <c r="L13" i="1"/>
  <c r="AB13" i="1"/>
  <c r="J12" i="3" s="1"/>
  <c r="AJ13" i="1"/>
  <c r="R12" i="3" s="1"/>
  <c r="X13" i="1"/>
  <c r="F12" i="3" s="1"/>
  <c r="AO13" i="1"/>
  <c r="W12" i="3" s="1"/>
  <c r="W3" i="1"/>
  <c r="AE3" i="1"/>
  <c r="AM3" i="1"/>
  <c r="U13" i="1"/>
  <c r="AC13" i="1"/>
  <c r="K12" i="3" s="1"/>
  <c r="AK13" i="1"/>
  <c r="S12" i="3" s="1"/>
  <c r="Z3" i="1"/>
  <c r="AH3" i="1"/>
  <c r="AP3" i="1"/>
  <c r="U3" i="1"/>
  <c r="AC3" i="1"/>
  <c r="AK3" i="1"/>
  <c r="Z13" i="1"/>
  <c r="H12" i="3" s="1"/>
  <c r="AH13" i="1"/>
  <c r="P12" i="3" s="1"/>
  <c r="AP13" i="1"/>
  <c r="X12" i="3" s="1"/>
  <c r="V3" i="1"/>
  <c r="AD3" i="1"/>
  <c r="AL3" i="1"/>
  <c r="V13" i="1"/>
  <c r="D12" i="3" s="1"/>
  <c r="AD13" i="1"/>
  <c r="L12" i="3" s="1"/>
  <c r="AL13" i="1"/>
  <c r="T12" i="3" s="1"/>
  <c r="X3" i="1"/>
  <c r="AF3" i="1"/>
  <c r="AN3" i="1"/>
  <c r="S2" i="3" l="1"/>
  <c r="C12" i="3"/>
  <c r="B13" i="6" s="1"/>
  <c r="B12" i="3"/>
  <c r="B13" i="5" s="1"/>
  <c r="B2" i="3"/>
  <c r="B3" i="5" s="1"/>
  <c r="B4" i="7" s="1"/>
  <c r="I4" i="7" s="1"/>
  <c r="O2" i="3"/>
  <c r="B3" i="3"/>
  <c r="B4" i="5" s="1"/>
  <c r="C4" i="5" s="1"/>
  <c r="T2" i="3"/>
  <c r="M2" i="3"/>
  <c r="I2" i="3"/>
  <c r="K2" i="3"/>
  <c r="G2" i="3"/>
  <c r="C2" i="3"/>
  <c r="B3" i="6" s="1"/>
  <c r="C4" i="7" s="1"/>
  <c r="J4" i="7" s="1"/>
  <c r="L2" i="3"/>
  <c r="X2" i="3"/>
  <c r="E2" i="3"/>
  <c r="C3" i="3"/>
  <c r="B4" i="6" s="1"/>
  <c r="U2" i="3"/>
  <c r="V2" i="3"/>
  <c r="D2" i="3"/>
  <c r="P2" i="3"/>
  <c r="Q2" i="3"/>
  <c r="N2" i="3"/>
  <c r="R2" i="3"/>
  <c r="H2" i="3"/>
  <c r="F2" i="3"/>
  <c r="J2" i="3"/>
  <c r="W2" i="3"/>
  <c r="B15" i="1"/>
  <c r="F15" i="1" s="1"/>
  <c r="AC11" i="1" s="1"/>
  <c r="K10" i="3" s="1"/>
  <c r="B13" i="1"/>
  <c r="F13" i="1" s="1"/>
  <c r="B14" i="1"/>
  <c r="F14" i="1" s="1"/>
  <c r="F16" i="1" s="1"/>
  <c r="AO6" i="1"/>
  <c r="W5" i="3" s="1"/>
  <c r="Y6" i="1"/>
  <c r="G5" i="3" s="1"/>
  <c r="AL6" i="1"/>
  <c r="T5" i="3" s="1"/>
  <c r="AB6" i="1"/>
  <c r="J5" i="3" s="1"/>
  <c r="AK6" i="1"/>
  <c r="S5" i="3" s="1"/>
  <c r="AD6" i="1"/>
  <c r="L5" i="3" s="1"/>
  <c r="L6" i="1"/>
  <c r="AC6" i="1"/>
  <c r="K5" i="3" s="1"/>
  <c r="X6" i="1"/>
  <c r="F5" i="3" s="1"/>
  <c r="AN6" i="1"/>
  <c r="V5" i="3" s="1"/>
  <c r="AE6" i="1"/>
  <c r="M5" i="3" s="1"/>
  <c r="V6" i="1"/>
  <c r="D5" i="3" s="1"/>
  <c r="U6" i="1"/>
  <c r="AP6" i="1"/>
  <c r="X5" i="3" s="1"/>
  <c r="Z6" i="1"/>
  <c r="H5" i="3" s="1"/>
  <c r="W6" i="1"/>
  <c r="E5" i="3" s="1"/>
  <c r="AI6" i="1"/>
  <c r="Q5" i="3" s="1"/>
  <c r="AF6" i="1"/>
  <c r="N5" i="3" s="1"/>
  <c r="AA6" i="1"/>
  <c r="I5" i="3" s="1"/>
  <c r="AH6" i="1"/>
  <c r="P5" i="3" s="1"/>
  <c r="AG6" i="1"/>
  <c r="O5" i="3" s="1"/>
  <c r="AJ6" i="1"/>
  <c r="R5" i="3" s="1"/>
  <c r="N16" i="1"/>
  <c r="V16" i="1"/>
  <c r="D15" i="3" s="1"/>
  <c r="AD16" i="1"/>
  <c r="L15" i="3" s="1"/>
  <c r="AL16" i="1"/>
  <c r="T15" i="3" s="1"/>
  <c r="Z16" i="1"/>
  <c r="H15" i="3" s="1"/>
  <c r="AK16" i="1"/>
  <c r="S15" i="3" s="1"/>
  <c r="O16" i="1"/>
  <c r="W16" i="1"/>
  <c r="E15" i="3" s="1"/>
  <c r="AE16" i="1"/>
  <c r="M15" i="3" s="1"/>
  <c r="AM16" i="1"/>
  <c r="U15" i="3" s="1"/>
  <c r="AH16" i="1"/>
  <c r="P15" i="3" s="1"/>
  <c r="AA16" i="1"/>
  <c r="I15" i="3" s="1"/>
  <c r="U16" i="1"/>
  <c r="P16" i="1"/>
  <c r="X16" i="1"/>
  <c r="F15" i="3" s="1"/>
  <c r="AF16" i="1"/>
  <c r="N15" i="3" s="1"/>
  <c r="AN16" i="1"/>
  <c r="V15" i="3" s="1"/>
  <c r="R16" i="1"/>
  <c r="S16" i="1"/>
  <c r="Q16" i="1"/>
  <c r="Y16" i="1"/>
  <c r="G15" i="3" s="1"/>
  <c r="AG16" i="1"/>
  <c r="O15" i="3" s="1"/>
  <c r="AO16" i="1"/>
  <c r="W15" i="3" s="1"/>
  <c r="AP16" i="1"/>
  <c r="X15" i="3" s="1"/>
  <c r="L16" i="1"/>
  <c r="M16" i="1"/>
  <c r="AI16" i="1"/>
  <c r="Q15" i="3" s="1"/>
  <c r="T16" i="1"/>
  <c r="AB16" i="1"/>
  <c r="J15" i="3" s="1"/>
  <c r="AJ16" i="1"/>
  <c r="R15" i="3" s="1"/>
  <c r="AC16" i="1"/>
  <c r="K15" i="3" s="1"/>
  <c r="Y14" i="1"/>
  <c r="G13" i="3" s="1"/>
  <c r="AG14" i="1"/>
  <c r="O13" i="3" s="1"/>
  <c r="AO14" i="1"/>
  <c r="W13" i="3" s="1"/>
  <c r="AI14" i="1"/>
  <c r="Q13" i="3" s="1"/>
  <c r="AB14" i="1"/>
  <c r="J13" i="3" s="1"/>
  <c r="AC14" i="1"/>
  <c r="K13" i="3" s="1"/>
  <c r="Z14" i="1"/>
  <c r="H13" i="3" s="1"/>
  <c r="AH14" i="1"/>
  <c r="P13" i="3" s="1"/>
  <c r="AP14" i="1"/>
  <c r="X13" i="3" s="1"/>
  <c r="U14" i="1"/>
  <c r="AL14" i="1"/>
  <c r="T13" i="3" s="1"/>
  <c r="AF14" i="1"/>
  <c r="N13" i="3" s="1"/>
  <c r="AA14" i="1"/>
  <c r="I13" i="3" s="1"/>
  <c r="AJ14" i="1"/>
  <c r="R13" i="3" s="1"/>
  <c r="L14" i="1"/>
  <c r="AK14" i="1"/>
  <c r="S13" i="3" s="1"/>
  <c r="AD14" i="1"/>
  <c r="L13" i="3" s="1"/>
  <c r="X14" i="1"/>
  <c r="F13" i="3" s="1"/>
  <c r="V14" i="1"/>
  <c r="D13" i="3" s="1"/>
  <c r="W14" i="1"/>
  <c r="E13" i="3" s="1"/>
  <c r="AE14" i="1"/>
  <c r="M13" i="3" s="1"/>
  <c r="AM14" i="1"/>
  <c r="U13" i="3" s="1"/>
  <c r="AN14" i="1"/>
  <c r="V13" i="3" s="1"/>
  <c r="O5" i="1"/>
  <c r="W5" i="1"/>
  <c r="E4" i="3" s="1"/>
  <c r="AE5" i="1"/>
  <c r="M4" i="3" s="1"/>
  <c r="AM5" i="1"/>
  <c r="U4" i="3" s="1"/>
  <c r="R5" i="1"/>
  <c r="AH5" i="1"/>
  <c r="P4" i="3" s="1"/>
  <c r="AI5" i="1"/>
  <c r="Q4" i="3" s="1"/>
  <c r="V5" i="1"/>
  <c r="D4" i="3" s="1"/>
  <c r="P5" i="1"/>
  <c r="X5" i="1"/>
  <c r="F4" i="3" s="1"/>
  <c r="AF5" i="1"/>
  <c r="N4" i="3" s="1"/>
  <c r="AN5" i="1"/>
  <c r="V4" i="3" s="1"/>
  <c r="AA5" i="1"/>
  <c r="I4" i="3" s="1"/>
  <c r="AJ5" i="1"/>
  <c r="R4" i="3" s="1"/>
  <c r="M5" i="1"/>
  <c r="AD5" i="1"/>
  <c r="L4" i="3" s="1"/>
  <c r="Q5" i="1"/>
  <c r="Y5" i="1"/>
  <c r="G4" i="3" s="1"/>
  <c r="AG5" i="1"/>
  <c r="O4" i="3" s="1"/>
  <c r="AO5" i="1"/>
  <c r="W4" i="3" s="1"/>
  <c r="Z5" i="1"/>
  <c r="H4" i="3" s="1"/>
  <c r="AP5" i="1"/>
  <c r="X4" i="3" s="1"/>
  <c r="L5" i="1"/>
  <c r="T5" i="1"/>
  <c r="U5" i="1"/>
  <c r="N5" i="1"/>
  <c r="AL5" i="1"/>
  <c r="T4" i="3" s="1"/>
  <c r="AB5" i="1"/>
  <c r="J4" i="3" s="1"/>
  <c r="AC5" i="1"/>
  <c r="K4" i="3" s="1"/>
  <c r="S5" i="1"/>
  <c r="AK5" i="1"/>
  <c r="S4" i="3" s="1"/>
  <c r="F32" i="1"/>
  <c r="O15" i="1"/>
  <c r="W15" i="1"/>
  <c r="E14" i="3" s="1"/>
  <c r="AE15" i="1"/>
  <c r="M14" i="3" s="1"/>
  <c r="AM15" i="1"/>
  <c r="U14" i="3" s="1"/>
  <c r="AG15" i="1"/>
  <c r="O14" i="3" s="1"/>
  <c r="AA15" i="1"/>
  <c r="I14" i="3" s="1"/>
  <c r="T15" i="1"/>
  <c r="P15" i="1"/>
  <c r="X15" i="1"/>
  <c r="F14" i="3" s="1"/>
  <c r="AF15" i="1"/>
  <c r="N14" i="3" s="1"/>
  <c r="AN15" i="1"/>
  <c r="V14" i="3" s="1"/>
  <c r="AO15" i="1"/>
  <c r="W14" i="3" s="1"/>
  <c r="AH15" i="1"/>
  <c r="P14" i="3" s="1"/>
  <c r="L15" i="1"/>
  <c r="AB15" i="1"/>
  <c r="J14" i="3" s="1"/>
  <c r="Q15" i="1"/>
  <c r="Y15" i="1"/>
  <c r="G14" i="3" s="1"/>
  <c r="AJ15" i="1"/>
  <c r="R14" i="3" s="1"/>
  <c r="V15" i="1"/>
  <c r="D14" i="3" s="1"/>
  <c r="R15" i="1"/>
  <c r="Z15" i="1"/>
  <c r="H14" i="3" s="1"/>
  <c r="AP15" i="1"/>
  <c r="X14" i="3" s="1"/>
  <c r="AI15" i="1"/>
  <c r="Q14" i="3" s="1"/>
  <c r="N15" i="1"/>
  <c r="S15" i="1"/>
  <c r="AL15" i="1"/>
  <c r="T14" i="3" s="1"/>
  <c r="M15" i="1"/>
  <c r="U15" i="1"/>
  <c r="AC15" i="1"/>
  <c r="K14" i="3" s="1"/>
  <c r="AK15" i="1"/>
  <c r="S14" i="3" s="1"/>
  <c r="AD15" i="1"/>
  <c r="L14" i="3" s="1"/>
  <c r="F36" i="1"/>
  <c r="AP11" i="1"/>
  <c r="X10" i="3" s="1"/>
  <c r="O6" i="1"/>
  <c r="S6" i="1"/>
  <c r="P6" i="1"/>
  <c r="Q6" i="1"/>
  <c r="R6" i="1"/>
  <c r="N6" i="1"/>
  <c r="T6" i="1"/>
  <c r="M6" i="1"/>
  <c r="F12" i="1"/>
  <c r="F11" i="1"/>
  <c r="B19" i="7"/>
  <c r="I19" i="7" s="1"/>
  <c r="G18" i="5"/>
  <c r="O18" i="5"/>
  <c r="U18" i="5"/>
  <c r="Q18" i="5"/>
  <c r="C18" i="5"/>
  <c r="Y18" i="5"/>
  <c r="E18" i="5"/>
  <c r="I18" i="5"/>
  <c r="W18" i="5"/>
  <c r="K18" i="5"/>
  <c r="M18" i="5"/>
  <c r="S18" i="5"/>
  <c r="M9" i="1"/>
  <c r="U9" i="1"/>
  <c r="AC9" i="1"/>
  <c r="K8" i="3" s="1"/>
  <c r="AK9" i="1"/>
  <c r="S8" i="3" s="1"/>
  <c r="V9" i="1"/>
  <c r="D8" i="3" s="1"/>
  <c r="AD9" i="1"/>
  <c r="L8" i="3" s="1"/>
  <c r="AL9" i="1"/>
  <c r="T8" i="3" s="1"/>
  <c r="AM9" i="1"/>
  <c r="U8" i="3" s="1"/>
  <c r="P9" i="1"/>
  <c r="AG9" i="1"/>
  <c r="O8" i="3" s="1"/>
  <c r="Z9" i="1"/>
  <c r="H8" i="3" s="1"/>
  <c r="S9" i="1"/>
  <c r="L9" i="1"/>
  <c r="T9" i="1"/>
  <c r="N9" i="1"/>
  <c r="AN9" i="1"/>
  <c r="V8" i="3" s="1"/>
  <c r="AO9" i="1"/>
  <c r="W8" i="3" s="1"/>
  <c r="AI9" i="1"/>
  <c r="Q8" i="3" s="1"/>
  <c r="AB9" i="1"/>
  <c r="J8" i="3" s="1"/>
  <c r="O9" i="1"/>
  <c r="W9" i="1"/>
  <c r="E8" i="3" s="1"/>
  <c r="AE9" i="1"/>
  <c r="M8" i="3" s="1"/>
  <c r="AF9" i="1"/>
  <c r="N8" i="3" s="1"/>
  <c r="Q9" i="1"/>
  <c r="R9" i="1"/>
  <c r="AH9" i="1"/>
  <c r="P8" i="3" s="1"/>
  <c r="AA9" i="1"/>
  <c r="I8" i="3" s="1"/>
  <c r="AJ9" i="1"/>
  <c r="R8" i="3" s="1"/>
  <c r="X9" i="1"/>
  <c r="F8" i="3" s="1"/>
  <c r="Y9" i="1"/>
  <c r="G8" i="3" s="1"/>
  <c r="AP9" i="1"/>
  <c r="X8" i="3" s="1"/>
  <c r="M17" i="1"/>
  <c r="U17" i="1"/>
  <c r="AC17" i="1"/>
  <c r="K16" i="3" s="1"/>
  <c r="AK17" i="1"/>
  <c r="S16" i="3" s="1"/>
  <c r="Y17" i="1"/>
  <c r="G16" i="3" s="1"/>
  <c r="AP17" i="1"/>
  <c r="X16" i="3" s="1"/>
  <c r="N17" i="1"/>
  <c r="V17" i="1"/>
  <c r="D16" i="3" s="1"/>
  <c r="AD17" i="1"/>
  <c r="L16" i="3" s="1"/>
  <c r="AL17" i="1"/>
  <c r="T16" i="3" s="1"/>
  <c r="Q17" i="1"/>
  <c r="Z17" i="1"/>
  <c r="H16" i="3" s="1"/>
  <c r="O17" i="1"/>
  <c r="W17" i="1"/>
  <c r="E16" i="3" s="1"/>
  <c r="AE17" i="1"/>
  <c r="M16" i="3" s="1"/>
  <c r="AM17" i="1"/>
  <c r="U16" i="3" s="1"/>
  <c r="P17" i="1"/>
  <c r="X17" i="1"/>
  <c r="F16" i="3" s="1"/>
  <c r="AF17" i="1"/>
  <c r="N16" i="3" s="1"/>
  <c r="AN17" i="1"/>
  <c r="V16" i="3" s="1"/>
  <c r="AO17" i="1"/>
  <c r="W16" i="3" s="1"/>
  <c r="AH17" i="1"/>
  <c r="P16" i="3" s="1"/>
  <c r="AG17" i="1"/>
  <c r="O16" i="3" s="1"/>
  <c r="R17" i="1"/>
  <c r="S17" i="1"/>
  <c r="AA17" i="1"/>
  <c r="I16" i="3" s="1"/>
  <c r="AI17" i="1"/>
  <c r="Q16" i="3" s="1"/>
  <c r="L17" i="1"/>
  <c r="T17" i="1"/>
  <c r="AB17" i="1"/>
  <c r="J16" i="3" s="1"/>
  <c r="AJ17" i="1"/>
  <c r="R16" i="3" s="1"/>
  <c r="F37" i="1"/>
  <c r="T10" i="1"/>
  <c r="AB10" i="1"/>
  <c r="J9" i="3" s="1"/>
  <c r="AJ10" i="1"/>
  <c r="R9" i="3" s="1"/>
  <c r="AK10" i="1"/>
  <c r="S9" i="3" s="1"/>
  <c r="W10" i="1"/>
  <c r="E9" i="3" s="1"/>
  <c r="AM10" i="1"/>
  <c r="U9" i="3" s="1"/>
  <c r="AF10" i="1"/>
  <c r="N9" i="3" s="1"/>
  <c r="AN10" i="1"/>
  <c r="V9" i="3" s="1"/>
  <c r="AA10" i="1"/>
  <c r="I9" i="3" s="1"/>
  <c r="M10" i="1"/>
  <c r="U10" i="1"/>
  <c r="AC10" i="1"/>
  <c r="K9" i="3" s="1"/>
  <c r="O10" i="1"/>
  <c r="P10" i="1"/>
  <c r="N10" i="1"/>
  <c r="V10" i="1"/>
  <c r="D9" i="3" s="1"/>
  <c r="AD10" i="1"/>
  <c r="L9" i="3" s="1"/>
  <c r="AL10" i="1"/>
  <c r="T9" i="3" s="1"/>
  <c r="AE10" i="1"/>
  <c r="M9" i="3" s="1"/>
  <c r="X10" i="1"/>
  <c r="F9" i="3" s="1"/>
  <c r="AI10" i="1"/>
  <c r="Q9" i="3" s="1"/>
  <c r="Q10" i="1"/>
  <c r="Y10" i="1"/>
  <c r="G9" i="3" s="1"/>
  <c r="AG10" i="1"/>
  <c r="O9" i="3" s="1"/>
  <c r="AO10" i="1"/>
  <c r="W9" i="3" s="1"/>
  <c r="R10" i="1"/>
  <c r="Z10" i="1"/>
  <c r="H9" i="3" s="1"/>
  <c r="AH10" i="1"/>
  <c r="P9" i="3" s="1"/>
  <c r="AP10" i="1"/>
  <c r="X9" i="3" s="1"/>
  <c r="S10" i="1"/>
  <c r="L10" i="1"/>
  <c r="B9" i="5" l="1"/>
  <c r="B8" i="3"/>
  <c r="C13" i="3"/>
  <c r="B14" i="6" s="1"/>
  <c r="C9" i="3"/>
  <c r="B10" i="6" s="1"/>
  <c r="C8" i="3"/>
  <c r="B9" i="6" s="1"/>
  <c r="B10" i="5"/>
  <c r="B9" i="3"/>
  <c r="B13" i="3"/>
  <c r="B14" i="5" s="1"/>
  <c r="C14" i="7"/>
  <c r="J14" i="7" s="1"/>
  <c r="G13" i="6"/>
  <c r="M13" i="6"/>
  <c r="Q13" i="6"/>
  <c r="Q4" i="5"/>
  <c r="U4" i="5"/>
  <c r="S4" i="5"/>
  <c r="B14" i="7"/>
  <c r="I14" i="7" s="1"/>
  <c r="Y13" i="5"/>
  <c r="O13" i="5"/>
  <c r="U13" i="5"/>
  <c r="S13" i="5"/>
  <c r="K13" i="5"/>
  <c r="I13" i="5"/>
  <c r="Q13" i="5"/>
  <c r="E13" i="5"/>
  <c r="G13" i="5"/>
  <c r="W13" i="5"/>
  <c r="C13" i="5"/>
  <c r="M13" i="5"/>
  <c r="Y4" i="6"/>
  <c r="M4" i="6"/>
  <c r="I4" i="6"/>
  <c r="G4" i="6"/>
  <c r="O4" i="6"/>
  <c r="Q4" i="6"/>
  <c r="W4" i="6"/>
  <c r="E4" i="6"/>
  <c r="C4" i="6"/>
  <c r="C5" i="7"/>
  <c r="J5" i="7" s="1"/>
  <c r="U4" i="6"/>
  <c r="K4" i="6"/>
  <c r="S4" i="6"/>
  <c r="I13" i="6"/>
  <c r="Y13" i="6"/>
  <c r="C16" i="3"/>
  <c r="B17" i="6" s="1"/>
  <c r="K4" i="5"/>
  <c r="W4" i="5"/>
  <c r="B14" i="3"/>
  <c r="B15" i="5" s="1"/>
  <c r="B15" i="3"/>
  <c r="B16" i="5" s="1"/>
  <c r="B17" i="7" s="1"/>
  <c r="I17" i="7" s="1"/>
  <c r="B5" i="3"/>
  <c r="B6" i="5" s="1"/>
  <c r="O13" i="6"/>
  <c r="Y4" i="5"/>
  <c r="B5" i="7"/>
  <c r="I5" i="7" s="1"/>
  <c r="C14" i="3"/>
  <c r="B15" i="6" s="1"/>
  <c r="C4" i="3"/>
  <c r="B5" i="6" s="1"/>
  <c r="C5" i="3"/>
  <c r="B6" i="6" s="1"/>
  <c r="K13" i="6"/>
  <c r="M4" i="5"/>
  <c r="W13" i="6"/>
  <c r="E4" i="5"/>
  <c r="B4" i="3"/>
  <c r="B5" i="5" s="1"/>
  <c r="C15" i="3"/>
  <c r="B16" i="6" s="1"/>
  <c r="E13" i="6"/>
  <c r="U13" i="6"/>
  <c r="B16" i="3"/>
  <c r="B17" i="5" s="1"/>
  <c r="G4" i="5"/>
  <c r="I4" i="5"/>
  <c r="C13" i="6"/>
  <c r="S13" i="6"/>
  <c r="O4" i="5"/>
  <c r="AF11" i="1"/>
  <c r="N10" i="3" s="1"/>
  <c r="AJ11" i="1"/>
  <c r="R10" i="3" s="1"/>
  <c r="U11" i="1"/>
  <c r="S11" i="1"/>
  <c r="AG11" i="1"/>
  <c r="O10" i="3" s="1"/>
  <c r="AE11" i="1"/>
  <c r="M10" i="3" s="1"/>
  <c r="AL11" i="1"/>
  <c r="T10" i="3" s="1"/>
  <c r="X11" i="1"/>
  <c r="F10" i="3" s="1"/>
  <c r="N11" i="1"/>
  <c r="L11" i="1"/>
  <c r="AH11" i="1"/>
  <c r="P10" i="3" s="1"/>
  <c r="P11" i="1"/>
  <c r="AK11" i="1"/>
  <c r="S10" i="3" s="1"/>
  <c r="AI11" i="1"/>
  <c r="Q10" i="3" s="1"/>
  <c r="Z11" i="1"/>
  <c r="H10" i="3" s="1"/>
  <c r="AM11" i="1"/>
  <c r="U10" i="3" s="1"/>
  <c r="M11" i="1"/>
  <c r="AA11" i="1"/>
  <c r="I10" i="3" s="1"/>
  <c r="R11" i="1"/>
  <c r="W11" i="1"/>
  <c r="E10" i="3" s="1"/>
  <c r="AB11" i="1"/>
  <c r="J10" i="3" s="1"/>
  <c r="Y11" i="1"/>
  <c r="G10" i="3" s="1"/>
  <c r="AO11" i="1"/>
  <c r="W10" i="3" s="1"/>
  <c r="O11" i="1"/>
  <c r="T11" i="1"/>
  <c r="V11" i="1"/>
  <c r="D10" i="3" s="1"/>
  <c r="AN11" i="1"/>
  <c r="V10" i="3" s="1"/>
  <c r="Q11" i="1"/>
  <c r="AD11" i="1"/>
  <c r="L10" i="3" s="1"/>
  <c r="B12" i="5"/>
  <c r="B12" i="6"/>
  <c r="F35" i="1"/>
  <c r="N29" i="1"/>
  <c r="V29" i="1"/>
  <c r="AD29" i="1"/>
  <c r="AL29" i="1"/>
  <c r="O29" i="1"/>
  <c r="W29" i="1"/>
  <c r="AE29" i="1"/>
  <c r="AM29" i="1"/>
  <c r="AA29" i="1"/>
  <c r="AC29" i="1"/>
  <c r="P29" i="1"/>
  <c r="X29" i="1"/>
  <c r="AF29" i="1"/>
  <c r="AN29" i="1"/>
  <c r="R29" i="1"/>
  <c r="L29" i="1"/>
  <c r="Q29" i="1"/>
  <c r="Y29" i="1"/>
  <c r="AG29" i="1"/>
  <c r="AO29" i="1"/>
  <c r="AP29" i="1"/>
  <c r="S29" i="1"/>
  <c r="Z29" i="1"/>
  <c r="AH29" i="1"/>
  <c r="AI29" i="1"/>
  <c r="T29" i="1"/>
  <c r="AB29" i="1"/>
  <c r="AJ29" i="1"/>
  <c r="M29" i="1"/>
  <c r="U29" i="1"/>
  <c r="AK29" i="1"/>
  <c r="B11" i="7"/>
  <c r="I11" i="7" s="1"/>
  <c r="E10" i="5"/>
  <c r="G10" i="5"/>
  <c r="Y10" i="5"/>
  <c r="U10" i="5"/>
  <c r="Q10" i="5"/>
  <c r="O10" i="5"/>
  <c r="C10" i="5"/>
  <c r="W10" i="5"/>
  <c r="K10" i="5"/>
  <c r="S10" i="5"/>
  <c r="I10" i="5"/>
  <c r="M10" i="5"/>
  <c r="M7" i="1"/>
  <c r="U7" i="1"/>
  <c r="AC7" i="1"/>
  <c r="K6" i="3" s="1"/>
  <c r="AK7" i="1"/>
  <c r="S6" i="3" s="1"/>
  <c r="X7" i="1"/>
  <c r="F6" i="3" s="1"/>
  <c r="AN7" i="1"/>
  <c r="V6" i="3" s="1"/>
  <c r="AH7" i="1"/>
  <c r="P6" i="3" s="1"/>
  <c r="L7" i="1"/>
  <c r="B6" i="3" s="1"/>
  <c r="AA7" i="1"/>
  <c r="I6" i="3" s="1"/>
  <c r="T7" i="1"/>
  <c r="N7" i="1"/>
  <c r="V7" i="1"/>
  <c r="D6" i="3" s="1"/>
  <c r="AD7" i="1"/>
  <c r="L6" i="3" s="1"/>
  <c r="AL7" i="1"/>
  <c r="T6" i="3" s="1"/>
  <c r="AF7" i="1"/>
  <c r="Y7" i="1"/>
  <c r="G6" i="3" s="1"/>
  <c r="O7" i="1"/>
  <c r="W7" i="1"/>
  <c r="E6" i="3" s="1"/>
  <c r="AE7" i="1"/>
  <c r="M6" i="3" s="1"/>
  <c r="AM7" i="1"/>
  <c r="U6" i="3" s="1"/>
  <c r="AO7" i="1"/>
  <c r="W6" i="3" s="1"/>
  <c r="AB7" i="1"/>
  <c r="J6" i="3" s="1"/>
  <c r="P7" i="1"/>
  <c r="AG7" i="1"/>
  <c r="O6" i="3" s="1"/>
  <c r="Z7" i="1"/>
  <c r="H6" i="3" s="1"/>
  <c r="S7" i="1"/>
  <c r="AJ7" i="1"/>
  <c r="R6" i="3" s="1"/>
  <c r="Q7" i="1"/>
  <c r="R7" i="1"/>
  <c r="AP7" i="1"/>
  <c r="X6" i="3" s="1"/>
  <c r="AI7" i="1"/>
  <c r="Q6" i="3" s="1"/>
  <c r="F33" i="1"/>
  <c r="B10" i="7"/>
  <c r="I10" i="7" s="1"/>
  <c r="C9" i="5"/>
  <c r="Q9" i="5"/>
  <c r="K9" i="5"/>
  <c r="O9" i="5"/>
  <c r="Y9" i="5"/>
  <c r="U9" i="5"/>
  <c r="M9" i="5"/>
  <c r="E9" i="5"/>
  <c r="W9" i="5"/>
  <c r="I9" i="5"/>
  <c r="S9" i="5"/>
  <c r="G9" i="5"/>
  <c r="O8" i="1"/>
  <c r="W8" i="1"/>
  <c r="E7" i="3" s="1"/>
  <c r="AE8" i="1"/>
  <c r="M7" i="3" s="1"/>
  <c r="AM8" i="1"/>
  <c r="U7" i="3" s="1"/>
  <c r="Z8" i="1"/>
  <c r="H7" i="3" s="1"/>
  <c r="AP8" i="1"/>
  <c r="X7" i="3" s="1"/>
  <c r="AA8" i="1"/>
  <c r="I7" i="3" s="1"/>
  <c r="AK8" i="1"/>
  <c r="S7" i="3" s="1"/>
  <c r="V8" i="1"/>
  <c r="D7" i="3" s="1"/>
  <c r="P8" i="1"/>
  <c r="X8" i="1"/>
  <c r="F7" i="3" s="1"/>
  <c r="AF8" i="1"/>
  <c r="N7" i="3" s="1"/>
  <c r="AN8" i="1"/>
  <c r="V7" i="3" s="1"/>
  <c r="AI8" i="1"/>
  <c r="Q7" i="3" s="1"/>
  <c r="AB8" i="1"/>
  <c r="J7" i="3" s="1"/>
  <c r="M8" i="1"/>
  <c r="AC8" i="1"/>
  <c r="K7" i="3" s="1"/>
  <c r="AD8" i="1"/>
  <c r="L7" i="3" s="1"/>
  <c r="Q8" i="1"/>
  <c r="Y8" i="1"/>
  <c r="G7" i="3" s="1"/>
  <c r="AG8" i="1"/>
  <c r="O7" i="3" s="1"/>
  <c r="AO8" i="1"/>
  <c r="W7" i="3" s="1"/>
  <c r="R8" i="1"/>
  <c r="AH8" i="1"/>
  <c r="P7" i="3" s="1"/>
  <c r="L8" i="1"/>
  <c r="T8" i="1"/>
  <c r="N8" i="1"/>
  <c r="AJ8" i="1"/>
  <c r="R7" i="3" s="1"/>
  <c r="S8" i="1"/>
  <c r="U8" i="1"/>
  <c r="AL8" i="1"/>
  <c r="T7" i="3" s="1"/>
  <c r="F34" i="1"/>
  <c r="T28" i="1"/>
  <c r="AB28" i="1"/>
  <c r="AJ28" i="1"/>
  <c r="P28" i="1"/>
  <c r="AO28" i="1"/>
  <c r="M28" i="1"/>
  <c r="U28" i="1"/>
  <c r="AC28" i="1"/>
  <c r="AK28" i="1"/>
  <c r="AN28" i="1"/>
  <c r="Q28" i="1"/>
  <c r="N28" i="1"/>
  <c r="V28" i="1"/>
  <c r="AD28" i="1"/>
  <c r="AL28" i="1"/>
  <c r="AG28" i="1"/>
  <c r="O28" i="1"/>
  <c r="W28" i="1"/>
  <c r="AE28" i="1"/>
  <c r="AM28" i="1"/>
  <c r="X28" i="1"/>
  <c r="AF28" i="1"/>
  <c r="Y28" i="1"/>
  <c r="R28" i="1"/>
  <c r="Z28" i="1"/>
  <c r="AH28" i="1"/>
  <c r="AP28" i="1"/>
  <c r="L28" i="1"/>
  <c r="S28" i="1"/>
  <c r="AA28" i="1"/>
  <c r="AI28" i="1"/>
  <c r="Y3" i="5"/>
  <c r="U3" i="5"/>
  <c r="Q3" i="5"/>
  <c r="C3" i="5"/>
  <c r="M3" i="5"/>
  <c r="I3" i="5"/>
  <c r="O3" i="5"/>
  <c r="E3" i="5"/>
  <c r="G3" i="5"/>
  <c r="K3" i="5"/>
  <c r="S3" i="5"/>
  <c r="W3" i="5"/>
  <c r="G3" i="6"/>
  <c r="K3" i="6"/>
  <c r="C3" i="6"/>
  <c r="I3" i="6"/>
  <c r="O3" i="6"/>
  <c r="S3" i="6"/>
  <c r="Q3" i="6"/>
  <c r="U3" i="6"/>
  <c r="M3" i="6"/>
  <c r="E3" i="6"/>
  <c r="W3" i="6"/>
  <c r="Y3" i="6"/>
  <c r="G10" i="6" l="1"/>
  <c r="E10" i="6"/>
  <c r="S10" i="6"/>
  <c r="Y10" i="6"/>
  <c r="W10" i="6"/>
  <c r="K10" i="6"/>
  <c r="Q10" i="6"/>
  <c r="O10" i="6"/>
  <c r="C11" i="7"/>
  <c r="J11" i="7" s="1"/>
  <c r="I10" i="6"/>
  <c r="C10" i="6"/>
  <c r="M10" i="6"/>
  <c r="U10" i="6"/>
  <c r="Y14" i="5"/>
  <c r="E14" i="5"/>
  <c r="B15" i="7"/>
  <c r="I15" i="7" s="1"/>
  <c r="W14" i="5"/>
  <c r="S14" i="5"/>
  <c r="K14" i="5"/>
  <c r="M14" i="5"/>
  <c r="Q14" i="5"/>
  <c r="O14" i="5"/>
  <c r="C14" i="5"/>
  <c r="U14" i="5"/>
  <c r="G14" i="5"/>
  <c r="I14" i="5"/>
  <c r="I9" i="6"/>
  <c r="S9" i="6"/>
  <c r="C10" i="7"/>
  <c r="J10" i="7" s="1"/>
  <c r="M9" i="6"/>
  <c r="O9" i="6"/>
  <c r="E9" i="6"/>
  <c r="Y9" i="6"/>
  <c r="U9" i="6"/>
  <c r="C9" i="6"/>
  <c r="K9" i="6"/>
  <c r="G9" i="6"/>
  <c r="Q9" i="6"/>
  <c r="W9" i="6"/>
  <c r="S14" i="6"/>
  <c r="W14" i="6"/>
  <c r="K14" i="6"/>
  <c r="C14" i="6"/>
  <c r="I14" i="6"/>
  <c r="Q14" i="6"/>
  <c r="M14" i="6"/>
  <c r="O14" i="6"/>
  <c r="E14" i="6"/>
  <c r="Y14" i="6"/>
  <c r="U14" i="6"/>
  <c r="G14" i="6"/>
  <c r="C15" i="7"/>
  <c r="J15" i="7" s="1"/>
  <c r="Y16" i="5"/>
  <c r="K16" i="5"/>
  <c r="M16" i="5"/>
  <c r="G16" i="5"/>
  <c r="W16" i="5"/>
  <c r="U16" i="5"/>
  <c r="Q16" i="5"/>
  <c r="E16" i="5"/>
  <c r="I16" i="5"/>
  <c r="S16" i="5"/>
  <c r="C16" i="5"/>
  <c r="O16" i="5"/>
  <c r="C7" i="7"/>
  <c r="J7" i="7" s="1"/>
  <c r="M6" i="6"/>
  <c r="U6" i="6"/>
  <c r="G6" i="6"/>
  <c r="E6" i="6"/>
  <c r="Q6" i="6"/>
  <c r="I6" i="6"/>
  <c r="C6" i="6"/>
  <c r="G15" i="6"/>
  <c r="K15" i="6"/>
  <c r="M15" i="6"/>
  <c r="U15" i="6"/>
  <c r="Y15" i="6"/>
  <c r="S15" i="6"/>
  <c r="Q15" i="6"/>
  <c r="I15" i="6"/>
  <c r="O15" i="6"/>
  <c r="W15" i="6"/>
  <c r="C16" i="7"/>
  <c r="J16" i="7" s="1"/>
  <c r="E15" i="6"/>
  <c r="C15" i="6"/>
  <c r="E5" i="5"/>
  <c r="S5" i="5"/>
  <c r="M5" i="5"/>
  <c r="I5" i="5"/>
  <c r="O5" i="5"/>
  <c r="B6" i="7"/>
  <c r="I6" i="7" s="1"/>
  <c r="K5" i="5"/>
  <c r="Q5" i="5"/>
  <c r="C5" i="5"/>
  <c r="Y5" i="5"/>
  <c r="W5" i="5"/>
  <c r="G5" i="5"/>
  <c r="U5" i="5"/>
  <c r="S15" i="5"/>
  <c r="M15" i="5"/>
  <c r="I15" i="5"/>
  <c r="W15" i="5"/>
  <c r="U15" i="5"/>
  <c r="K15" i="5"/>
  <c r="Y15" i="5"/>
  <c r="G15" i="5"/>
  <c r="C15" i="5"/>
  <c r="B16" i="7"/>
  <c r="I16" i="7" s="1"/>
  <c r="O15" i="5"/>
  <c r="Q15" i="5"/>
  <c r="E15" i="5"/>
  <c r="U17" i="6"/>
  <c r="M17" i="6"/>
  <c r="Q17" i="6"/>
  <c r="E17" i="6"/>
  <c r="G17" i="6"/>
  <c r="W17" i="6"/>
  <c r="S17" i="6"/>
  <c r="C18" i="7"/>
  <c r="J18" i="7" s="1"/>
  <c r="O17" i="6"/>
  <c r="Y17" i="6"/>
  <c r="I17" i="6"/>
  <c r="K17" i="6"/>
  <c r="C17" i="6"/>
  <c r="Q17" i="5"/>
  <c r="B18" i="7"/>
  <c r="I18" i="7" s="1"/>
  <c r="Y17" i="5"/>
  <c r="U17" i="5"/>
  <c r="S17" i="5"/>
  <c r="K17" i="5"/>
  <c r="I17" i="5"/>
  <c r="W17" i="5"/>
  <c r="C17" i="5"/>
  <c r="M17" i="5"/>
  <c r="E17" i="5"/>
  <c r="O17" i="5"/>
  <c r="G17" i="5"/>
  <c r="B7" i="7"/>
  <c r="I7" i="7" s="1"/>
  <c r="C6" i="5"/>
  <c r="K6" i="5"/>
  <c r="I6" i="5"/>
  <c r="M6" i="5"/>
  <c r="O6" i="5"/>
  <c r="U6" i="5"/>
  <c r="Q6" i="5"/>
  <c r="Y6" i="5"/>
  <c r="S6" i="5"/>
  <c r="E6" i="5"/>
  <c r="G6" i="5"/>
  <c r="W6" i="5"/>
  <c r="O16" i="6"/>
  <c r="C17" i="7"/>
  <c r="J17" i="7" s="1"/>
  <c r="K16" i="6"/>
  <c r="G16" i="6"/>
  <c r="Q16" i="6"/>
  <c r="M16" i="6"/>
  <c r="I16" i="6"/>
  <c r="U16" i="6"/>
  <c r="C16" i="6"/>
  <c r="E16" i="6"/>
  <c r="Y16" i="6"/>
  <c r="S16" i="6"/>
  <c r="W16" i="6"/>
  <c r="Y5" i="6"/>
  <c r="S5" i="6"/>
  <c r="C6" i="7"/>
  <c r="J6" i="7" s="1"/>
  <c r="E5" i="6"/>
  <c r="C5" i="6"/>
  <c r="I5" i="6"/>
  <c r="K5" i="6"/>
  <c r="U5" i="6"/>
  <c r="M5" i="6"/>
  <c r="W5" i="6"/>
  <c r="G5" i="6"/>
  <c r="Q5" i="6"/>
  <c r="O5" i="6"/>
  <c r="C7" i="3"/>
  <c r="B8" i="6" s="1"/>
  <c r="S6" i="6"/>
  <c r="N6" i="3"/>
  <c r="B10" i="3"/>
  <c r="B11" i="5" s="1"/>
  <c r="W6" i="6"/>
  <c r="C10" i="3"/>
  <c r="B11" i="6" s="1"/>
  <c r="Y6" i="6"/>
  <c r="B7" i="3"/>
  <c r="B8" i="5" s="1"/>
  <c r="C6" i="3"/>
  <c r="B7" i="6" s="1"/>
  <c r="K6" i="6"/>
  <c r="O6" i="6"/>
  <c r="R27" i="1"/>
  <c r="Z27" i="1"/>
  <c r="AH27" i="1"/>
  <c r="AP27" i="1"/>
  <c r="AM27" i="1"/>
  <c r="L27" i="1"/>
  <c r="S27" i="1"/>
  <c r="AA27" i="1"/>
  <c r="AI27" i="1"/>
  <c r="W27" i="1"/>
  <c r="T27" i="1"/>
  <c r="AB27" i="1"/>
  <c r="AJ27" i="1"/>
  <c r="O27" i="1"/>
  <c r="M27" i="1"/>
  <c r="U27" i="1"/>
  <c r="AC27" i="1"/>
  <c r="AK27" i="1"/>
  <c r="AE27" i="1"/>
  <c r="N27" i="1"/>
  <c r="V27" i="1"/>
  <c r="AD27" i="1"/>
  <c r="AL27" i="1"/>
  <c r="P27" i="1"/>
  <c r="X27" i="1"/>
  <c r="AF27" i="1"/>
  <c r="AN27" i="1"/>
  <c r="Q27" i="1"/>
  <c r="Y27" i="1"/>
  <c r="AG27" i="1"/>
  <c r="AO27" i="1"/>
  <c r="P26" i="1"/>
  <c r="X26" i="1"/>
  <c r="AF26" i="1"/>
  <c r="AN26" i="1"/>
  <c r="L26" i="1"/>
  <c r="AC26" i="1"/>
  <c r="Q26" i="1"/>
  <c r="Y26" i="1"/>
  <c r="AG26" i="1"/>
  <c r="AO26" i="1"/>
  <c r="M26" i="1"/>
  <c r="R26" i="1"/>
  <c r="Z26" i="1"/>
  <c r="AH26" i="1"/>
  <c r="AP26" i="1"/>
  <c r="S26" i="1"/>
  <c r="AA26" i="1"/>
  <c r="AI26" i="1"/>
  <c r="U26" i="1"/>
  <c r="T26" i="1"/>
  <c r="AB26" i="1"/>
  <c r="AJ26" i="1"/>
  <c r="AK26" i="1"/>
  <c r="N26" i="1"/>
  <c r="V26" i="1"/>
  <c r="AD26" i="1"/>
  <c r="AL26" i="1"/>
  <c r="O26" i="1"/>
  <c r="W26" i="1"/>
  <c r="AE26" i="1"/>
  <c r="AM26" i="1"/>
  <c r="B13" i="7"/>
  <c r="I13" i="7" s="1"/>
  <c r="C12" i="5"/>
  <c r="U12" i="5"/>
  <c r="M12" i="5"/>
  <c r="G12" i="5"/>
  <c r="K12" i="5"/>
  <c r="W12" i="5"/>
  <c r="S12" i="5"/>
  <c r="O12" i="5"/>
  <c r="I12" i="5"/>
  <c r="Q12" i="5"/>
  <c r="Y12" i="5"/>
  <c r="E12" i="5"/>
  <c r="N25" i="1"/>
  <c r="V25" i="1"/>
  <c r="AD25" i="1"/>
  <c r="AL25" i="1"/>
  <c r="AL23" i="1" s="1"/>
  <c r="AL38" i="1" s="1"/>
  <c r="AI25" i="1"/>
  <c r="O25" i="1"/>
  <c r="W25" i="1"/>
  <c r="AE25" i="1"/>
  <c r="AM25" i="1"/>
  <c r="L25" i="1"/>
  <c r="P25" i="1"/>
  <c r="X25" i="1"/>
  <c r="AF25" i="1"/>
  <c r="AN25" i="1"/>
  <c r="S25" i="1"/>
  <c r="Q25" i="1"/>
  <c r="Q23" i="1" s="1"/>
  <c r="Q38" i="1" s="1"/>
  <c r="Y25" i="1"/>
  <c r="AG25" i="1"/>
  <c r="AO25" i="1"/>
  <c r="AA25" i="1"/>
  <c r="R25" i="1"/>
  <c r="Z25" i="1"/>
  <c r="AH25" i="1"/>
  <c r="AP25" i="1"/>
  <c r="AP23" i="1" s="1"/>
  <c r="AP38" i="1" s="1"/>
  <c r="T25" i="1"/>
  <c r="AB25" i="1"/>
  <c r="AB23" i="1" s="1"/>
  <c r="AB38" i="1" s="1"/>
  <c r="AJ25" i="1"/>
  <c r="M25" i="1"/>
  <c r="M23" i="1" s="1"/>
  <c r="M38" i="1" s="1"/>
  <c r="U25" i="1"/>
  <c r="U23" i="1" s="1"/>
  <c r="U38" i="1" s="1"/>
  <c r="AC25" i="1"/>
  <c r="AK25" i="1"/>
  <c r="B7" i="5"/>
  <c r="C13" i="7"/>
  <c r="J13" i="7" s="1"/>
  <c r="U12" i="6"/>
  <c r="Q12" i="6"/>
  <c r="C12" i="6"/>
  <c r="E12" i="6"/>
  <c r="Y12" i="6"/>
  <c r="O12" i="6"/>
  <c r="S12" i="6"/>
  <c r="M12" i="6"/>
  <c r="W12" i="6"/>
  <c r="I12" i="6"/>
  <c r="K12" i="6"/>
  <c r="G12" i="6"/>
  <c r="T23" i="1" l="1"/>
  <c r="T38" i="1" s="1"/>
  <c r="AN23" i="1"/>
  <c r="AN38" i="1" s="1"/>
  <c r="Y23" i="1"/>
  <c r="Y38" i="1" s="1"/>
  <c r="AM23" i="1"/>
  <c r="AM38" i="1" s="1"/>
  <c r="N23" i="1"/>
  <c r="N38" i="1" s="1"/>
  <c r="S23" i="1"/>
  <c r="S38" i="1" s="1"/>
  <c r="R23" i="1"/>
  <c r="R38" i="1" s="1"/>
  <c r="AA23" i="1"/>
  <c r="AA38" i="1" s="1"/>
  <c r="P23" i="1"/>
  <c r="P38" i="1" s="1"/>
  <c r="Y8" i="5"/>
  <c r="Q8" i="5"/>
  <c r="U8" i="5"/>
  <c r="W8" i="5"/>
  <c r="E8" i="5"/>
  <c r="B9" i="7"/>
  <c r="I9" i="7" s="1"/>
  <c r="S8" i="5"/>
  <c r="G8" i="5"/>
  <c r="O8" i="5"/>
  <c r="M8" i="5"/>
  <c r="K8" i="5"/>
  <c r="I8" i="5"/>
  <c r="C8" i="5"/>
  <c r="AE23" i="1"/>
  <c r="AE38" i="1" s="1"/>
  <c r="X23" i="1"/>
  <c r="X38" i="1" s="1"/>
  <c r="B12" i="7"/>
  <c r="I12" i="7" s="1"/>
  <c r="Q11" i="5"/>
  <c r="Y11" i="5"/>
  <c r="K11" i="5"/>
  <c r="O11" i="5"/>
  <c r="S11" i="5"/>
  <c r="U11" i="5"/>
  <c r="M11" i="5"/>
  <c r="C11" i="5"/>
  <c r="E11" i="5"/>
  <c r="I11" i="5"/>
  <c r="G11" i="5"/>
  <c r="W11" i="5"/>
  <c r="Q7" i="6"/>
  <c r="C7" i="6"/>
  <c r="I7" i="6"/>
  <c r="K7" i="6"/>
  <c r="S7" i="6"/>
  <c r="O7" i="6"/>
  <c r="C8" i="7"/>
  <c r="J8" i="7" s="1"/>
  <c r="G7" i="6"/>
  <c r="W7" i="6"/>
  <c r="M7" i="6"/>
  <c r="Y7" i="6"/>
  <c r="E7" i="6"/>
  <c r="U7" i="6"/>
  <c r="U8" i="6"/>
  <c r="W8" i="6"/>
  <c r="I8" i="6"/>
  <c r="K8" i="6"/>
  <c r="G8" i="6"/>
  <c r="M8" i="6"/>
  <c r="Y8" i="6"/>
  <c r="O8" i="6"/>
  <c r="E8" i="6"/>
  <c r="C9" i="7"/>
  <c r="J9" i="7" s="1"/>
  <c r="Q8" i="6"/>
  <c r="S8" i="6"/>
  <c r="C8" i="6"/>
  <c r="E11" i="6"/>
  <c r="S11" i="6"/>
  <c r="M11" i="6"/>
  <c r="Q11" i="6"/>
  <c r="U11" i="6"/>
  <c r="W11" i="6"/>
  <c r="I11" i="6"/>
  <c r="K11" i="6"/>
  <c r="C12" i="7"/>
  <c r="J12" i="7" s="1"/>
  <c r="Y11" i="6"/>
  <c r="O11" i="6"/>
  <c r="G11" i="6"/>
  <c r="C11" i="6"/>
  <c r="AF23" i="1"/>
  <c r="AF38" i="1" s="1"/>
  <c r="AI23" i="1"/>
  <c r="AI38" i="1" s="1"/>
  <c r="AJ23" i="1"/>
  <c r="AJ38" i="1" s="1"/>
  <c r="AO23" i="1"/>
  <c r="AO38" i="1" s="1"/>
  <c r="AD23" i="1"/>
  <c r="AD38" i="1" s="1"/>
  <c r="AG23" i="1"/>
  <c r="AG38" i="1" s="1"/>
  <c r="L23" i="1"/>
  <c r="L38" i="1" s="1"/>
  <c r="V23" i="1"/>
  <c r="V38" i="1" s="1"/>
  <c r="AK23" i="1"/>
  <c r="AK38" i="1" s="1"/>
  <c r="AH23" i="1"/>
  <c r="AH38" i="1" s="1"/>
  <c r="W23" i="1"/>
  <c r="W38" i="1" s="1"/>
  <c r="AC23" i="1"/>
  <c r="AC38" i="1" s="1"/>
  <c r="Z23" i="1"/>
  <c r="Z38" i="1" s="1"/>
  <c r="O23" i="1"/>
  <c r="O38" i="1" s="1"/>
  <c r="J32" i="3"/>
  <c r="U32" i="3"/>
  <c r="C32" i="3"/>
  <c r="G32" i="3"/>
  <c r="X32" i="3"/>
  <c r="B8" i="7"/>
  <c r="I8" i="7" s="1"/>
  <c r="I7" i="5"/>
  <c r="G7" i="5"/>
  <c r="O7" i="5"/>
  <c r="Q7" i="5"/>
  <c r="C7" i="5"/>
  <c r="U7" i="5"/>
  <c r="W7" i="5"/>
  <c r="E7" i="5"/>
  <c r="M7" i="5"/>
  <c r="Y7" i="5"/>
  <c r="S7" i="5"/>
  <c r="K7" i="5"/>
  <c r="V32" i="3"/>
  <c r="T32" i="3"/>
  <c r="B18" i="6"/>
  <c r="C19" i="7" s="1"/>
  <c r="J19" i="7" s="1"/>
  <c r="M32" i="3" l="1"/>
  <c r="F32" i="3"/>
  <c r="I32" i="3"/>
  <c r="O32" i="3"/>
  <c r="P32" i="3"/>
  <c r="Q32" i="3"/>
  <c r="Q35" i="3" s="1"/>
  <c r="D32" i="3"/>
  <c r="D35" i="3" s="1"/>
  <c r="I35" i="7"/>
  <c r="I37" i="7" s="1"/>
  <c r="H32" i="3"/>
  <c r="H35" i="3" s="1"/>
  <c r="W32" i="3"/>
  <c r="K32" i="3"/>
  <c r="K35" i="3" s="1"/>
  <c r="S32" i="3"/>
  <c r="S35" i="3" s="1"/>
  <c r="L32" i="3"/>
  <c r="L35" i="3" s="1"/>
  <c r="J35" i="7"/>
  <c r="J37" i="7" s="1"/>
  <c r="E32" i="3"/>
  <c r="E35" i="3" s="1"/>
  <c r="B32" i="3"/>
  <c r="B35" i="3" s="1"/>
  <c r="R32" i="3"/>
  <c r="R35" i="3" s="1"/>
  <c r="N32" i="3"/>
  <c r="N35" i="3" s="1"/>
  <c r="J35" i="3"/>
  <c r="O35" i="3"/>
  <c r="U35" i="3"/>
  <c r="I35" i="3"/>
  <c r="P35" i="3"/>
  <c r="C35" i="3"/>
  <c r="F35" i="3"/>
  <c r="G35" i="3"/>
  <c r="X35" i="3"/>
  <c r="T35" i="3"/>
  <c r="M35" i="3"/>
  <c r="W35" i="3"/>
  <c r="V35" i="3"/>
  <c r="G18" i="6"/>
  <c r="Y18" i="6"/>
  <c r="Q18" i="6"/>
  <c r="W18" i="6"/>
  <c r="U18" i="6"/>
  <c r="K18" i="6"/>
  <c r="C18" i="6"/>
  <c r="M18" i="6"/>
  <c r="E18" i="6"/>
  <c r="S18" i="6"/>
  <c r="O18" i="6"/>
  <c r="I18" i="6"/>
  <c r="C12" i="4" l="1"/>
  <c r="B12" i="4"/>
  <c r="Q34" i="5"/>
  <c r="Q36" i="5" s="1"/>
  <c r="G41" i="5" s="1"/>
  <c r="O34" i="5"/>
  <c r="O36" i="5" s="1"/>
  <c r="F41" i="5" s="1"/>
  <c r="M34" i="5"/>
  <c r="M36" i="5" s="1"/>
  <c r="E41" i="5" s="1"/>
  <c r="G34" i="5"/>
  <c r="G36" i="5" s="1"/>
  <c r="F40" i="5" s="1"/>
  <c r="K34" i="5"/>
  <c r="K36" i="5" s="1"/>
  <c r="D41" i="5" s="1"/>
  <c r="I34" i="5"/>
  <c r="I36" i="5" s="1"/>
  <c r="G40" i="5" s="1"/>
  <c r="C34" i="5"/>
  <c r="C36" i="5" s="1"/>
  <c r="U34" i="5"/>
  <c r="U36" i="5" s="1"/>
  <c r="E42" i="5" s="1"/>
  <c r="E34" i="5"/>
  <c r="E36" i="5" s="1"/>
  <c r="E40" i="5" s="1"/>
  <c r="Y34" i="5"/>
  <c r="Y36" i="5" s="1"/>
  <c r="G42" i="5" s="1"/>
  <c r="S34" i="5"/>
  <c r="S36" i="5" s="1"/>
  <c r="D42" i="5" s="1"/>
  <c r="W34" i="5"/>
  <c r="W36" i="5" s="1"/>
  <c r="F42" i="5" s="1"/>
  <c r="Y34" i="6"/>
  <c r="Y36" i="6" s="1"/>
  <c r="G42" i="6" s="1"/>
  <c r="I34" i="6"/>
  <c r="I36" i="6" s="1"/>
  <c r="G40" i="6" s="1"/>
  <c r="Q34" i="6"/>
  <c r="Q36" i="6" s="1"/>
  <c r="G41" i="6" s="1"/>
  <c r="K34" i="6"/>
  <c r="K36" i="6" s="1"/>
  <c r="D41" i="6" s="1"/>
  <c r="U34" i="6"/>
  <c r="U36" i="6" s="1"/>
  <c r="E42" i="6" s="1"/>
  <c r="S34" i="6"/>
  <c r="S36" i="6" s="1"/>
  <c r="D42" i="6" s="1"/>
  <c r="C34" i="6"/>
  <c r="C36" i="6" s="1"/>
  <c r="D40" i="6" s="1"/>
  <c r="M34" i="6"/>
  <c r="M36" i="6" s="1"/>
  <c r="E41" i="6" s="1"/>
  <c r="G34" i="6"/>
  <c r="G36" i="6" s="1"/>
  <c r="F40" i="6" s="1"/>
  <c r="E34" i="6"/>
  <c r="E36" i="6" s="1"/>
  <c r="E40" i="6" s="1"/>
  <c r="O34" i="6"/>
  <c r="O36" i="6" s="1"/>
  <c r="F41" i="6" s="1"/>
  <c r="W34" i="6"/>
  <c r="W36" i="6" s="1"/>
  <c r="F42" i="6" s="1"/>
  <c r="D40" i="5" l="1"/>
</calcChain>
</file>

<file path=xl/sharedStrings.xml><?xml version="1.0" encoding="utf-8"?>
<sst xmlns="http://schemas.openxmlformats.org/spreadsheetml/2006/main" count="362" uniqueCount="165">
  <si>
    <t>thickness (nm)</t>
  </si>
  <si>
    <t>area (m2)</t>
  </si>
  <si>
    <t>density (kg/m3)</t>
  </si>
  <si>
    <t>utilization efficiency</t>
  </si>
  <si>
    <t>mass (kg)</t>
  </si>
  <si>
    <t>Substrate</t>
  </si>
  <si>
    <t>ITO glass</t>
  </si>
  <si>
    <t>HTL</t>
  </si>
  <si>
    <t>PL</t>
  </si>
  <si>
    <t>PbI2</t>
  </si>
  <si>
    <t>DMF</t>
  </si>
  <si>
    <t>FAI</t>
  </si>
  <si>
    <t>ETL</t>
  </si>
  <si>
    <t>Electrode</t>
  </si>
  <si>
    <t>Direct emissions</t>
  </si>
  <si>
    <t>Mass of module</t>
  </si>
  <si>
    <t>SnO2</t>
  </si>
  <si>
    <t>H2O</t>
  </si>
  <si>
    <t>Spiro-OMeTAD</t>
  </si>
  <si>
    <t>LiTFSI</t>
  </si>
  <si>
    <t>DMSO</t>
  </si>
  <si>
    <t>MABr</t>
  </si>
  <si>
    <t>MACl</t>
  </si>
  <si>
    <t>mol</t>
  </si>
  <si>
    <t>g</t>
  </si>
  <si>
    <t>Power (W)</t>
  </si>
  <si>
    <t>Time (s)</t>
  </si>
  <si>
    <t>Electricity consumption (MJ)</t>
  </si>
  <si>
    <t>Substrate treatment</t>
  </si>
  <si>
    <t>ETL deposition</t>
  </si>
  <si>
    <t>Perovskite layer deposition</t>
  </si>
  <si>
    <t>Hole transporter layer deposition</t>
  </si>
  <si>
    <t>Electrode deposition</t>
  </si>
  <si>
    <t>Sputtering</t>
  </si>
  <si>
    <t>Total</t>
  </si>
  <si>
    <t>UV/O3 cleaning</t>
  </si>
  <si>
    <t>IPCC 2013/kg CO2-Eq</t>
  </si>
  <si>
    <t>cumulative energy demand/MJ-Eq</t>
  </si>
  <si>
    <t xml:space="preserve">ReCiPe Midpoint (E) </t>
  </si>
  <si>
    <t>ReCiPe Endpoint (E,A)</t>
  </si>
  <si>
    <t>biomass</t>
  </si>
  <si>
    <t>fossil</t>
  </si>
  <si>
    <t>geothermal</t>
  </si>
  <si>
    <t>nuclear</t>
  </si>
  <si>
    <t>forest</t>
  </si>
  <si>
    <t>solar</t>
  </si>
  <si>
    <t>water</t>
  </si>
  <si>
    <t>wind</t>
  </si>
  <si>
    <t>total</t>
  </si>
  <si>
    <t>agricultural land occupation</t>
  </si>
  <si>
    <t>climate change</t>
  </si>
  <si>
    <t>fossil depletion</t>
  </si>
  <si>
    <t>freshwater ecotoxicity</t>
  </si>
  <si>
    <t>freshwater eutrophication</t>
  </si>
  <si>
    <t>human toxicity</t>
  </si>
  <si>
    <t>ionising radiation</t>
  </si>
  <si>
    <t>marine ecotoxicity</t>
  </si>
  <si>
    <t>marine eutrophication</t>
  </si>
  <si>
    <t>metal depletion</t>
  </si>
  <si>
    <t>natural land transformation</t>
  </si>
  <si>
    <t>ozone depletion</t>
  </si>
  <si>
    <t>particulate matter formation</t>
  </si>
  <si>
    <t>photochemical oxidant formation</t>
  </si>
  <si>
    <t>terrestrial acidification</t>
  </si>
  <si>
    <t>terrestrial ecotoxicity</t>
  </si>
  <si>
    <t>urban land occupation</t>
  </si>
  <si>
    <t>water depletion</t>
  </si>
  <si>
    <t>ecosystem quality</t>
  </si>
  <si>
    <t>human health</t>
  </si>
  <si>
    <t>resources</t>
  </si>
  <si>
    <t>Carbon footprint</t>
  </si>
  <si>
    <t>Primary energy consumption</t>
  </si>
  <si>
    <t>Encapsulation</t>
  </si>
  <si>
    <t>Lamination</t>
  </si>
  <si>
    <t>End of life</t>
  </si>
  <si>
    <t>Recycling</t>
  </si>
  <si>
    <t>Treatment</t>
  </si>
  <si>
    <t>metal</t>
  </si>
  <si>
    <t>glass</t>
  </si>
  <si>
    <t>Adhesive</t>
  </si>
  <si>
    <t>PET</t>
  </si>
  <si>
    <t>Acetonitrile</t>
  </si>
  <si>
    <t>Chlorobenzene</t>
  </si>
  <si>
    <t>4-tert Butylpyridine</t>
  </si>
  <si>
    <t>ETL slot-die coating</t>
  </si>
  <si>
    <t>PL 1st-step slot-die coating</t>
  </si>
  <si>
    <t>PL 2nd-step slot-die coating</t>
  </si>
  <si>
    <t>HTL slot-die coating</t>
  </si>
  <si>
    <t>ETL annealing</t>
  </si>
  <si>
    <t>PL annealing</t>
  </si>
  <si>
    <t>PL post-annealing</t>
  </si>
  <si>
    <t>item</t>
  </si>
  <si>
    <t>unit</t>
  </si>
  <si>
    <t>module 4</t>
  </si>
  <si>
    <t>EPBT</t>
  </si>
  <si>
    <t>GHG emission factor</t>
  </si>
  <si>
    <t>Insolation</t>
  </si>
  <si>
    <t>kWh/m2/yr</t>
  </si>
  <si>
    <t>performance ratio</t>
  </si>
  <si>
    <t>-</t>
  </si>
  <si>
    <t>Module efficiency</t>
  </si>
  <si>
    <t>module efficiency</t>
  </si>
  <si>
    <t>epsilon</t>
  </si>
  <si>
    <t>MJ/kWh</t>
  </si>
  <si>
    <t>Performance ratio</t>
  </si>
  <si>
    <t>Lifetime</t>
  </si>
  <si>
    <t>lifetime</t>
  </si>
  <si>
    <t>yr</t>
  </si>
  <si>
    <t>primary energy consumption</t>
  </si>
  <si>
    <t>MJ/m2</t>
  </si>
  <si>
    <t>CO2</t>
  </si>
  <si>
    <t>CO2 emission factor</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</si>
  <si>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</si>
  <si>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</si>
  <si>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</si>
  <si>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</si>
  <si>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</si>
  <si>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</si>
  <si>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</si>
  <si>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</si>
  <si>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</si>
  <si>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</si>
  <si>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</si>
  <si>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</si>
  <si>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9b0d9e04-d582-4c6d-b612-644bbe23bf6b</t>
  </si>
  <si>
    <t>CB_Block_0</t>
  </si>
  <si>
    <t>㜸〱敤㕣㕢㙣ㅣ㔷ㄹ摥㤹摤㔹敦慣敤搸㡤搳㑢搲㥢愱戴愵㜵㜰攳戴改㤵㄰㝣愹㤳戴㑥散挶㑥ち〲戴ㄹ敦㥥戱愷搹㤹㜱㘷㘶ㅤ扢㔴㙡㈹㉤㠸晢㐵〲〴ㄴ㕡㔵愸ㄲ㉦ㄴ㕥㝡〱㕥㉡㈱㠱慡㔶攲〱ㅥ㤰㜸㈸〸挱〳〸㐵攲㠵㠷㑡攵晢捥捣散捥敥㝡挷敥戶〵ㄷ昹愴㝢㝣收摣收㥣晦㝥晥晦㑣㌳㑡㈶㤳㜹ㄳ㠹㝦㤹㜲㉣㕣㌱扦敥〷挲ㅥ㥤㜴慢㔵㔱づ㉣搷昱㐷挷㍤捦㔸㥦戱晣㈰㡢づ昹㤲㠵㜶㕦㉢昹搶㐳愲㔰㕡ㄵ㥥㡦㑥㕡㈶㔳㈸攸㉡摡㌹〹㝦㠳昱㠳捥㔱㝤㌹㘴ぢ㤳ㄳ戳㡢て㘰搶昹挰昵挴晥攱㌳攱搸挳㘳㘳愳㘳愳户摣㌶㜶敢攸㠱晤挳㤳戵㙡㔰昳挴㘱㐷搴〲捦愸敥ㅦ㥥慢㉤㔶慤昲扤㘲㝤挱㍤㈷㥣挳㘲昱挰捤㡢挶㉤户㡦摤㜲攸㤰㜹挷ㅤ户昷攱搵㤹㤳㤳ㄳ㜳㥥㌰晤㜷㘸㑥㡤㑢扥㘵㑡㤴㉤敥㑤〸捦㜲㤶㐶㈷㈷昰㕦㘲晤㜸扡㙤㜴㝥㔹㠸㠰慦ㄶ㥥㜰捡挲搷㌱戰搷ㅥ昷晤㥡扤㐲攰改昶㌴戶㕡㌶晣㐰戳㈷㐵戵慡摢昱慣〵㝢ㄶ戰慢ㅡ敢㝤昶扣㜰㝣㉢戰㔶慤㘰㍤㙦㉦㘰愲㑡扦㝤摡ㄷ愷っ㘷㐹㥣㌴㙣愱搹㐷㙢㔶㈵ㄷ愶㑣昶晡㜸㡡攴挲攴昶㐷挷㝤㝢㜲搹昰攴㡡㝣〲㈶愵敦戴㔷㙥敥㝢㑤攷㜹戹㜴昹〶捥㜹㙤攷㝥㘸㌹㘳㜸昵㥥㈳㥤㝢㐶㥢㙦㕥挱㑤㥤晢㈷㘰搴㍣收㠶捥㘳㈴㈸㥢㝢㉢扤ㄱ㝤㑢㠸㘲㌳㝡㥥㔹て戳〲㌳㈲㔰㉦㌲敢㘵搶㠷㑣挹晤ぢ㕣㤲ㅣ挸㈶戵㘴愸愵㐵戵㔴㔶㑢ㄵ戵㈴搴㤲愹㤶㤶搴搲戲㕡戲搴搲〳㙡改ㅣ晡挴愹搰搳愳㐶改昵扢㔶晥昸昲㥤㉦㑣㍦昶捡搲搹挷敦㝤昱戹扥㕤攸㜴㕦戴愸㈹捦㌸て㔲㙢㔰昱挱搱〳晣户㌹㔷㠰㈹捣㐳收㙤收搸㔸攵搰〱攳㘶㐳攳戶㔲㤰摦㐴㈸㠳攸摢㘷摥㙦㌹ㄵ昷扣挴摤ㄵㄳ㠶㉦ㅡ㠰ㅢ㠹摡㈶摣㥡㔳昱㉦摦戸㜱㍥㌰〲戱慦戵慤㌱㐹摢戰㜹戰㤵昰攵晢慥㙡ㅤ㜶挶愸搶挴昸㥡ㄵ㌶㕦搹搲㙣捦㜹敥㘲攷搶㘹㑦㍣㔸㙦㙤㕢搱㌸㠴摡慡㥣扢㙤㤷㘱㔳戸慥攱挹㘵搷ㄷ㡥㕣摥㠸㍤㘷㤵捦〹㙦㕥㔰㈴㡡㡡摣敡挵㙣㡡戸㝥㘴搶挱㐶挱慤㤵昷㈷㙢捤扢搷〲㌰戳愸㘰扤㉢挲ぢ搶ㄷ㡣挵慡戸愴愹㑢昸㑥㌴散㙤慡㥥㜶换㌵㝦搲㜵〲捦慤㌶户㡣㔷㔶つ㐸㥡捡〹户㈲㜲戹㡣ㄴち㄰戸搹慣愲㘴㙥散捣ぢㄲㄱ〹ㄴ㤳㤱㉦㙢㈶扢搱㔳搸ㅤ㜶㔱ㄵ愴㐹昵〳㥢㑣挶昵㑡ㄹ㤳挲㠱㠹㍤㔱㝦昰愵ㅦ摣㘴摡㍡收摥摤捥慡㍡ㄴ敤晥敥㔵攱〴挷っ愷㔲ㄵ㕥慡昶㔳戸㈲㝤〰㤹㜶〱〲愱㈳昴愸敡㤴㌵㘵㕤㍢㙦㔵㠲攵晣戲戰㤶㤶〳搴㐱㐳ㄶち〴㙤㕢搲㉦㐲㤵扥㥢搹㄰戲㘲㌱㤳摦挳㑥昹㈲㔲㐶愳㜴㑡攱攵㈶㐱捥㜱㑤扣摣㘷㑥㕢搵㐰㠴㐲㜹挰〴㐶㐲慤㈶搱搷㑦ㄲ昵㡣㜲愸㌰昶㤸㤳愰㔲挳㜲㠲昵〶摦戶㜱㐹㐸㐴㍢戲㘰摢挹〲㡡㠲㘶㜹㤰挲㙢㈰㥡ㄶ㘹㤰摥㌹㐱㐴㘴㠳ㄴ捤㡥㤹㥢㠹㡣晤㔳㘴〴晡㈷㠹㤰扤て㜴㤶ㄱ㈴昶㜶㈲攵愰㡥晣戸㈳捤㌶戲攵㐳㘹㜶㌱〰愷㕦挲散㔲㘶㤷㌱摢㡢㑣昹㉢㈴ㅣ愵ㅣ捡捤㐹扦ㅣ捦晡ㄵ捣慥㐴〶昹愴㔳收㐴愲㡡㌶搴㔶散㐸昶敢㠷㥤㉣㡤攲㔰ㄴ搱㌲慥摢㤹晤戶㐴㜴㘴㜵㙥て㕤㥢㤳㍡昶扡捥戴㤹摣づ㈹㌲愵㙢㜲慦㥢㜴㑤〲㠲㕤扢搴㕢㔷㘳愸㍥捣散㝤挸㡡晡晢㤹㐳戹搰攰摤㥡㐵㑦㤳昲㍤㘱ㄶ㠵挶㔰㤷ち㍥㈲㘴ㅥ〱㔲㠴㕣摢昱㘵挷㠶愶㌹㌸㘲扥攷㙤攸晤㥤昹㍢㐲㝡㡢摥摣搱㍢昴ㄷ扤㐵㉢晡ㅡ戰㤷昲挷㡥㍡收㕡㌴敢搷㌱扢ㅥ㔹㡢㡥攱改晢慤㝡ち愴㔹㙣㈷㌰户㥢㕥ㄷ㘹攵㉥慣慦〸愹㠱晡捣〵挳㕢ㄲ〱㍣ㄸ挷愷㘰ぢ扢㥥㈷慡㌸搴㔶㘴〵捦㉦㤷㌶㔷晡搳㥥㙢戳㝥挷㐶昶摦ㄳ㡡㈱㤷㔳戳㤹ㄶㅢ㌹挵搶㑣昸㥣ㄲ㤴㐳ㅤ㝣㜳㘷㈱㤱ㄸ搴㑣㕥ㅣ㤷㝥扥摣㤱㈴㕤㐸㤲ㅢ〰㔶晤㐶㘴㤰ㄲ捡敦㍢㑡㤴晤散昶㈱搹慤搹㘲愵㠷㉦攵㜴搲攲㐳㙣㤳㈳扤愱挳㜶〲晥〳扦摦㥥户散扡戰攸戵攷㠴㔷㠶㙦挱慡㡡㘲攸㤶愵愸搹㤱ㄵ敦ㄱ㔹㤱捤戶㥤愷㔳晣㙢㤲㑥㕡愴㐴㉡户愷㌶愶㥣挵ㅢ㐴㐵㌷㈴㠵㑡㡡㙢愸㉥㠱㐸㜹散扢㈳㘲扡㄰㌱㌷〱㜰晡〱㘶㘳捣づ㈲搳㕥㠳愴搹㉡攰ㄹづ敢㔹愵㑢扢㔴捡ㄴ㠸〶改㈲㝣戵愳戰㍡挴搷摣捡散㌶㘴㉤收てㅤ㤰㈹㠴㈸㔱㥥㈰㐴ㄹ挶㌰捦㔸攲㍣㘹㘰㤷㠹挰搲㘴捤て㕣㥢㤱愵㝥㜳捡㍤改〶㔳㤶扦㠲㐸搴㤰ㄹㄵ敥㕦ㄶづ愸换㠳敤搳㔲攷慥慣㠸㡡㙥捥扢㌵㠸戶攳㔳摢攱㘰づ㜰挰㤶㤴㘷㜳㔵㐱敡敥㝣㡣㈹ㄴ㐰㕡晡㕢改㡤摤㤲昷㥢㠷扥㠱〶㐴ㄷ慣愰㉡㝡捤㤰改㔸㉥㤸㠰㈲㈲〷㤵ㅥ㜳㘱搹ㄳ㘲慡摦㍣敡㔹㤵慡攵〸㈲〳㌶㈶㠳㜵㌳㘲〹㔱㠲㌹㤷㌱㐰搷改㌷ㄷ㍣挳昱㔷っ〶ㄴ搷㜷㌷㍤挹戰㠸㘶㑥㔸㡥㡦搷㐸㉣戲㍣㘰捥㉦扢攷ㄱ戱慤搹捥㔱㘳挵摦ㄶ㔸㈱搱㠷㐹愲㐶㔱ㄵ㔵㔵ち㙡愱㕢晣昰㐰㥥挹㤰昷㜲捣㈴慥㌲ㅡ㝤收㈹摡㥢㜶㝤ㄴ愳愱㥤捥㌵昵㈱㝡㔴慦捣愶㑡㘱㜲慡㝥〷挷摣㠹散㥥愳愷㡦㌷㈲㜳㙦㉢㘶慤搱换㥦㈲攳㈵㔹搴〳㈱昴搱敤ち㐹㠵㜵愴ㅣ㜰㈰㌰捥愷㔶昲㉢㥡戲て愹㙦㔷愳㌸㡤㐸㔲㥦㌹㘳㉣㡡㉡攲搱戶ㄱ散ちㅦ㘸挶摡㐶搵㡦摡㈶㕤摢㌶㐸㕡㈴换昹戲㐱ちㅥ慦〵敥〹换搱㑤㘴㤲晥愲㉡㘳つ㔵挶㥡慣敡㌳㑦㌱㌴㈸换㥣换㕤㌲㍣㉢㔸戶慤㜲㠱てっ摦㙤ぢ㥡〴㤳㔳昲挶㈹㤶ㄹ挳㉤搶晣㘹㤸㙣晥㈸搰㍤ち㌹㑡搰ㄱ晤愰㕣㔵挹攳㥦搲愵㘳〹〲㐶㝡㑡昵て㘳㌶㑤摥㡥㠰挸㤱改㐲㝣〷攳挲㈳愸〹㠵㄰戱㥥㐲㈲昰ち㈶㠴㍣㕤摣㜹昳戴㘳〵挰ㅥ㌱㌶㙤〵㔳㍥㔰㡥っ㐵㜹扣摤㈷戱㥡ㄸ㌴㔲搷ち㔷户㌷㌵愹㠹慢摡摢㤳㝡攳〳ㅢ㌴㠷ㅡ㈵愱㐸㌶敢㈴㌵换〶㙢摣㑥慡㐶㤱㡡㍢搶㌶㑡㥡摢戴〱㜷㑡㤱户愱㤸㈴捤㘴昴㡦㐸㐲㐱愰㌷搲㔱昴搹愷㤳㐷㈲㘲㐳ㅢ愰㐸㍤ㄵ搶昵㐷㈱挱攳戸㜶㔲ㄱ挵攸〹晣扤㉢㉡捥搶㠲愶ㄶ㘳㙤㈸㙡ㄹ慦㔶㘷ㅤ㔸〹㘵挳慢㙣ㄳ㤶挶摥㐲つ㈳戹戳㕢敤ㅦ㠲㌷挱㠸ㄱㅢ㌲㉣㤲攲〷〶ㅢ㠲戹ㄲㄱ㔵㕡㘷晤〴㜵扤扡挰愷ㄳ挲㜰㈴〶收㠳捡㤴㔸㤵㘶㔸挳㤲ㅦ㤲〳敡愷㐵㈹㐷㜵㜳㝣搱㠷㑡て㈸挷愳㤲㘴㜰摤㍣㐵户ㄴ㉥㌱㐰散㐶愵戹㜲㠰搰㙥㝤〲㥥っ戶て㜶〰㤱㌰㜴㐲敢㡣ㄲ㌴㥦㐲戸捤㥢㈰敦㜴㠹㔱〸㔲㔳愶㝦ㅥ㔱扥昷㕤愶ㅦㅦ挹挴㠵㠸㠹ㄸ敥㑡戱ㅥ㠰摣㘴㘴㤲㕣㌴ㄴ〷捣㐳挹㈶㠵㔶㕦㕣㐷ㄳ愳㥦㈶㥦ㄷ攰ㄶて㘳㔹〳㘴㥢㉡敥戹〵ㄶ戴㘹㜵㝤㤷㜹摣㈹㔷㙢ㄵ㈱㔵㜱㉣慢愵㐶摥ㄶ昸㤲㔷〰㐳㙥㑡㠱㑢〴㤴攳㌸㑡㜱换㐴㔲昷㜶户㝥〴挳愵㤰挳ㅣ愱敡㘳〰㌲挵㉤㈷〳㘲㙤昷ㄴ㘸ㅦ敥㙥㕣㘰㤰㤷攷㈰搲摡慡㈸换㘶㜰ㅦ慦ㅥ㐵㤶摣㤶攸㌶攳捥戸戴搹ㄳ㔵挷慣戰㙡㕢攰〸晢っ〵㕥㍥て㘳愴㑢敥攰㈴㤹ぢ㔱㜴昷挲㈳昲㌱㜳〱愸㤰ㄸ㔰ㄸ攳攵㈹㈸〳愸㠲㤱㘸㜰慢つ慢㕢㘱昴㤷㤶户㍥㡥㑣㘱ㄸ㤸〶㉤㝡㠶〶捥㈴捡㥢ㅢ㌸㔷愳㔷㑡㠴㌴ㄹ㑣㘵㡣㜲〸づ㝢㈰つ摣挴㠳昴㠲ぢ㈵ㄴ散㤱ㄷ挳攲扢㠹㈳㌶㡥㐰慥㜷㐹㑢攵㥣ㄱ攰晡㡢戳户愵㝡扣㔲愱戹ぢ晦摣戶挰㉡慥㙥㠴收攸㥥㤶㑢㔹㜲㑦戴敦慥㘹㘹㠸㉥ぢㅥ㥣ㅡ㍤㘶〴攵攵昹㘰㍤扣戸搵㉤㐹㘸扦㠴㍦㘲挳户搳㘶捥㌹扣㠸扡㑡搸ㄷ捦㌹敥㜹㐷慥㑢昳㜹敢てㄴ㠲㉢㤴㍤㕣㘴㌱昳㈶晥挹愴㘶戴㕦㘰挶慤㉣㥢ㄳ㌴ㅣ㈴㥣㐷愶㔰ㅡっ愳㥣㐲㈷戰摤敢户〶㐸㈷㝢㕡攸㐴ち㠲ㅤ㐲㜱㤶摥㌱㐲㔱㝥づ戴㤲㔸挲㈳㌹㘰晥㉣㔸㕦㜹〹㌵㐴㌸㥥㈳㌱愲扤て愵ㄴ搴㐹㐱ㅥ㕤昱攰㠵㤰晦ㅦ㉣挵摣扣㈱㍢晤ㄷ㤸㔹㜹戱ㄵ㐵㔷ㄱ㐵㉦戴愱㐸攱㌵㄰挹扦昷㐴〵㍥㘸っ捦扥愵㐰㌸昷戴㜳〰㝤搷㉦晣晥てて愰㌳挰㌰㤳戴搱㄰㙡扢ㄶ攵扡㠹㤰㙤㌳ㄱㄸ扣㤷㈶挲〹㡥㘱ㄴ㍦㌴ㄱ㈲ㅦ挸㉣㉡㌶㌷ㄱㄸ摢㑢㌱〴ㄳ愱搶㠴㕢㠳㈷戰㑢㙣晡挷㡥攱攲慤昰ㄱ捦㠷搲昲㈷攱㤱扡戴扤㝡捥昰っ㝢慦慣㍦敡〹㈸㌳㙦〱㌷戹攵㄰㡥搸户㘱㡢ㅣ戴㠱慦㈲昶戲敦昸㔳戶㜶㝦ㅤ㤸ち㔳攸扥㔷ち㑡晥㙤㜸㑡ㄴ㥥ㅢ㌲㥦摥昳㤳愳㝦㝡攸昱㈳扣慤ㄶ搱慡㜶㈳捡摤㠴散㘹㑦㈰愸㥢戸㈸㜲㌱㍦捣㌹㠱㑦㤴慣㤵慡㤸㌰㍣㘹〵昹扡ㅤㄷ㐳挲㑢㄰㘶㐸㝣摢挱挴挴扤㠷搰挴ㅣ㙤㜱㜷捡て㥢愴㡢㜰㌴戱㜰改搳㡢挳㠶㑡㐷㐵搶愵戵愹晤ㄴ慡攸㉤㉥愴搹㑡攴愹㤳㐹㔱㥥㙢搵㜵㠷愸敢挲㠳っ挳晥戱㤴㐲晣㠱ㄴ㤲㍣挸昰㐲㠰㤴㔲愷㔰搰㙥㐲㤶ㄲ㔹㙢つ昱搲ㅦ戰㈳〴㐴晤搲㕦㤷ㅦ戱〰㡡挰㘲散㡢敦昶㐴㑢㕢㌴㔶㑤っ搵㑡㥢㘶ㅥ〵㜹㜸㘱挵㔸㕣扢㠰㐲㥣戴㠳㈸㙤搹ㅤ挵㤷昴摢㘱攰㉤㘴㙣捤愶慦慤㘸摦敤搴㜰昳〳㝡㈶㉦ㄵ㠶戳㥢搵㌸㤰捡ㄸ㕤搸戵ㄸ㔶㌱ㅦ〸㡢昵㐱扤㔱ㄳ㜴㤶戳ㄷ愷㔲〴晦昸愵㄰摢㐷ㅡ㔳㕦摣摡㐲ㅤ攷昴㘰㠳晣挱晥扡㉡㠵戱昱㔶㜲っ㈴散㤶㝡ㄵ挲敢攱愷㌱㠴㥢捥㈸㝡愳㈸㥦㤵㐳昸ㄳ㜳㔶㔶㙤搳晦㡣㕥㑢捥㍡挳搱っ㘳㌷改晦㡦愱㘲㔳晤慦㌰昶㈶ㄱ昹昱愸㈰㡤㔳挶㑦㌶つ搹㄰㈲昰㙣㈳㜸㈳て挶扡㉣㌲攴ㅤ㤶收昱昱㙡搸㉣㈵㌸晣㕥戹搶慢ㄱ昵戱戴㙤㝢㍢ち㐰挶㠶戴㘷㈱㠲㍡㡥㙦㤶㕢昱改㌶晦〹っ摣㜳挲㉡㝢慥敦㥡挱昰㍣㠲扥挳晣昶捣㠴捤㌳慥晣愸㔵愸㕤〳㐸昴㝤ち㘳㑥捥㐲㘰㥦ㄴ挱㍢ㄵ㡢㘴㘴㘱㙢㤱っ㝥㠷㌴㤸〸㉦㔱㍢昸ㄷ㤹昷搵㡣㉡㍥㕤㥤㠵慦㌳㘰搵戶㔰㜶愱挷戹昵㠶〶㐱㠷㍢㕡昷挲ㅦ㈴慡愳〸㡥挹㉤㝣攲㔳㠴㙢㉢っ㥡晢㐶㝢昳搹戳㍢㥦㕢㔱㝢〶㌸摤摡㕢㥡㐹㠶敦攴ㄷ挹㐵扤挴ㅣ㤷昶㡦攰敦搶ㅤ戴㥣㙤〸㜴ㅥ㝤搰㑤㐷搸㐸ㄵ敥戳㉤㐴扦捦㘲愸㌲捥っ㍦摤㠸ち㝣㔰攸攵㈳㉢㉡㍦挴戶挸〰㈸㘷昲㘵㘴㥤愹晡挹㡤愸㝡昰ㅥ㡣㈱扦敡〲㔹㝦㔶攱㔱㠳㔴㔹㔴扥㠷晥㠴㕡戸晢㈵搶攱攸㈱㡦ㄴ㈸敢㐹㐹慥昰㐸㈱搷昳ㅤっ愸慦攷〱搴㜶㕥捦户㌶㕡㡦㐲㘳㐰敥㌷㌹晦㘰慣㑣㜴㥢慦㜶㤸戹捣㔶㤰つ挶㍤〷㈸㈶戹㤷㝣ㄸ㙡㜸㠹㤸㐲晡㙤昴昷昵㈳慦扤捡昴㡦㈳㡡ㄴ㡣㘸㙡摥〵〵愳摣挵㔷㤳扢昰㔱摢㜹ㄷ㕦摥㘸ㄷ㠳㤴㤹ㄲ慡㌵ㄴ〰搵ㄲ晥挸㕤慤愲㐰㠰昲愷㥣㘵㠶㕦搳㉡〶つ搴挸戱㙢㈸昴㘷㌵㈲收慥捥摡㠵挶㘳晣㈹㉣㠲〳㑤摦扣摥㡤㙦㔸搷ㄹ敤捥攲ㄳ㝥㑤慡挲㥣㝡㘷㜷㜳挵收㈸㌵㤹昶㜹散晡㙤捣挳㑤㌷㝣㡥㥣㜱ㅦ㝥〵〴㈱㐸㘶ㄲ㈴て愱㄰〳㑡㈳搶㔳扥㙣㤲挶㈱㙦㠱搲㤱㤵て㍤搱昹搰㈴㈸搸㤱ぢ㝡㕢〸㐶㙣㠹㥦ち㜷搴㘷昹㉥慦㌷㈸㑦挴㔴㜸散㔸晣搹㤸ㅡ〵摣挰〵愱㌹㑥慥㈱㈰㤵挷攳捥㍦㝢扥攱㉦㐶〳ㄲ㔸㈵散㑣敥㤲㥤㍦ㅢ㜷㍥㠸㑦搲㘴㥦っ〹㡡改昵戸㌳戹㔰㜶㝥㉣敥晣昷㠳㝢敢㥤㘳愶ぢ㘷搶挸ㄱ㈹㠶扥㍣晡㈴㍥㑦ㅦ㐰㜷捤愴昱搰㙢㠶搵㈴㐴ㄹ㌷慦㑡昳愱て㌷㘱㍣㝣㈰㍥㠳㡢㕤戸晦〲つㄳ晥㝦㈲㡥攳挲搷㤴ㄱㄸ昸晥㝢ㄵ㤱㜶㑦㤷㑦ㅣ㥣㌷㘷㍤㔴昴㤸挷㝤ㅣ㈸㉢摢㡡㐴㘰ぢ攵㐲昸㙥ㄲ㤱㐸戱㥢ㅢ昰㠸㈳㠴㉡㉦搰㜴愷㌹㘵㔴㈹愷㍣ㅡ㘳㌶昳㘸㠳㘶昴捦〰㌹搰〹挸㔹搰ㅦ㐳ㅥ㐶愱昶戰㘲㤰挲㑥㑡戲挷搹昰〴戳捦㈱㉢㉡㤴㙣愴㠳晣攷㤱つ挴晦㤷㡥攱㔵改㉣㔲㤵戵昸㘵㐹㌲搲扦挰〱㕦㐴㤶㠵敦㕡㠹㠸戰愸㝦〹㌵挹㤷㔲㜰挸㤷㝥㠵つ㕦㘵昶㌵㘴㐵㡤㡢摤㌲搴戸愷㉥搵昶搷㌱㔴㈱㈸㌸㠷晥㡤愸挰〷㠵㜰愰㌸㔷ㅣ散㤰㌲㤴摡愶愰收ㄵ挲㐶㌶搸㔱挳㘱搹愰㈸㠴㤷㙣愸㐶つ搴㘵晡户㤰㈹㠴〷昷愴㝦㥢㑦〴㠳㝣攱㜷愲㠲㝣㈱㘱㈰㠷㉦户扣㤰㜰㤱つ㑢㉤㉦㈴慣㘴㠳㤹㝣攱昷㌹愹摣ㄸち捤敡㡡ㅢ㤴昰晥〱ち晤搹〱慥敤㝥晣搴㌵愵㝣戶㜲昶散扦〷㜲挳晢㜲ㅦ晢㘸摦㜷㕦㝦攵捦摦晣摤㈷て晦敤㡤㈷㥦晣摤㕦扥昹敡ㅢ扦㕣㍣晣敢㘷㥥昹搵㍤㑦扤晡攷摤收搳敡昳晦㥥㜹晡攱戱㜳て㍦㘸㥥扥昱攸挳ㅦ㝦攰扥戱戹㡢㐶戲搹㥥㥥敢㠷㝥㜳搹〷〷ㅦ㝤昰㐵攵攵㍦㕣敡㈸㜲扢㜸㐱昳㌲戸㙤戹㡣愷㔰挰㌲戸攲㜷㜵ㄹ摣慥〴搴搹〸㔰ㄳ愸㈸挰昹挱〵挸㠶㔲㜳㐳敦㝦〰昲昸扤㌶</t>
  </si>
  <si>
    <t>Decisioneering:7.0.0.0</t>
  </si>
  <si>
    <t>7ec3dce2-f7e9-4a96-a391-3a0369f7e605</t>
  </si>
  <si>
    <t>CB_Block_7.0.0.0:1</t>
  </si>
  <si>
    <t>㜸〱敤㕣㕢㡣㈴㔵ㄹ敥慡敥敡改敡㤹搹ㄹ㜶㤶换㉥〸愳㠸〸戳づ㍢ぢ㉢愰慥敢㕣搸ぢ捣敥っ㍢戳ぢ〴㐹㙦㑤昷愹㤹㘲扢慡㠶慡敡搹ㄹ㈴ㄱㄵ㈵摥㠵㜸㠹㡡㐲㠸㈱昱挵摢㠳㡡昰㘲㘲愲㌱㑢㘲㈲㍥㤸昸㠰㠴攸㠳挶㙣攲㠳㍣㤰攸昷㥤慡敡慥敥㥥慥ㄹㅡ搰挱捣㔹晡捣愹㜳慢㜳晥晢昹晦㔳㘴㤴㑣㈶昳㙦㈴晥㘵捡戱㜰挵摣㥡ㅦ〸㝢㜴搲慤㔶㐵㌹戰㕣挷ㅦㅤ昷㍣㘳㙤摡昲㠳㉣㍡攴㑢ㄶ摡㝤慤攴㕢て㡡㐲㘹㐵㜸㍥㍡㘹㤹㑣愱愰慢㘸攷㈴晣つ挶て㍡㐷昵攵㤰捤㑦㑥捣㉣摣㡦㔹攷〲搷ㄳ㝢㠷㑦㠷㘳て㡥㡤㡤㡥㡤摥㜴昳搸晢㐷昷敤ㅤ㥥慣㔵㠳㥡㈷づ㍡愲ㄶ㜸㐶㜵敦昰㙣㙤愱㙡㤵敦㄰㙢昳敥㔹攱ㅣㄴぢ晢㙥㕣㌰㙥扡㘵散愶〳〷捣㕢㙦扤愵て慦捥㥣㤸㥣㤸昵㠴改扦㐹㜳㙡㕣昲㑤㔳愲㙣㜱㙦㐲㜸㤶戳㌸㍡㌹㠱晦ㄲ敢挷搳捤愳㜳㑢㐲〴㝣戵昰㠴㔳ㄶ扥㡥㠱扤昶戸敦搷散㘵〲㑦户て㘳慢㘵挳て㌴㝢㔲㔴慢扡ㅤ捦㕡戰㘷〰扢慡戱搶㘷捦〹挷户〲㙢挵ち搶昲昶㍣㈶慡昴摢愷㝣㜱搲㜰ㄶ挵〹挳ㄶ㥡㝤愴㘶㔵㜲㘱捡㘴慦㡤愷㐸㉥㑣㙥㝦㜴摣户㈷㤷っ㑦慥挸㈷㘰㔲晡ㅥ昶捡捤㝤慦敥㍣㉦㤷㉥摦挰㌹慦改摣て㉤愷つ慦摥㜳愴㜳捦㘸昳捤㉢戸愱㜳晦〴㡣㥡挷㕣搷㜹㡣〴㘵㜳㙦愵㌷愲㙦〹㔱㙣㐶捦㌳敢㘱㔶㘰㐶〴敡㐵㘶扤捣晡㤰㈹戹㝦㠲㑢㤲〳搹愴㤶っ戵戴愰㤶捡㙡愹愲㤶㠴㕡㌲搵搲愲㕡㕡㔲㑢㤶㕡扡㕦㉤㥤㐵㥦㌸ㄵ㝡㝡搴㈸晤攴ぢ挷㕦㌹晦晢慦㑥㝦攲搱攷晥昵愰昶搸挷晡㜶愰搳㥤搱愲愶㍣攳ㅣ㐸慤㐱挵晢㐷昷昱摦挶㕣〱愶㌰て㤸㌷㥢㘳㘳㤵〳晢㡣ㅢつ㡤摢㑡㐱㝥ㄳ愱っ愲㙦㥦㜹㤷攵㔴摣㜳ㄲ㜷㔷㑣ㄸ扥㘸〰㙥㈴㙡㥢㜰㙢㑥挵扦㝣晤挶戹挰〸挴㥥搶戶挶㈴㙤挳收挰㔶挲㤷敦扢戲㜵搸㘹愳㕡ㄳ攳慢㔶搸晣㡥㤶㘶㝢搶㜳ㄷ㍡户ㅥ昶挴〳昵搶戶ㄵ㡤㐳愸慤挸戹摢㜶ㄹ㌶㠵敢ㅡ㥥㕣㜲㝤攱挸攵㡤搸戳㔶昹慣昰收〴㐵愲愸挸慤㕥捣愶㠸敢㐷㘶ㅣ㙣ㄴ摣㕡㜹㔷戲搶扣㙤㌵〰㌳㡢ち搶扢㉣扣㘰㙤摥㔸愸㡡㑢㥡扡㠴敦㐴挳敥愶敡挳㙥戹收㑦扡㑥攰戹搵收㤶昱捡㡡〱㐹㔳㌹敥㔶㐴㉥㤷㤱㐲〱〲㌷㥢㔵㤴捣昵㥤㜹㐱㈲㈲㠱㘲㌲昲㘵捤㘴㌷㝡ㄲ扢挳㉥慡㠲㌴愹扥㝢㠳挹戸㕥㈹㘳㔲㌸㌰戱㈷敡て扥昴扤ㅢ㑣㕢挷摣㕢摢㔹㔵㠷愲摤摦戶㈲㥣攰愸攱㔴慡挲㑢搵㝥ち㔷愴て㈰搳㉥㐰㈰㜴㠴ㅥ㔵㥤戲慡慣㘹攷慣㑡戰㤴㕦ㄲ搶攲㔲㠰㍡㘸挸㐲㠱愰㙤㑢晡㐵愸搲㜷㌲ㅢ㐲㔶㉣㘶昲扢搸㈹㕦㐴捡㘸㤴㑥㈹扣摣㈴挸㌹慥㠹㤷晢捣挳㔶㌵㄰愱㔰ㅥ㌰㠱㤱㔰慢㐹昴昵㤳㐴㍤愳ㅣ㉡㡣㕤收㈴愸搴戰㥣㘰慤挱户㙤㕣ㄲㄲ搱戶㉣搸㜲戲㠰愲愰㔹ㅥ愴昰ㅡ㠸愶㐵ㅡ愴㜷㑥㄰ㄱ搹㈰㐵戳㘳收㘶㈲㘳晦ㄴㄹ㠱晥㐹㈲㘴敦㝤㥤㘵〴㠹扤㥤㐸㌹愸㈳㍦㙥㑢戳昵㙣昹㔰㥡㕤っ挰改㤷㌰扢㤴搹㘵捣㜶㈳㔳晥〲〹㐷㈹㠷㜲㜳搲㉦挷戳㝥〵戳㜷㈰㠳㝣搲㈹㜳㈲㔱㐵ㅢ㙡㌳㜶㈴晢昵挳㑥㤶㐶㜱㈸㡡㘸ㄹ搷敤捣㝥㕢㈲㍡戲㍡户㠶慥捤㐹ㅤ晢㥥捥戴㤹摣づ㈹㌲愵㙢㜲慦ㅢ㜴㑤〲㠲㕤扢搴㕢㔷㘱愸㍥捣散㥤挸㡡晡扢㤸㐳戹搰攰摤㥣㐵㑦㤳昲㙤㘱ㄶ㠵挶㔰㤷ち㍥㈲㘴ㅥ〱㔲㠴㕣摢昱㘵摢㠶愶㌹㌸㘲扥敤㙤攸扤㥤昹㍢㐲㝡㡢摥摣搶㍢昴ㄷ扤㑥㉢晡㙡戰㤷昲愷㡥㍡收ㅡ㌴敢敦㘱㜶㉤戲ㄶㅤ挳搳昷敢昵ㄴ㐸戳搸㑥㘰㙥㈷扤㉥搲捡㥤㕦㕢ㄶ㔲〳昵㤹昳㠶户㈸〲㜸㌰㡥㑤挱ㄶ㜶㍤㑦㔴㜱愸慤挸ち㥥㕦㉥㙤慥昴て㝢慥捤晡㙤ㅢ搹㝦㕢㈸㠶㕣㑥捤㘶㕡㙣攴ㄴ㕢㌳攱㜳㑡㔰づ㜵昰㡤㥤㠵㐴㘲㔰㌳㜹㜱㕣晡昹㜲㕢㤲㜴㈱㐹慥〳㔸昵敢㤱㐱㑡㈸㝦攸㈸㔱昶戲摢晢㘴户㘶㡢㤵ㅥ扥㤴搳㐹㡢て戱㑤㡥昴㠶づ摢〹昸て晣㝥㝢捥戲敢挲愲搷㥥ㄵ㕥ㄹ扥〵慢㉡㡡愱㕢㤶愲㘶㕢㔶扣㑤㘴㐵㌶摢㜶㥥㑥昱慦㐹㍡㘹㤱ㄲ愹摣㥥摡㤸㜲ㄶ㙦㄰ㄵ摤㤰ㄴ㉡㈹慥愱扡〴㈲攵戱敦戶㠸改㐲挴摣〰挰改晢㤸㡤㌱摢㡦㑣㝢〱㤲㘶戳㠰㘷㌸慣㘷㠵㉥敤㔲㈹㔳㈰ㅡ愴㡢昰㝣㐷㘱㜵㠰慦㜹㍦戳㥢㤱戵㤸㍦㜴㐰愶㄰愲㐴㜹㠲㄰㘵ㄸ挳㍣㙤㠹㜳愴㠱ㅤ㈶〲㑢㤳㌵㍦㜰㙤㐶㤶晡捤㈹昷㠴ㅢ㑣㔹晥㌲㈲㔱㐳㘶㔴戸㙢㐹㌸愰㉥て戶㑦㑢㥤扢扣㉣㉡扡㌹攷搶㈰摡㡥㑤㙤㠵㠳㌹挰〱㕢㔲㥥捤㔵〵愹扢昳㌱愶㔰〰㘹改㙦愵㌷㜶㔳摥㙦ㅥ晡〶ㅡ㄰㥤户㠲慡攸㌵㐳愶㘳戹㘰〲㡡㠸ㅣ㔴㝡捣昹㈵㑦㠸愹㝥昳㠸㘷㔵慡㤶㈳㠸っ搸㤸っ搶㑤㡢㐵㐴〹㘶㕤挶〰㕤愷摦㥣昷っ挷㕦㌶ㄸ㔰㕣摢搹昴㈴挳㈲㥡㌹㘱㌹㍥㕥㈳戱挸昲㠰㌹户攴㥥㐳挴戶㘶㍢㐷㡣㘵㝦㑢㘰㠵㐴ㅦ㈶㠹ㅡ㐵㔵㔴㔵㈹愸㠵㙥昱挳〳㜹㈶㐳摥换㌱㤳戸捡㘸昴㤹愷㘸㙦摡昵㔱㡣㠶㜶㍡搷搴㠷攸㔱扤㌲㥢㉡㠵挹愹晡慤ㅣ昳〱㘴户ㅦ㌹㜵慣ㄱ㤹㝢㐳㌱㙢㡤㕥晥ㄴㄹ㉦挹愲ㅥ〸愱㡦㙥㐷㐸㉡慣㈳攵㠰〳㠱㜱㍥戵㤲㕦搱㤴㝤㐸㝤㍢ㅡ挵挳㠸㈴昵㤹搳挶㠲愸㈲ㅥ㙤ㅢ挱㡥昰㠱㘶慣㙤㔴晤愸㙤搲戵㙤㠳愴㐵戲㥣㉢ㅢ愴攰昱㕡攰ㅥ户ㅣ摤㐴㈶改㉦慡㌲㔶㔱㘵慣捡慡㍥昳㈴㐳㠳戲捣戹摣㐵挳戳㠲㈵摢㉡ㄷ昸挰昰摤㤶愰㐹㌰㌹㈵㙦㥣㘲㤹㌱摣㘲捤㥦㠲挹收㡦〲摤愳㤰愳〴ㅤ搱て捡㔵㤵㍣晥㈹㕤㍡㤶㈰㘰愴愷㔴晦㄰㘶搳攴敤〸㠸ㅣ㤹㉥挴㜷㌰㉥㝣ㅣ㌵愱㄰㈲搶㔳㐸〴㕥挱㠴㤰愷㡢㍢㙦㥥㜲慣〰搸㈳挶づ㕢挱㤴て㤴㈳㐳㔱ㅥ㙦昷㐸慣㈶〶㡤搴戵挲㔵敤㑤㑤㙡攲捡昶昶愴摥㜸昷㍡捤愱㐶㐹㈸㤲㡤㍡㐹捤戲捥ㅡ户㤲慡㔱愴攲㡥戵㡤㤲收㌶㙤挰㥤㔲攴つ㈸㈶㐹㌳ㄹ晤挳㤲㔰㄰攸㡤㜴ㄴ㝤昶改攴㤱㠸搸搰〶㈸㔲㑦㠵㜵晤㔱㐸昰ㄸ慥㥤㔴㐴㌱㝡〲㝦敦㠸㡡㌳戵愰愹挵㔸ㅤ㡡㕡挶慢搵ㄹ〷㔶㐲搹昰㉡㕢㠴愵戱户㔰挳㐸敥散㔶晢㠷攰㑤㌰㘲挴㠶っ㡢愴昸㠱挱㠶㘰慥㐴㐴㤵搶㔹㍦㐱㕤慦㉥昰改戸㌰ㅣ㠹㠱戹愰㌲㈵㔶愴ㄹ搶戰攴㠷攴㠰晡㘹㔱捡㔱摤ㅣ㕦昰愱搲〳捡昱愸㈴ㄹ㕣㌷㑦搲㉤㠵㑢っ㄰扢㔱㘹戶ㅣ㈰戴㕢㥦㠰㈷㠳慤㠳ㅤ㐰㈴っ㥤搰㍡愳〴捤愷㄰㙥昳㈶挸㍢㕤㘲ㄴ㠲搴㤴改ㅦ㠷㤴㙦㝤㤳改晢㠷㌲㜱㈱㘲㈲㠶扢㔲慣〷㈰㌷ㄹ㤹㈴ㄷつ挵〱昳㔰戲㐹愱搵ㄷ搷搱挴攸愷挹攷〵戸挵挳㔸搶〰搹愶㡡㝢㙥㠱〵㙤㕡㕤摢㘱ㅥ㜳捡搵㕡㐵㐸㔵ㅣ换㙡愹㤱户〴扥攴ㄵ挰㤰㥢㔲攰ㄲ〱攵ㄸ㡥㔲摣㌲㤱搴扤摤慤ㅦ挲㜰㈹攴㌰㐷愸晡ㄸ㠰㑣㜱换挹㠰㔸摢㍤〵摡㠷㍢ㅢㄷㄸ攴攵㌹㠸戴戶㉡捡戲㘹摣挷慢㐷㤱㈵户㈵扡㑤扢搳㉥㙤昶㐴搵㔱㉢慣摡ㄲ㌸挲㍥㐳㠱㤷捦挳ㄸ改㤲㍢㌸㐹收㐲ㄴ摤扤昰㜱昹㤸戹〰㔴㐸っ㈸㡣昱昲ㄴ㤴〱㔴挱㐸㌴戸搵㠶搵慤㌰晡㑢换㕢ㅦ㐷愶㌰っ㑣㠳ㄶ㍤㐳〳㘷ㄲ攵㡤つ㥣慢搰㉢㈵㐲㥡っ愶㌲㐶㌹〴㠷㍤㤰〶㙥攲㐱㝡摥㠵ㄲち㜶挹㡢㘱昱摤挴ㄱㅢ㐷㈰搷扢愴愵㜲搶〸㜰晤挵搹摤㔲㍤㕥愹搰摣㠵㝦㙥㑢㘰ㄵ㔷㌷㐲㜳㜴㔷换愵㉣戹㈷摡㜷㔷户㌴㐴㤷〵昷㑦㡤ㅥ㌵㠲昲搲㕣戰ㄶ㕥摣敡㤶㈴戴攷攱㡦㔸昷敤戴㤹㜳づ㉦愲慥㄰昶挵戳㡥㝢捥㤱敢搲㝣摥晡〳㠵攰ち㘵てㄷ㔹捣晣ㅢ晦㘴㔲㌳摡㜳㤸㜱㌳换收〴つ〷〹攷㤱㈹㤴〶挳㈸愷搰〹㙣昷晡慤〱搲挹慥ㄶ㍡㤱㠲㘰㥢㔰㥣挵㌷㡤㔰㤴㕦〰慤㈴㤶昰㐸づ㤸㍦〳搶㔷㥥㐵つㄱ㡥攷㐸㡣㘸敦㐴㈹〵㜵㔲㤰㐷㔷㍣㜸㈱攴晦〷㑢㌱㌷慦换㑥晦〵㘶㔶㝥摥㡡愲㉢㠹愲㥦戵愱㐸攱㌵㄰挹扦户㐷〵㍥㘸っ捦扥慥㐰㌸昷戴㝤〰㝤换㉦晣晥てて愰搳挰㌰㤳戴搱㄰㙡扢〶攵扡㠹㤰㙤㌳ㄱㄸ扣㤷㈶挲㜱㡥㘱ㄴ㍦㌴ㄱ㈲ㅦ挸っ㉡㌶㌶ㄱㄸ摢㑢㌱〴ㄳ愱搶㠴㕢㠳㈷戰㑢㙣晡挷㡥攲攲慤昰ㄱ捦㠷搲昲㈷攱㤱扡戴扤㝡搶昰っ㝢户慣㍦攲〹㈸㌳㙦ㅥ㌷戹攵㄰㡥搸戳㙥㡢ㅣ戴㡥慦㈲昶戲㙦晢㔳㌶㜷㝦ㅤ㤸ち㔳攸扥㔷ち㑡晥つ㜸㑡ㄴ㥥ㅢ㌲ㅦ摢昵㠳㈳㝦㝥昰㤱㐳扣慤ㄶ搱慡㜶㍤捡摤㠴散㘹㑦㈰愸㥢戸㈸㜲㌱㍦捣㌹㡥㑦㤴慣攵慡㤸㌰㍣㘹〵昹扡ㅤㄷ㐳挲㑢㄰㘶㐸㝣㕢挱挴挴扤㠷搰挴ㅣ㙤㜱㜷捡て㥢愴㡢㜰㌴戱㜰改搳㡢挳㠶㑡㐷㐵搶愵戵愹晤〸慡攸㜵㉥愴搹㑡攴愹㤳㐹㔱㝥搸慡敢づ㔰搷㠵〷ㄹ㠶晤㘳㈹㠵昸〳㈹㈴㜹㤰攱㠵〰㈹愵㑥愲愰摤㠰㉣㈵戲搶ㅡ攲愵㍦㘰㕢〸㠸晡愵扦㉥㍦㘲〱ㄴ㠱挵搸ㄷ摦敤㠹㤶戶㘸慣㥡ㄸ慡㤵㌶捤ㅣち昲昰挲㡡戱戸㜶ㅥ㠵㌸㘹晢㔱摡戴㍢㡡㉦改户挳挰㕢挸搸㥡㑤㕦㕢搱扥捤愹攱收〷昴㑣㕥㉡っ㘷㈷慢㜱㈰㤵㌱扡戰㙢㌱慣㘲㍥㄰ㄶ敢㠳㝡愳㈶攸㉣㘷㌷㑥愵〸晥昱㑢㈱戶㡦㌴愶扥戸戵㠵㍡捥改挱〶昹㠳晤㜵㘵ち㘳攳慤攴ㄸ㐸搸㑤昵㉡㠴搷挳㑦㘱〸㌷㥤㔱昴㐶㔱㍥㉢〷昰㈷收慣慣摡愶晦ㄹ扤㤶㥣㜵㥡愳ㄹ挶㙥搲晦㜷愳㘲㐳晤慦㌰昶㈶ㄱ㜹㑦㔴㤰挶㈹攳㈷ㅢ㠶㙣〸ㄱ㜸戶ㄱ扣㤱〷㘳㕤ㄶㄹ昲づ㑢㜳昸㜸㌵㙣㤶ㄲㅣ㝥慦㕣敢搵㠸晡㔸摡戶扤ㅤ〵㈰㘳㐳摡㌳㄰㐱ㅤ挷㌷换慤昸㜴㥢扦ㄷ〳㜷ㅤ户捡㥥敢扢㘶㌰㍣㠷愰敦㌰扦㍤㌳㘱昳㡣㉢摦㙢ㄵ㙡㔷〳ㄲ㝤昷㘱捣㠹ㄹ〸散ㄳ㈲㜸戳㘲㤱㡣㉣㙣㉥㤲挱敦㤰〶ㄳ攱㈵㙡〷晦㈲昳捥㥡㔱挵愷慢㌳昰㜵〶慣摡ㄲ捡㉥昴㌸户摥搰㈰攸㜰㐷敢づ昸㠳㐴㜵ㄴ挱㌱戹㠵㝢敦㈳㕣㕢㘱搰摣㌷摡㥢捦㥥摤昹摣㡡摡搳挰改收摥搲㑣㌲㝣㈷扦㐸㉥敡㈵收戸戴㝦〸㝦㌷敦愰攵㙣㐳愰昳攸㠳㙥㍡挲㐶慡㜰㥦㙤㈲晡㝤〶㐳㤵㜱㘶昸改㐶㔴攰㠳㐲㉦ㅦ㔹㔱昹㉥戶㐵〶㐰㌹㤳㉦㈳敢㑣搵㑦慣㐷搵㠳户㘳っ昹㔵ㄷ挸晡戳ち㡦ㅡ愴捡愲昲㉤昴㈷搴挲摤㉦戲づ㐷て㜹愴㐰㔹㑦㑡㜲㠵㐷ち戹㥥㙦㘰㐰㝤㍤昷愳戶昳㝡扥戶摥㝡ㄴㅡ〳㜲扦挹昹〷㘳㘵愲摢㝣戵挳捣㘵戶㡣㙣㌰敥㌹㐰㌱挹扤攴挳㔰挳戳挴ㄴ搲敦愲扦㉦ㅤ㝡攱㍣搳摦て㈹㔲㌰愲愹㜹ㄷㄴ㡣㜲ㄷ㕦㑡敥挲㐷㙤攷㕤㝣㘱扤㕤っ㔲㘶㑡愸搶㔰〰㔴㑢昸㈳㜷戵㠲〲〱捡㥦㜲㠶ㄹ㝥㑤慢ㄸ㌴㔰㈳挷慥愲搰㥦搵㠸㤸て㜶搶㉥㌴ㅥ攳㑦㘱ㄱㅣ㘸晡收昵㌶㝣挳扡挶㘸㜷ㄶ㥦昰㙢㔲ㄵ收搴て㜴㌷㔷㙣㡥㔲㤳㘹㡦㘲搷㙦㘰ㅥ㙥扡攱㜳攴㡣㝢昰㉢㈰〸㐱㌲㤳㈰㜹㄰㠵ㄸ㔰ㅡ戱㥥昲㘵㤳㌴づ㜹ぢ㤴㡥慣㝣攸㠹捥㠷㈶㐱挱㡥㕣搰㕢㐲㌰㘲㑢晣㔴戸愳㍥换㜷㜹扤㐱昹㜴㑣㠵㐷㡦挶㥦㡤愹㔱挰つ㕣㄰㥡攳攴ㅡ〲㔲㜹㈴敥晣攳㥦㌶晣挵㘸㐰〲慢㠴㥤挹㕤戲昳愷攲捥晢昱㐹㥡散㤳㈱㐱㌱扤ㄴ㜷㈶ㄷ捡捥㥦㡣㍢晦㙤晦敥㝡攷㤸改挲㤹㌵㜲㐴㡡愱㉦㡦㍥㠹捦搳〷搰㕤㌳㘹㍣昴㥡㘱㌵〹㔱挶捤慢搲㝣攸挳㑤ㄸてㅦ㠸㑦攳㘲ㄷ敥扦㐰挳㠴晦㥦㠸㘳戸昰㌵㘵〴〶扥晦㕥㐱愴摤搳攵ㄳ〷攷捤ㄹてㄵ㍤收㌱ㅦ〷捡捡㤶㈲ㄱ搸㐲戹㄰扥ㅢ㐴㈴㔲散收〶㍣攲〸愱捡ぢ㌴摤㘹㑥ㄹ㔵捡㈹て挷㤸捤㍣摣愰ㄹ晤ㄳ㐰づ㜴〲㜲ㄶ昴㑦㈲て愳㔰扢㔸㌱㐸㘱㈷㈵搹㈳㙣昸㌴戳捦㈰㉢㉡㤴㙣愴㠳晣愳挸〶攲晦㑢挷昰㡡㜴ㄶ愹捡㙡晣戲㈴ㄹ改㥦攵㠰捦㈱换挲㜷慤㐴㐴㔸搴㍦㡦㥡攴㑢㈹㌸攴㑢扦挸㠶㉦㌱晢㌲戲愲挶挵㙥ㅡ㙡摣㔳㤷㙡晢㉢ㄸ慡㄰ㄴ㥣㐳㝦㉣㉡昰㐱㈱ㅣ㈸捥ㄵ〷㍢愴っ愵戶㈹愸㜹㠵戰㤱つ㜶搴㜰㔰㌶㈸ち攱㈵ㅢ慡㔱〳㜵㤹晥㌵㘴ち攱挱㍤改㕦攷ㄳ挱㈰㕦昸㡤愸㈰㕦㐸ㄸ挸攱㑢㉤㉦㈴㕣㘴挳㘲换ぢ〹㉢搹㘰㈶㕦昸㙤㑥㉡㌷㠶㐲戳扡攲〶㈵扣扦㠳㐲㝦㜶㠰㙢扢ぢ㍦㜵㔵㈹㥦愹㥣㌹昳敡㐰㙥㜸㑦敥敥㡦昴㝤昳愵摦扥晣昸㡢ㅦ㍤昸搷搷㥥㜸攲挵㔷ㅥ㍦晦摡昳ぢ〷㝦晤昴搳扦扡晤挹昳㉦敦㌴㥦㔲㝦晡敡昴㔳て㡤㥤㝤攸〱昳搴昵㐷ㅥ扡攷晥㍢挷㘶㉦ㅡ挹㘶㝢㝡慥ㅤ晡捤㘵敦ㅤ㝣昸㠱㥦㉢扦晣攳愵㡥㈲户㡢ㄷ㌴㉦㠳摢㤶换㜸ㄲ〵㉣㠳㉢㝥㑢㤷挱敤㑡㐰㥤㠹〰㌵㠱㡡〲㥣ㅦ㕣㠰㙣㈸㌵㌷昴晥〷㈵㔵扤挱</t>
  </si>
  <si>
    <t>CF</t>
  </si>
  <si>
    <t>Recycling level of substrate (100%)</t>
  </si>
  <si>
    <t>Utilization efficiency of gold (100%)</t>
  </si>
  <si>
    <t>Recycling level of gold (100%)</t>
  </si>
  <si>
    <t>PEC</t>
  </si>
  <si>
    <t>Energy consumption of PL slot-die coating, kWh (0.1)</t>
  </si>
  <si>
    <t>Energy consumption of PL annealing, kWh (0.227)</t>
  </si>
  <si>
    <t>Energy consumption of ETL annealing, kWh (0.444)</t>
  </si>
  <si>
    <t>1st-step slot-die coating</t>
  </si>
  <si>
    <t>Annealing</t>
  </si>
  <si>
    <t>2nd-step slot-die coating</t>
  </si>
  <si>
    <t>Post-annealing</t>
  </si>
  <si>
    <t>Spiro-OMeTAD slot-die coating</t>
  </si>
  <si>
    <t>SnO₂ slot-die coating</t>
  </si>
  <si>
    <t>UV/O₃ cleaning</t>
  </si>
  <si>
    <t>80% active area</t>
  </si>
  <si>
    <t>Cu</t>
  </si>
  <si>
    <t>Ar</t>
  </si>
  <si>
    <t>O2</t>
  </si>
  <si>
    <t>Tem</t>
  </si>
  <si>
    <t>Isopropanol</t>
  </si>
  <si>
    <t>Espinosa 2011</t>
  </si>
  <si>
    <t>Wastewater</t>
  </si>
  <si>
    <t>to air</t>
  </si>
  <si>
    <t>waste fluid</t>
  </si>
  <si>
    <t>SnO₂</t>
  </si>
  <si>
    <t>H₂O</t>
  </si>
  <si>
    <t>PbI₂</t>
  </si>
  <si>
    <t>O₂</t>
  </si>
  <si>
    <t>Landfill</t>
  </si>
  <si>
    <t>Electrode sputtering</t>
  </si>
  <si>
    <r>
      <t>UV/O</t>
    </r>
    <r>
      <rPr>
        <b/>
        <sz val="11"/>
        <color theme="1"/>
        <rFont val="Times New Roman"/>
        <family val="1"/>
      </rPr>
      <t>₃</t>
    </r>
    <r>
      <rPr>
        <b/>
        <sz val="11"/>
        <color theme="1"/>
        <rFont val="Calibri"/>
        <family val="2"/>
        <scheme val="minor"/>
      </rPr>
      <t xml:space="preserve"> cleaning</t>
    </r>
  </si>
  <si>
    <t>㜸〱捤㔸㑤㙣ㅢ挷ㄵ摥㔹㜲㔷㕣㡡戴改㥦挴戱ㄲ㍢㐴㘳㈰㌱㘴㌰愲㙤昹㉦㌵㘲㤱搴㕦㉤㑢戲㐹摢攸愱㘰㔶摣㔹㜱愳晤㘱㜶㤷㤲㤸〰㍤ㄴつ㔰ㄴ攸愱㐰㔱愰㘸ㄱ㈰昵㈵敥愱挷〰㙤搱ㄴ慤㉦愹㡢戶㐶㠱戶㠷攴搲ㅦㄸ㐸㤱㑢て㐵㠰愲㠱晢扥㔹㔲㈲㈹㉡戱㔵ㄵ昰摡㝡㥡㤹㌷昳收捤㥢昷扥昷㐶ㄲ㤳㈴改〱㝤昸㡤㉦㡥挶㌳攵㔶㄰㜲㈷㔷昴㙣㥢搷㐲换㜳㠳摣㠴敦敢慤㌹㉢〸㘳㌴㐱慤㕡挴て㤴㙡㘰扤捥ㄳ搵㔵敥〷㌴㐹㤱愴㐴㐲㤳㠹摦昹挹㜴ㅡㅡ㔶㘹㜱㈲㈹㥡㈵㔵㡡㠵㠵愵㔷㐹㜴㌹昴㝣㝥㈲㝢㈳ㄲ㜰㌱㥦捦攵㜳愷捦收捦攴挶㑥㘴㡢㑤㍢㙣晡晣愲换㥢愱慦摢㈷戲㡢捤㈵摢慡㕤收慤㡡户挲摤㡢㝣㘹散搴㤲㝥晡㕣晥昴昸戸㜹晥晣戹㤴㑡㤲ㄷ㡢㠵ㄹ㙥㌷㐸摥㙥㐹ㅤ㈲愹昳挵挲愲捦捤摤㤲愹挰ㅡ昹ㄲ慦㔹㌰ㅢ攷扥攵㉥攷㡡〵晡摦㘵ㄵ敡㥤捤㉤㤴换摣つ慣搰㕡戵挲ㄶ㉣愷㌹ぢ戵愵ㅢ扡摤攴慡㈳㔴㑡㌸㌷㜴㝦㕥㜷㜸摡戹ㅥ昰㙢扡扢捣搱㔳㥣改愶㘵挴改㍡㘳挷〷㙤搴㌶㔲㙥愱㔸㈸搶㜵㍦㡣㐴搲〶㉦づ㥡㉤㜶捡㜵愹㈲搶㠸㔱㤸㠷つ户ㅤ〶㝢ち㉤ㄳ㔰㔵㈳愲㈶㠹ㅣ攸㕡㤹ㄵ㑢戳㈷㔹晣㕦攴㜶摤ぢ㠷㘹愶㕣搵攵敡㤲㕣慤挹㔵㐳慥㜲戹㙡捡搵㘵戹㕡㤷慢㤶㕣㝤㔵慥慥搰㥣捥㤷ㄸㅡ㤲摢摦扥搱晢㙦㕥扤㝤㙣昲捤晢慤てづ搹㜷捡っ㥥㈶㕣㉥㐵つ㉤㑤㐴摤㐳㘴㠰㈲㜹挶晥㐹㡡㐰㤹㝢昵扢敦摦㝢敢捦㤷㝥昰昶挷晦昸昴晡㙢㐷㔲ㄹ㕡㌲㑦ㄶ捡捤昳㜰㤷摣㐹㠱㘵ㅥ晥㐶愰扥攲㐴ㄷ㕡攲㐱㑤挳㙤捦扡〶㕦㔷愹㐵㕥㤰㜲㡡㥥ㅢ昲昵戰愴㠷晡㤰戳愸晢摣つ㌵㥡㌴㉡㔶㐵㉤慣㑣㡢戱捥敡㘴扢㐷ㄲ㌲愲搹㈵㘵㔸っ㐴㤲ㄸ挱㐱㉣ㅥ搱㠴㍡〸ㄷ㘶昴愰ㅥ敡㑢㌶㍦搶攷㌸戰ㅢ昹敡昵搰戲㠳ㅣ㠹㥣昶扤㘶〳ㄶ摤㉤㌹〸㜷つ敥愵敥㈷㈲㔰っ扦㘹㠳㑢摡〱晡㤵ㄴ㑣つ㑣扡摣〷攰㙣昲㔲㠷愸㐳㉡㤶㍣㐷户摣㕤扡摣搴㔳㈴昴㙡㍢ㄶ㑡扥扥㐶㜱扤㈹晡㘴㙥っ晦㍥ㅦ搸〸搷捣㜱昳慣㤹捦ㅢ攳㘳晡㈹㕤㐱㈰㍤㙡㕣ㅥ愴㌵㈹攷愶攵ㅡ摥㥡〸搴晤づ㐵愱〸扥㑡慢挱挵㔰捡慣攸晥㌲愷攰昷㘷㑢〷捤愲攷晢摣搶㐳㙥㠸〱㠰晤愱摥挱㘰捡昷ㅣ㡣㍦㔳搰〳扥〹〲愳㘶戴㔱挱㙢扡㐶昰昴㘰㘶㌹㈴搱㈳晤扣㑤㈱㕢㤶㤵〹ㄸ㜹㈰㌴㍤摡扦㑣㌸晦挴扡ㄵ戱㡦昴戱〹ㅡ扤愵敤戹㔳㍥㝦㙤㠳扢㐵愳〹捡㜸慢ㅣ晣㉤愷㡣㔸㤱㕥〴㘴㕥挰㕤愱摥愸戳㘸搵㔶戸㕦收挸㤷摣㄰㐷㝤〲㉣㑥昱㔸攳挱攸〲㑣㑦搸㙣㝣愱㝢搴㥣㕣て㌹㐵戳㐱晡㔲捥ち㕢ㄵ㐴搲㤳㍤㔳愲㍤㠹㜱戸㘷㜸捡慢㌵〳㐴慤敦搹扤㥣〹㘳㔵愷㍤㡤㉢㥥挱攳㜱㌹㈶挵愵㌸㍥㠹㜲㐱㡣㐲㜹慣㉦㔰㐵攲㠱散愰ㅢ攱扢㍣〷㄰㝦敡愱ㄶ昵扡ㄷ搶つ㠲㡣㡤㔲㠲㍤搵ㅢ㉢戹㙢㘴㍤戲㤲捤ㄱ㐸㜲㍦愲㜴㈹扡改㌵搸㘴㈰㥥㐶㈷敡戲ㄹ晣ㄶ戳㕦搸晥㈸㐲散㠶㘷晣㝦㈷换昲㠱昶改㈷㔷〹戳㘷㜴搷戰戹晦搹昶㠲㐶摡㘱㤰ㄱ㤰愷㠹㈴㈵攵敦㠴㙥摢㕡ㄲ㤹㤰慤戳㤶戲㘶ㄹ㘱㕤慤㜳㙢戹ㅥ搲ㄸ㤵㙡㠹〴捣晣敦晦㍣㜸㤰㈷㤸扦㑢㍦ㅦ愱晡搳㡥㠰ㅣ㈵㤲㑣㈶㈵㠱㥦㙡㔲换㡡扥挴㤰㤱㐴㜶㐷㍥摤ち慥捦㘱㥡昶ㄹ㍣㠶㘴っ㐰搳㥥〷㜹〱攴㌸㤱愴挴晥㐴攷挰㔹摥㈰㡤ㅡ㙤㡤晥㈶㌴ㅡ挵慣ㄳ㤸搵愵㔱㑥昴愵㌸戰㝥㤰搹㌶㌲ㄳ慣㤶㥣昳㜴㘳㑡慦㔱扤㌹搴慥㌶ㄳ㐵捦㘹㔰扥昴㌳㤸㔹愴㘸愱㈸㕣戵っ敥㈷㌰㔰愶搲㌶㑥挵㘶愰ち慣〹㈸ㄱ挶㈴㐵ㄹ㑥っ摡㙢戶㈳敢㔸晢㑥扢㑢攷搹㉤昲㍦扥㝡敥㘵㤴挶挹愴㈸㔲㕥愴愶㌶㐶㐴挱摤㍥㜲㝣敥愵㐵㑦㍡攵扡户㌶㐳㤷换㠳愸㤸ぢ㡡扥ㄵㅥ摡㍡㑣㠹㕤㜷づ㡢昱㘹㥦ㄳ㈴晢ㄵ㐲㈶㜱㐶慣ㄸㄹ挸ㄱ㡢㐶㐴㜸㜴〱挳愸㜹挳攲㙢㐸㈷捦㙥㘵㔱㌵㕡㙣〶愱㈷敡㤰愳㕢昹㈵㙦摥ぢ㑢㔶搰戰昵搶戱〱散㠸㜳戳捥㕤㐲㔳㥦㐰昵昳㈶㜹㡤〶㌷〶攸㔸昶㥡㝥㡤捦㤶ㅥ〷㍣愶㥢㡡㍥㈶愰㤸㈵㤸㉡㌳晡㜶〶〵っ敥㈲扤㜱昰挷搳㝦㜹晤敢㉦慢〴昰㡣〲㠴㐲㐴〱㍣散〴戲ㄱ㤸改㥥㐲攱〹㍣㉢慥搰㔳捣㙡搸扣愰晢攴搸㥥ㅦ㘸㑥愷ㄹ㌹㕥㔷㠱ㅦ㐵换攳㘰㙣捡㝢㔱挶换㙤㡦昸㕤㡡ぢㅦ㠴㌳〳㉦搸挱扥搴㈴捥つ扣摣攱㕤㈹扦㈷㘴㝢㐴㐵㠰㝤㐳慢㈸昳慢㔵㈹〱戵昰㌱攵㜷㈴㙡愰㝥〰晢戸㡢攷㥦㔸㤵㕣㜱扤㌵㔷㘸慥〴愸扥〴㤸づつ攱ㄸ㈸㥣挵㌷摥㜱ㅢ㐹㐱㍥ㄹㅤ㘴慢愸㑡摥㜸㥦捥ㅡ㤴戰摡て搲ㄴㅥ愴ㄵ㥦㡢㔷㘷㐲㜴挸㠴㘹攷愶攷慦㉣㜹摥ち摥㉥㝢㐴㉦愸㜳ㅥ攲㠵㌸散㐴捦㕣戴挹昷㘳戱㥥㔷㘰摢敥㘰愲㐶㡦昲捦㘹㙡挵愶晣㥡攸戱扢㜴㝥㍣搸晥晡攱㥤慦㝥昴挹㜷扦㜴敢摢ㄷ㘲搶㈷昷ㄵ昶敢㌶㘳捦㍢㍦昹挳捣捦㙥㕤昹捥挸㌷ぢ㘷扥昱㘱㐱㐱㑡㝢愸㜲〲て㤴扤收〶㜶㔵慣搰收挳㘶攴ㅡ㘸㈷㑣㐲㈳㉡昵㡣㈱戳㔲愷㔳㤷搲收戴㙦ㄹ戶攵㜲戸づㄵ搱㜸㑤捦昱㘵㉡敢ㄶ㍤扣摣㍤㌷㙤㔶㝣摤つ㤰㙢摣㕡㙢㝦㑦㑦㐴㡢㘲ㄶ㉣㌷愰㙤〴㕥愲扤搷〴㥣搳捤㌵ㅤ㜷㕡㙦〴㡦㐳㌸㤱㥦㜴扥〸扣㘴㈶换㉣㈱㈷㜶ㄸㄱ㤲㝡㡥攴㘵扢㈲昰㐲㜶㝡㘶㍡换ㅤ㉢挰摦㐵戲愶㐸搷㔴〸捡〲攸攴㤳搸㍥挲㌷㔴㈷て㕦昵㐱昱㤴昸㜳㐹扢ㅣ㡦つ捡攱ㅢ㘵㈹〲㑤㍢㑦㠴㘵㐱攸㐷扢搰㙥愰挳㔰攳愰攸攸换攲㉦搱㤰昶㐵㑣㜸㥥〸愰㜹㕢㝣㘶㈸㝢㠰搱散づ㜹㉣㤰㠱摡ㄲ㘳扦愲ㄶ㠲㝢㐰㜰㌲ㄴ㐹〸㔰ㄱ〲ㅡ〲㈲ち㠶昷㘸晥挰㘰昸㜹㥢攱ㅣ晦捤㙦㝦㜹㑦扤昴敥户㡥摦㌶摦晦㘰㤶愱㥡㐲㐰㐸㙡㠹挸扥㥥ぢ㤸㕣㉣㔴〶㔹㥣愱晡㠲搵戵㐹㈲っ戵㤷㌰捣㔴扢㠱㑥〶㜵っ捡ㅡ㜵㥡挸扥㘲愱ㅡ挵㜹〷㉥搴ㄹㅡ摥㐳挳㕤㐵㜹〶㘵て搶㘸戳㈰挸㍦㑣㤸ㅥ扤换㐴㍡㕦〶㔷〰㝣搳收㠸愴㘳ㄹ㤸㕢㉣挴㘶ㅡ㐴㘷㘰㝣㌱戴㠰㈱ㄴ㥡㑣㘸㡢㕥㡦㉣㘸㉤㘴㕤愳㐶㍡挶戰㌷㙣慢㤶搱㥦戰敤㙣〷扥〲㤵捣㈱愵㝢晦㑣㜶ㅤ㐳昴扣㙡摡扣㝡㈶户㙥〷敢散㐷㙤㘳挷摦㑡㝦晦㙢㝦㜴收摥摤㙦㕣㝥敦戹㕦慣戰摢㙤㐶晦㥦愸㌲ㅤ㠵ㄴ㥣攷愵㐱愸扢攵〵㌳摡晦㕣㥣愴攷㕦ぢ㈷㡥㔱愱慡〸㉣㠹换ㄷ㜶㈶慢㤳昹攰晤捡㍢愴昵晦㈰〷摥搰㥢戸㥥愵ㄱ敤换㐴ㄸ敥㐶昸㌱㙣慤挱扡ㅡ散挹㙥㙤㘷挱ㅦ戶ㄹ晤㝦㥥㘳戸㍣ㄸ㡦扤㑤㌳愰戱搸攴ㄵㅡ㔱戰㔳㝦㠶㐴㐱㍦〵㘳昵㍤㠵㠶㠷㤱て换摦晢改愵㑦㑦㝤㘵㠲扤㐲ㅤ㉣敦っっ晦ㄷ㌲㘳㈳捥</t>
  </si>
  <si>
    <t>㜸〱敤㝣㝢㥣㕣㔵㤵㙥敤敡慥搳㝤㉡摤改ち〹攱つ㡤㈴㐲㐸㘸敢搵㉦㈱昶㌳㡦㠶扣㍢㍣昴愲㥤㔳㔵攷愴㡢搴㈳㔴㔵㈷㘹㠶ぢ捣挸㥤换㈰愰㌰愲挲㜵ㄴ㔰㔱㜱㐴昴㉡㠲㡦戹㄰ㄵ㐱攰㠷挸攸㠸㌲㕣㐴㐴昸㠹ち㍥㔰㐷㤸摣敦㕢攷㥣敡㔳愷慡㍢て昱㜷昳挷㥣㜴㔶敦扤昶摡㡦昳敤搷㕡㙢敦搳〱ㄵ〸〴昶攱攱㙦㍥捤っㅣ㍦㍥㕤慥㤸昹慥㤱㘲㉥㘷愶㉢搹㘲愱摣㌵㔴㉡ㄹ搳敢戲攵㑡ㄳ〴戴㠹㉣搲换愱㠹㜲昶ㄲ戳㜵㘲㤷㔹㉡㐳㈸ㄴ〸戴戶敡㐱愴户㍡晦㈳㙥㐴㘷㉥扤㤹〴㔲〱㕤㈳㘹㈱愱愸慥㤳㠴㐱摡收㠱㙣ㅤㄹ摥㤸扡〸ㄵ㡦㔷㡡㈵㜳㐵攷㜹㜶昱㉢㘳戱慥㔸㔷戲㌷搶搳ㄵ㕤搱㌹㌲㤵慢㑣㤵捣㤵〵㜳慡㔲㌲㜲㉢㍡㌷㑤愵㜲搹昴㌹收昴搶攲づ戳戰搲㑣㐵ㄳ㈹㈳搹ㄷ㑢㜶㜷㕢晤晤㝤㙤㙤㈸㜹挳挸昰愶㤲㘹㤵摦愸㌲摢㔹收挶㤱攱慥つ㘶攵㡤㉡㜳㍥捡㐴㤱愳挵扣㤱㉤扣㐱㠵㠶〸㝦昷愸㤹捥戲㥦㑣戳㤴㉤㙣敦㐲戳㙢㠰㐶慣户㙢愸㕣㥥捡敦㘴㤷㡦㤸戹摣ㄶ搳㤲晥挹㡦㤶㉢㥢㡣㔲扥摣㤶㈷㝥㘶挹㉣愴捤昲晣晣慡㍤㘹㌳攷〸㤶㕢昳攷ㄹ愵つ㐶摥㙣㘶愰㈳㙦昷攱㔸挶㉣㔴戲㤵改昶晣戹㘵㜳㡢㔱搸㙥㔲㈴㤴㕦㌳㤵捤愸收㘶晣〴㥡㑥㙤搴㌲改㈸戴㈷㍦㌲㘹㤴㉡ㄲ㘳ㄷ挶ㅡ挹㝡㠶㡢扣㐵㑤扢㌸愴㍡㝤戹搸㘷攳搹晣㌹㘶愹㘰收㔸〹㝢㜲戹㑦㐸〰戲晢愱㡡㤴晢㍡散㈵㌵捦㤹㈷㝣ㄷ搶愲㜵㠰扣㙤㕤㜱晢㠶㘲㈹㡦㌱戹挶㉣慥㌷㡤挲捡㙥㡣摣晥㐴㕦㑦㙦㉣ㄱ敢㠹昶挴晢攲㑣ㅡ慦㘴㐶捤㕤㉢㌱愸㘳㉢搶ㄵ搳〶㐱㕦ㄹ搵㈳㈸㐳㕦挰搲㡥〰㜹昳捥㔲㌶㙦㤴愶㍢捤㠲㔹摡㍥摤㤹挶㕣㜴㍡愸㜳敦㤷㍢昳挵捣㔴捥散㑣敡ぢ㤹㙢ㄱ㠸㙡晥〵愶戳扦㘵挱〹㈳㌸㤱ち㑥愴㠳ㄳ㤹攰㠴ㄹ㥣戰㠲ㄳ摢㠳ㄳ㤳挱㠹㙣㜰攲愲攰挴づ攴㜴㥦搶㤶㤶愰昳昴晥挷㘵捦㕦搳ㅢ㕢昵㡦户㝦㝤昳㡦㌶摤㍢慣㌸㠳㘵〱㔸㡣挰ㄹつ摥戴昶挵扡扤㉦㜶ㄴ戲攸㐷㠳㘸挷㠰㉣捡㘵㉤戳㤲捤㥢㌵慦㜱㉣㘵㡥〳㔱敡㌹扣〶㕦攵㈳晦㤱ㅤ㝦摢攰搰摡㡦㕡搷㕤昰㡦㥦ㅤ㝥㔵㜱〱㤱㌶㥣㠰挰昱づ搴㠲㜳慣㌷ㅡ㕤攱挰摡摤搷搵慦㥦挸攲㑥〲搱㍡㐱ㄶ㡦ㄵ捡挵㥣攰㕣㔳改挹㤴㝡ㄳ㠸㔲晦敥㔴晡搰㐳㥦晢收㜵攷扣㌴晣昱挴搳㤷扦ㄸ㉥敥㔶㕣戰愴搲㈵〸㌴攸攲㜸㝦㔷慣㈷ㄱ敦敦㑢昴愰ㄱ晤戱㘴㕦㉤ㄲ㌵㕤扣㤴ㄵ扥ㄹ㐴㍢ㄵ愴㘳㘴㘳扣愶㍤愷㌱㜹ㄹ㠸㔲㍦㜰摡昳㤹㤳㝦㝣散戶挲㕤ㅢ摥㝦昷收㡥㐵挹挹㈷ㄴ搷㑥㘹捦㜲〴攲昵ㅤㄱ敤㡡昵挶㙢摢㄰慤改㡤ㄵ慣攴っ㄰慤ぢ攴〴㘷㈰㤹㤶㤵㑤㘷㌱扢愷㙢㕡昴ㄶち㐷㐱㤴㝡捣㘹搱户㕥晥搰愲㍢㜶㙥㔹昳昷ぢ㝥㜴昵㡢摦ㅡ㕡ㅥ攲㐲㤱㘸㌴㠳晣㤳㜳㌵ㄶ昵戴㔱慥㌸敢〶摦攴㡤㕤㔶昶扦慡慣㉥愵晦晡慢ち㉡㜹㐳㔶ㄵ㍤㑥昴ㄳ㈰㕡ㄲ愴㜹搵愶攱慤㝡㌷㜹㍤㈰㑡㍤攴昴㐸㝥搹挳㡦摥晦㕤㙤昰敥㙢㤷㝤摡㝡昰挷㘳㡡扢慡㡣㤱㍥〴愲㡤挶㐸㙦㜷捤㈸㡤㈷扣昳戵㥦㔵扣ㄵ㐴㍢ㄳ攴㠴㥤㘶挹攲戲㠶㤵扦戳挴㐹㔴㌳㐲捥愲昰㑡㄰愵昶㍡敤搹㜵昴㠳慦㌵敦つ慦扥攷戱㙢攷㜷晤昱㘷㜷㉢㙥昰戲㥤っ㔰㜸㄰㐴ㅢ〲㔹戸㘶敤㥡㑥㌳㥦㉤㜳㙦敡戴㡣㌴㜶㝤㝤㤸㈲㈳㈰㑡㝤捤㈹㙦晥愷敥晤摥摡慦㝥㙣晤晢㡦扤㝡戸攷慡愷㠶摢㔶㈱㜹戳戳〴㡦㤶㡣摤搸搴㘶昶换㜸㔷㤴晦昶慦㈸㐰㑦戰扡慤㕥㉢ㄶ换㜴㐷㡤㠴ㄱ攲〲㝣愰㍢ㄲ㘵摢慣昳戳㠵㑣㜱户㙣㔱挷てㅢ㘵㜳㘶㙣㉤㜷搲㠶㡢㔳㠵㑣昹戸挶㠹攳ㄵ愳㘲ㅥ敢㑦㥢㈹愴㉥摢㌸㌶㜰戳㉣昵㥤攸捦㜶㥥㤱㥢㌲㠷昶㘴敤攴ㄳ㝣挹搸扥㡢愹搹㔳㔷㤷捣㡢慢愹㜵㉤ㅡ㠲㉡戸㑢捡慥㝢㑢㍢挹㙥㔷攷挸㘴戱㙣ㄶ愴㜹换昳㥢戲改ㅤ㘶㘹摣愴㈲㘹㘶攴㔵㡦㘴㤲愳㐳㉣摦㔸挰㡢㐲㉢挸扣挹换戵㔶敤愹㤸㠵㡣㤹㐱㝢㌱昰㉡搳㕢㡤㔴捥㕣㕣㈳㘲搷㠹㠴㘳㙡搸慢㡢改愹昲㐸戱㔰㈹ㄵ㜳戵㈹㐳㤹㕤ㅣ扤㤹昵挵㡣〹戵愳㤹㑦㐰〵㥡㥡㤴ち㥣摥㘸攵㘲戹攵㉥改〸㑦ㄷ㔳ぢ㌹扡㜶搸㜵㙤挱摢攱㉤㜲㈶挷㘴㜰挹㝥ち㤳㜲㔹捣戲搹〵㍤敦㐴慤㥢搲愷捤㉥㉤㙤慣昶摣㕦㔷㌸ㄸ㕣攸扣晤慡㕤搰敤搶ㅡ㠵㑣捥㉣捤㘹㌳㈸戶㐸㕦つㄲ扡ㄷ戳㜹㔶昴愸㕥愸㍤㙡㍡戴㍢㥢愹㑣㙡㤳㘶㜶晢㘴〵㍣搸ㄵ慤慤㠴戶敥搱搷㠲愵㡦㤱㥣つㄲづ〷戴㜳㈸愴㠵昵㜵㜶㍣㐴㕤敡攰戵㐶㕡㉥扡㘸愹㌰㈹捡愱㍣㜶慤㜲㔳㔳愳户㕣㙢㤴㈷㉢ㅣ㥥㜳㈶捥㘳㜹敢㐹㌶㠰㠴愸慦敤㔷㈹愵㍡搹㑣摤扢㍤㍦㙡㕡〶㉣ㅥ㤹摤捡〸攵㙤㈵㝡搴㉣愷㜵㙡摢㘳㤸㉢㝢㌴㠴㌰昹摢昲ㅣ晤收㥥捡愸㔱㌱㕡昲搰摢搱㑢㍡㠴㤶㑢㉥㍢挴㥣敤挲㜳㜳㠷㥤ㄸ㑡㠸㐸搰㔳捡㍣㘱搸㈵㘱攲㘰扥〴㥡ㅣ㍡昷㑢戰敤㜸〹捤㍦搰㙢昵㙦㤸〵㤹㌵㘶㘱敢昴㑥戳㑣昱㔶㙤㑥㈸晤搳㡢㠵㙤㑣愷捥慤㘴㜳攵㉥戴㜴㑤愹㌸戵昳㡤㉣㠷㘵改ㅢ㐱摣㈷㜴ㄷ㐶昱㠱扦ㄳ㙤敡㤶㕤散㥢㠹㠹㐰㉢㑢㈳㐷愷㝥慦㜳戴愲戰㝤昸㈵㡦㍥㡥㕦攱戹搲㐲㔴昳て挶㔶〹㐱扥㉤て㠴戶㤶㑣戱扥㕡㈵〲戴摢昳攷ㄷ㑢㍢㔲挵攲づ㡥愷昹ㄲ㉢㑦㥡㘶㐵㉣ㅡ挷㠲ㄳ㑢㑤愹愶愶ㅡ愳挲㘳晡搰ㄶ搲捥〷㘹ㅦ捡攵㍡摤ㄲ换摡〵㘰㌵挱戶搲摥捥㌴慣扡㌰㔵㈶㝡扡昶攴捡㝢搴敤㜸㘵㙡昷捦㍥昵㡤换㕥晣挳〷捥晥搸昵㙦㙤捡晥攱昹㤰晡㠴㤳㔰㘷㝡搰㝣㄰摢攸㐲〴搴挷㈰挶愵〴攱摡㐷㝦ㄷ攲晡〴挹㌶㄰㉣〸〲㌱搶㠳㤴ㅤ㔵㌴㐱戸㈶攸㘹㤲っ㠸愲搹㈱ㄶ㤴㠹㠰晢愸㥢㔱㍥㍢㕡㍡㡢㌶㑢㝤㘷㘵挱つ敢㜳愴㈹ㅡ㌳散㌰㥤〰改㠴㐴㈷ㅣ敡㝤㈸戸㈱〰敦㜵ㄲ敡散ㅥㅡ㌳〲㐰㠹昹慦㠵㔸㘳〰戸㘰敡㔳㈴扢㐰㍣〰散戱愳敡㈴晣ㄶ〰愶㈹㜴〹㠸㍡ㄹ㐴〰昸ㅢ〴摣㐷㕤㠹㍡慡〰㜴㠲㕤て挰攵攰㠶昵㌹搲ㄴつ慢㐶〰㕣㌲ㅢ〰搳㑥㐲㥤つ戶ㄴ㈵〹〰㔷㈱愰㜶捦ち挰搵㐸搶摦㐳㜲つ㠸〷㠰敢散愸愲改㈵〰扣㤷㐲敦〳㔱愷㠱〸〰搷㈳攰㍥慡攰〵㠰戶㕡㍤〰㌷㠲ㅢ搶攷㐸㔳戴攴ㅡ〱㤰㤹つ㠰戴㤳㔰㘷昴慤㐰㐹〲挰㐷㄰㔰挶慣〰摣㠲㘴晤㔶㤲摢㐰㍣〰㝣摣㡥慡㌳昰㕢〰昸〴㠵㙥〷㔱㌴昱〴㠰㑦㈲攰㍥敡〲㉦〰㌴ㄴ敢〱昸っ戸㘱㝤㡥㌴ㄵ㠵㐴㈳〰㌶捣〶挰㝡㈷愱捥挶愴㈵㌴㠷㙡㕥㘳搶戱挶ㅡ搵扣捤㕡㥤捤㔵捣㤲㘸㕦ㅤㄶ㝥搹敥㌰㠹户㔳攳㉣挱昶㤰搸㈲㙢〴㑡㈷晣㙦㤵改ㄹ㌵扣㑥改戵㜵挲晦㔲敤て㍢搵㕥ㄴ晢ㅡ昵㝥づ搵ㄹ㠳挶愷摣捦㉤散ㄹ㐴搴㙡ㅢ㙥挴㌲㠸扡㔰㜲敤㈰愳扣㕦㙢㄰㈷㘳㔵摥㍢〸㈹ㅤ㥤㕤攵攷㘰慦ㅦ愴捣㌴慢㝡扤ち㠹晦㘵㥣昸て㌴㙣攳攴㡢挰㐶晦ㄲ挹摤㈴㕦㈶戹〷㐴慤㜱㤶搹㤳㕥摦户敦㍥愸〲摦㠴㘵昰㥣愸〴㕦愱捣㔷㐹扥〶攲㔹㘶晦〵㔱敤晦㤰㈷慢㐷㈷ㄵ摢戰㔲〹㜰㘴搵扤て〱晤㝥㤰戶扤㈰ㅢ搶㥡㌹搸戸㙦搴愱㐴㠸慥愱戹戵㜲っㅤ敡㥥㡢昳攳搳㠵昴㘴愹㔸挰㈹づ㡤㠵愱㌴扣晡㘵㘵㘸昹㜵挵㤱愹㡡㤶㕦㥢挵慦戶晣ㄶ㜳愷㘹㔴㐶攰挳㠰㈵戲づ慥㍢戱㌳挶㌲㝢晥㝦摡㈱〱ㅡ㡢㜰て捤㤸㈲捡㍦㜱㙤㡢挰㠱户㙢戴㠸ㄳ㈲㔳捥戱〸扢愶挱愶㍣っつ㡤㠰晥つ戴敥愳慦摣㜱收搲㝦晡摣㍥攷昷攵ㄸ㠴昲攸㐹㈴搶㙦挲て㠰ㅢ㥥㉢㑤搱㔷㔸摤㠴戵㠷ㄱ㙢挲㌰戰㜵搱〴㡡㙥愸㡢挶㥤㠴㍡搷㘲㍦昲㡢㈶昲ㄸ〲㉡ち戱挶扡攸攳㐸搶扦㐷昲〴㠸㘷㡡㝣摦㡥㉡晡ㄷ㘵㑥晣㠰㐲晦〶愲攸㑡ㄴ㑤攴㠷〸戸㡦㍡ㄵ㜵㔴㜵㔱㍡㈴敢㐱㜸ち摣戰㍥㐷㥡愲㠳戲ち㠲㐷ㄹ㍦㘱㌶〰㡥㜷ㄲ敡㝣㤹〳㈸㠹摡㠸晥㌳㤲攷㐹㝥㑥昲〲挹㡢㈰㙡戱〳捡㙢慦敤摢昷㥦㘰捣慣ㅢ扦愰捣㑢㈴扦〴昱㠰昲㙢昲㘴摤㔰㙡㄰㘱〱收ㄵ㌲㝦〳愲㠶㐱㌸戹〳晡㙦㐱㘶ㅤ㈱㐳㤴㌸〷〴つ搸㠷㕦昲攸慦攲㔷㔸㥦㈳㑤搱摢㍡〳づ㐷㠸㍤㍡㥡ㅣっ敡㑣戵愰㤳攰㜷捣㠶㔶㈳敦㐱㌸搴收戱㉡敢扣慣戹㥢ぢ攵㝣ぢ〷㠵㈳㔳攵㑡㔱摣ㄵ敤搶㘸㜱㐳戱㌲㥡㉤敦捣ㄹ搳ぢ㉤㈷㜰晥愴㔹㠰㌳戱〴㥦愲㡦㔷摣戹搳捣攸搶㜸㜱慡㤴㌶挷㐶て〷㘷㈳摥て摤㈷㝥挶愰挲㜳㘸晥㌳慣㜵ち愳〵㑦㈰戴ㄶ〵晡摤㈰ㅥ㑤㘲㐶㘹攵㈴敤㤸㐱㜴㙢戶㤲㌳攷㔹㤲㉥攱㔶ぢ㈸挲㐳㥢㘹戱戶㑥挲㍤㌰摡㙥慤㈹㘵㌳戹㙣挱㘴㘷㐰ㄱ收改敢㍡㜳㍢扣戱㥢㡡攵㉣て㈹摢慤慤㈵愳㔰摥㐹挷㔲㝡晡㠸㥡㤸散っ㈱㙢㌸㕢㈸愳ㅡ改㐵㠶㍢慣昱挹攲㙥摣㈷㤸捡ㄷ搶ㄸ㍢换㠷㐵慦㘰敢㜰ㅥ改ㅡㄵ㔴挱愰㙡つ戶ㅥ㙡晦㘸㥣㙤㡢㜱捥㔲㤰攳摦㑥っ搵㑡㈹㥢㥡㈲㘶㔲ㄱㄷ㡣㘶ㄲ改挶㐰㠸㙥换㌹昴㐱㙡㠵㡥㥢㥣㉥㘰㌶户收愰慣愱㌷戲㝡㑦㠳㥡愰㑥㐷㔳ㅢ昷挸戳搷㥣㍢㌶㜳㌸昲ㄷ摤愴〸搱搱敡摦㙡晤㠳慦敡㡢㍥ㄲ挲昳敤㔱㐴ㅥ〷ㄵ㈶㈷〶〳㘳晥㤱ㄹ戶㐴㠶㠳㜴晥㑣㜰㌵摣㤹㙤搶㍡㈳㘵收攰㠵捤ㅢ㤵昹㜶㠴扡㌱㡥搹换㑥摡㐸㌱㥦㌷㌸敡㌸㘲挷搳㐶捥㙣戵㠶愶㉡挵昵搹㠲㙥㠱挸搰㜴㔸挶ㅥ戰㡣㍤挲㙡戳戶昰㜴㐶挲㉣慢戸摤㈸㘵㉢㤳昹㙣扡㤵ㄱ㥥愰ㅣㄶ挳ㄵ㑢㠸愸㍣〰㤴㡦扢㥣昸㔵㍤㕢改㐱㜷㜷挱慣㈱㜴散㝥っ敡愰搲昰㑦ㅤ愲昳ㅥ㡢㡦散㈹㝡ㄳ㑡ぢ㐱〵㤶搵㐸ㅡ昲戲㝢㜹攸攵换㤱㈶敢㤳㕡㐷〱晣搷㜹㥦㠸〱晥㙦㕥て㌲愷㘷户〵〲攱㜵㐵㈳戳ㅡ㤶㜸戱搴攲摣晣㘹㐵搷㜲戵㈹㐵攸㙢ㅦ挱昱つ㡥㠵㜶㘵㌳㘶愹㤵㡣㜱愸慦捤昴搲㙢㜶ㅦㄲ㥢㐰㈸㌴慦戵㔱㕤㘳㙥㔹㑢ㅣて愶昷㤲搳㔸㕤昹㉦㙤敥ㅢ攰摢㠶挳㑤愰㝡〸敦愱㙢㝣愷つ㠸昲㝤㝣〲㉤ㄴ㘸〵〹㙤㐴愲扦㙦㙡摤摥㜰㡥敢㄰㙡㤶㍢㌳㜴挸户挲㜹㉤㥥晣㤰扣挸㍣㡦〷㕥戳㥤敦慤敥㐵ㅣ㙤ㅣ愳摣捣㠴敤㈵㤶捡扢㜴㜳戰ㄹ㕤慤昹㕤㈴㜵搵愲戰晣戸㈹慥㜹搵㡥㈶㘸㍡㕡摣挵挹㠲昲㈷づ昰捡㠹㕦挵〸㠷昵㜹㈸㈶㄰㔶攳愰㉥㌶摣㠰挲㘱㜶慣摥㐶㙣摡㐱ㄴ㕤戸㔴ㄲ㍣㕢㥡㝡ㄷ愲摣搶〲摡㝣㠸ㅣ挴㌲慡㈶㤰㠹㑢愹摥挱戲户㈱挴ㄵ慡㍡㘲ㄷ㠰扢晦ㄱ㥢㘲づ晣搷㡦㘰㈱㑥㐴愵ㄱ㜰摦挴㌳っㄶ㐲㐰㕦㐴㐱扡㡦ㅢ〸ㅣ㐹㠱挵ㄴ㌰㈱挰愱愰ㅤ㠵搸昱㉥挴つ㉦扦㌴〰昴ㄸ㘴〲愰㔹㑦㉤ㅥ㐰㡦㘵㉤挷戱㤶ㄲ〴晣㠰㔶挰戳〱㍤ㅥ㈲ぢ敤㡢㌲晢摤㤴搴ㄴ戲〹㥡㈷戰攰㕤㠸搵愰㜹ㄲ戸晢㐷㤳慥㘶〸〶昴㑥ㄶ攲㐴ㄴ晤捤つ挰㍡ㄹ〲晡㥢㈸㐸㕦㜴〳㠱㔳㈸戰㠴〲㜴㑦ぢ㥡㑢ㄱ㍢搱㐵㜳㤶㝢㍤つ昰㍣ㄵ搹㠰攷攵㥥㝡㍡挸戱〷攸㘹慣㘷ㄹ敢戹ち㑣㍦㥥㜴㉢摢㜸㥥づ㤱㠳ㄹ愰敦㐱㑥㠱㜴㌹换扥〶戱ㅡ㐸捦〰㜷晦㤰㕥㠷㙣㄰っ攸㕤㉣挴㠹愸昷㈲搰〰戱户㐰㐰㡦㔲昰㝤㡤〵㘲ㄴ㠸㔳攰㝡〸〸愴〹挴㡥㜲㈱昵摦㐹㙡㠰㘵㌷攴㠱攵㡤㥥ち㍣㘳戳㠷ㄵ昴戲〲㍡慢晤㔸摥〲㥥㡤㘵ㅦ㐴づ〶换㕢㤱㔳戰散㘷搹户㈱㔶㠳攵㤹攰敥ㅦ㑢晡挱㈱ㄸ搰捦㘲㈱㑥㐴搱ㄹ摥〰换㤵㄰搰摦㐶挱摢ㅢぢっ㔰㘰㤰〲昴㥤ぢ㤶㐳㠸㉤㜵戱㥣晢㙥㔵〳㘴㐷㤰ㅢ挸㝥挶㔳㥤㘷㤴㡥戲扡㔵㈰愱㉦㐲㘰づ㐵っ昶扤挷戳㌹ㅦ挲㥡㜵㙥㈱㕢㠱㡥挴愶慤捥㔶戰摡户㔹㈰〸㡡ぢ昲㔸搱㥤㍣㤹㤶㔷捤戲㤳敡㤳㙡散戴ㄳ敢搳扤㠶摢㤲〶挹戶㐹攷戱攴昶㈷㈴愶㕤㠳㌶ㅥ㑥戶㥥戲晤㔲㡥戹愷㤶捥敥挰昵攰㑥㕤晤㉦戰っ戵搵ㄸつ捤搳愶㔱ち攸㙢㌸㜶ㄴ晥㘱㍢㕥㡢㌰慤挵㉦敤㜷㥣㜸㥣摡昳㈰ㅣ愶挵㘸昳摡㥤㔳ㄳ慣戱㔰戸挲㑥っ敡昴㝣㈷戸㜱慡㔲㤳㘲散㔹攸愴攰㌴㜸㘳〱㐶㔰摡㈸㘵づㄳつㅡ敦㘶摢㝡愲っㅦ愲ㅤ㡥㐲昸㜸昴㕥㜸㔶挶ㅣ慣敦㐶捡挱㥣〹㜰㘲户ㄳ敥敡㔱㐱㉢㘳扣捦㉡扤㘰㕦㘷ㄵ愷挸㈶ㄳㅥつ㕣愶捥㤹ぢ㈵㐳㌵㉡摡愲㙥つ愵㜰扤㜵慡㐲搳挹〹挹㙣搷慤㉤㈶㙦扤敥㌲㘱改㌸愱㑤改ち㑥挰慡〵昰㕡搶攱搳㐳㐰愴搹改㈵㈵晤愴捤戱挸搵扥〴㈷搲㈱昶㉡晡捦㤲攷㔷〳敡收㥢昸㝣㝡㈰攰〶ㅣ户ぢ㑦〵收㌰搸戱攰㝡て㜰㌸㤳ㄶ扡攷㡡昶㌲㈷㉢㔸㥢换愳㔵摦㑥〷㑣愹㠲扢㡢扣て摢挱愹㤳㠳搹㔳挹挲㠰捤㑤捦户挶ち改摣㔴挶ㄴ敢搷㕤戸挵〸㍥㉣晡㡢收㥤㌳愳收挰挵〱㘵っ摦㡣戸㜷搹づ摤ぢ愶㥦㡤㍡挵ㄶ㐵ㄹ戸攵攵捣㍢㥥搵ㅣ昴㘹㔹ㄸ㤹㡥㤸㌹敢㤵捦ㄳ戰戴搵戱戸愶昱摣愳㝡攰㈶㌳捥㈳戶慥㠸ㅢ晣昰愲㜹㔸㙢戳㌶敢戰攸㈷扣愷摤㑤㥡〶ㅦ挰愱捤㤰㠱㘵㌷摥晢晡㤳㕦ㅦ戸慡晦挶ㅦ㕦愴㍦㌱攰捥ㄶ敥㌱搸㘵ㄴ㡦挳㐴愷㤳㜳〸搱慢攸敢ち捥㌸扣ㄴて换㐴㜹摢㠰㕥㔳㍣㌵戳㤵㌷摣つ㘴愷㙥〲搹扦昲挶搳㌵〸〶昴捤㉣挴㠹愸晢㄰㜰㤵㌷〴搱㈶㌱搸户㐰㐰ㅦ愷攰晤㡤〵戶㔲攰㕣㤰搰㌷㈰攰㕦㘸㘶㍤㐱㘲攱愱㍣敤敥搶㍣晤て㤸愶ㅡ敥摤攱㠴っ愶慥㌶慦㜵㉦搲昵昳㔰散愳㡦㍣挲㔳㠷㠰㝡〰挴㙤愰散戱戶捤㜱㍥敢扦〰㐴㍤〶〱扦㥥晣㌸㜸戶㥥晣㜶㠸ㅣ㡣㥥晣㍤攴ㄴ愸摦挱戲㜹晡㔲愳㈷㕦〸敥晥愱晥㍥戲㐱㌰愰扦㤳㠵㌸ㄱ挵愳ㅡ昷㑤㍣㐶昱扢㈰愰㑦㔰㤰挷㌸つ〴戶㔱挰愰〰㑦㜶㐴㑦㑥㈱㔶搵㤳㜱〸㍡挷つ昳㜳㤰挷㝢愲〱晤㈶㠳摣搰㤳㜹敥攳㔶攷搱㤳㑤㔶㘷戱㍡㥥搱㔰㔷搶戶㈳搶戶扤ㄳ挶捤ㄹ收挵㙦搹㜱晥㘴㐰㥦㘴ㄹ㡥扥㤴㐵㤸㈳昹㜹戰愸㌳戹㑦敤㑥㝦㤱㈳昵㜳㈴㜳户㈷㌰敥㕣㤸㙤攷㔰㉦㐰㡥扢㐷㐰摦〱昱㤹攵㉢敦ㄴ昶㈲㤲戸㠴㡤㍥昵挹㐵扦晢昷慥挱㈳㍡扦晡搰㠷扦扢㝡搰㉤搸㥤㘴扦㠰㡣㍤挹㠶㄰㤲扡晤㤳散㈵戰愵攷㡢㈸㕢晤ㄲ㌱㜷㤲昱昵昵㡢㐱昶摦昳扦戶换づ攸㈵ㄶ攲㐴ㄴ捦愲㕣愴ㄱ㜴㈷㔹㤹攵搲㍦慤㝥搳㔸㘰㡡〲扢㈸挰㤳㉢㑥㌴㝤㌷㘲搵戹昱慡㈷㥢㘷㙥散㘱戶㘹㘶㘳ㄳ昰㠳摢㙡㑥㐰收ㅦ㝤㤱㝥ㄷ㕢㥤晢㤳㍥㔳愸慤㜰㠴㡥㔷愶㜳㜰㍥㌳㐸㤷㥢ㅤ攲攴戵㤳攱〸㉣㤶戰愱㌵晢敦㑦㔴昳慥㐲㔱昳ㄶ昹慥㝥㑢㌶愶搰〱ㄷ晡ㅦ晦㔹㝦扤戹㥡㥦㙦㌰㜳て㤴㜹昸㘸㤷㠲扦㘸㝤㌶㕤㉡㤶㡢㔶愵㜳ㅣ㘷㉢㥤扣㑡㙦㘱㐷ㅢち扤ㅢ㈵㌶慣㤳㉦搶㕣攰挷㜴扢㜸戵㌴扣愳㔰摣㕤㤰搶㠴捡晣愲㠰戵改㉤㉤慣㠶晢㥣㍣愷〰挵〸㌷㙤㘶搶㉦㐳愰扤㈹ㄲ挲㉦捥㘳㡤晥摢愵㈳挳㈳㕢㈶㤲扤㜱慢㈷摡摢㥦㡣昷昷㈶㡤㔴慦ㄱ㑤㥡愹㥥敥㜴㉡㘵挵㔲㜱挳搴慥愸㡡昶㐵ㄳ㐶㙦㉣㤹改㑦㔹昱㘴㝦㜷挶㐸㜶愷攳㠹敥㤸㤵㌱捤㐴㕦挲㡡搰㕤捡攲昵扦㐵㐰晦㍢㤰㐸㡢换㝡㌷㔹㔷㤲㐵㥦愹㐸㔱㐰㐴㐳昴㈶ㅥ愸㉢㤳敦愳㔲㉡慤㌲捡㙣㙥㘹愹戳扢敡㕣愰㍣㠸㤰换挶㥡搶㡥扣愱㘹挰散㌷搶ㅡ㘷㐲慢㍣扤挸捣〲收㔵㙣昷㍦㠰㠴㈳㜴㜴㤲愷㕤㡤挰ㄱ㈳挳ㄳ戸〴敢㕥㡢攵挸搳摥〳㝥ㅢ昸愲㐶㙣挱㐷〶摡㌵攰捣〷挷㜳收愳㕤ぢ摥〲昰㙡㍦愴㡣搰㠳㉡㌵昲ㅥ愹㝣㈹㘸㝦㌳㜸㍤昸㑡㕣愰攴摦挰ㄸ〲㥣㈸㙡〱㐲㥣㉣㉡㡦户攴㄰〵㌳愰㜳摣㜱㠸愹ㅤ攰㜰㤸搵づ㤳㈳㤰㉣昵㝣〰〱っㄳ㍡㍤㘵㤸㝣㄰〱㝢㤸愴㘲摤㝤㠹㐴㉣㘵㈶㘲㐹昴扤搵㠷㙦摦㌲㘶㈲㥤㠹㈷㘳㐶㜷㙦扦昶愱慡㘸搲㡡昷㐷ㄳ㤹摥㝥㉢搳㥤㡣㘶慣㔴㕦捣㑣昶挷愳㜱换㑡昵愴㔲戱〸摤愹㌲〰㙥㐲㐰扦ㄹ㈴㐲㉦慡戰晥ㄷ㔹ㅦ㈶㙢戱换愲㠰㑥㔱㜵っ〸㠷㡡㌲昰ち散㐶㘹昴㉤㑣扦ㄵ㈴ㅣ㌹ㄶ㔴㜸散づ㥤搸敢㠴㕢㈷扥ㄱ扡㑦㘷搰㍣㥡戸ㅣ㐵昲㘹昰㤵戸㐰ㄹ扢㠳㌱〴〴㑤扡㐰〵捤㜳㔱㔹㍤㥡攳攰搶愳搹㠹㑣㔲捦㥤〸〰捤㤳昱㑢搰晣ㅣ〲㌶㥡摤㠹敥敥摥㥥㔴㑦搲㌲晢㤲㤹戴搵㥦㐸愴攲挹扥㜸搴㠸愷〱㕣㐶扢慢㉡ㅡ㑦ㅢ戱㘴慦㘱挴扢捤㈸收㙡摡㐸挶愳㍤戱㜴扣㉦㤵㌶扢㝢晢晡㈳㜴愷ち㜴㥦㐷㐰晦〲㐸攴ㄴ㤷昵扦挹晡㈲㔹㑢㕣㔶㔵㑡㥤ち㤶愰㌹收愰挹㔷搶敦㘱㤶㝢㐱挲㤱搳㐰㘷㐵㜳㤹㥢㈸㘳昳㈴㘶㍤㤱攴㝥昰搵㜲ㄲ挶昶㍡〱㐱昳っ㐴〴捤㤵つ搱㍣戳㈱㥡昴㠱㑡㈳ㅥ㐰〰㘸搲摦㈹㘸㝥ㅢ〱ㅢ捤㜴㌲ㄳ㑤㈷愲摤㘶㙦慦㤹散敢㑦昵㜵昷愷愲昸㈲㍣ㄳ㑢昶㘴愲㐹㐳㝢戰㉡摡摦搳㥦〰㙡改㘸捣㑡〳挸㐴㥦㠱敦㜴捤㘴㑦㜷㍣搳㥤㐸㜶挷㈳昴愴ち㥡て㈱愰㝦〷㈴ㄲ㜳㔹て㤳昵〸㔹㜱㤷㔵㤵㔲昴㤱ち㥡㌱〷㑤㘹昴㜷㤹攵㜱㤰㜰愴〷㜴㔶㌴改㍥㤵㐴㐱昳捤㠴㙥㈹挹㤳攰慢㝥ㄲ挶㝥攴〴〴㑤晡㍦〵捤愵つ搱㍣愵㈱㥡㘷㈱㤳搴昳㌴〲㐰㤳ㅥ㑦㐱昳晦㈲㘰愳搹㡦㌱㠸慦㕡晢㔳㠹敥㥥愴㘱挶晡㝢㌳㔶搴㑡昴㘰愰㈲摡摢愳㍤㔳ㄵ㡤㜷昷愶晢ㄳ㌱搳攸㡥挶㤳㐶㌲摤ㄷ㑦挵㌳挹㘴㌴㤹捡㘴挰㑥㐴攸㑢ㄵ㌴㝦㠲㠰晥㉣㐸㘴挰㘵晤㤴慣攷挸ㅡ㜴㔹㔵㈹㌵〲㤶愰㜹㡣ㄷ捤ㄷ㤸攵㐵㤰㜰㘴ㄴ㜴㔶㌴改㌲㥤㐱昳っ㐲户㠲攴ㄵ昰㐳㙢㐰晣换扦攷㑣摢攳慢㠳㝥ㅦ㠸㜸ㅣ愸戲㤱㉣戰㌶㑦ㄹ㌹㝣收扥ㄱ〶㝣㠵慣挳挱散㙢戶摤㈸晢摤㐳攵ㄵ晥摢㍢戹㤵昹㌱愸摤〲㥤㜷㤳㝤昳搰㡣挸㜰㘸㍥晡敥挰㙡㐱㤷昸㌶㕡づ昱戰晥㕢㈴㔰㑤㕦㡢摦㤴搱㝦㐷敡㍣㙡慣ㄱ㌷㜴㌶戸〷敥愱㘰㜹ぢ㘷づ㠶㜹〵㘰㜹づ捥㥡〳戸㜱昱㝢㔶扦慥㔱ㅢ㤴ㄸ扤㈸㔹晦㠳㤳摣㡡㠸愲搱㉢㌳戶搵㌳㘳戵㍦㠱㍢慢㑥愸戴㠶搳㜸㌳昲挸〰晦㌳〲㤸挶㕢昰㡢㑦㘴摣つ㙣㜵〳攷㍡㠱㡥昳㄰攰戶慦㠹攴ㅢ㐸㈲攷愳㘴搹㍢㘴慦㝤て㘲昶㠶㑢㕢㔷昸戴㕢攴戳㘶㕤㘱㌵㔰敦〰ㅦ㍦〱㍤挸ㄸ〲戲㥥㕤㐸㘹愶扣㡥敢户昵㝢敤㥦挱慤摦㙢㘹慤ち㄰ㅡ㡡〲㄰戴㑣戹攰㘸㉤愰昶㝡㠶㙤愰〷㍡㐸㍣摥摤ㄳ㠵ㅡ㘲昶挵戱㌳㜴ㅢ㐶愲㉦搵㥢㠹昶㈴戴搶慡愸ㄵ捤挴扡㤳戱㐴摡挴㙡搶㥢㡡ㄹ挸㤸捥昴㔹㐶摣敡㑢㔹扤㘶㘴挲㈹㕥攷摦㍥搱挳㈰㤱㙤㉥㙢ㅥ㔹㙤㘴ㄹ㉥㡢〲㈲ち㕤搵㔹捦㕥挱㙢㔴㌵ㄷ晥搱ㄴ㝤〱㐸㌸㐲ㅤ㝥搶昵㡣愶敤捣㝡挶㡢㤴㝡㍦挹㌱挸慡㈶㤱挸㌵㉤慣㥥㐷搹㥣㜳昶摣㌹㡥攵㘲敥㘴㤱㠶ㅦ摦摣戹愸㈱㜷〷戸㥣㍦晡〹㉣㌹摦㔰㐶㙣㑤㤶㜷ㄲ㘵㄰㤰戱㝤㌱㐲搲㝢捦㜸㝢㡦㘳㕢昴捥愷ㅢ昶㕥〹挹昲㕥愷愰㈸昴㕥㔹挴㠱㘰挵つ㑣戹㠱㕤㑥愰㘳㌷〲㝦㥤㘱㑣ㅢ戴搱㌰㥥㜶昹〳㝣敢㐱㤲㘵㘸㙦攴ㄲ昰愵昵愷㑢敢㐳戴戱捥㥣晤㄰挸愳敦㉦㠷㥢戴收㥢攷㔵昸㠶㜹ㅡ愵〴㥡㜰戹挵扥ㄲ搲ㅣ㝣敢愱㤵挵㈵㥥捥㜱晥て㝤ㅦ戸晦〵攵攰㡤㍣敢㌲㑢ㄴ㐵㙦〵㥡ㅡ晡㕢㈴㌶㜴挳晡晦ち㠴昷㑦戴㜰昱㌹㌲㍦㔶㠶㈵㠴㝢昰㕢㡢㐳搵扦ㄳ戳挰戵㤰㤶扢㥦攲㉥㥤攱戸愷ㅣ㙥戶㡤愵㙡㍥㝣摡ち㤳ㄸ〹换昹攱敥㤱㌳㌱捦㤵㥡攳㘶戸㌸摣㠲换摤捣戸㈵㤶㘱捣㌷〷㥢敡㉥㤴㡢㐶攰晣㐵ㄸ摥愱㘱㘹昸捣㝣㉣挳挳搵攳ㅡ㕣㈸ㅡ捥㔶攴㐲ㅥ㥤ㅡ㑡扦ㅣ攰㘸㕤㠴㘹攵㤲㔵㑢㝡㐳㡦愳ㅦ晣ㅥ挷㔹慢愸㐵㥤ㄵ摡㌳㍡㡡昲ㄴ㡤㘶㐲慦昴㉢㔸㐷摣慥㘳㘴㐹慦㝡ㄴ㜵戰ㅥ㜰戰㜵㈶㈹晣㙥㠸戸㉣㜵愵ㄳ㘱㘱ㅤ㔷㈱ㄲ㐲挰户ㅢ扣捣㌱捥㘷㔰㘸攰㜸攷㜷攷㘰挷㍦昸㜳昸慦㈵晦㙡㙦捦㈳捤晢㉥ㅦ晣挶敦㑦扢昰扤㝢㕦ㄹ㔰搷㈳挷捣㌵攳ぢ㔰愲㝤捤昸㐱㌴戲攱㈵昴㙦㍢〹晥㉦㐲㈳㌷愰㈴㤹㙡㙦挵㕢戵㌷愹て㈰捥改愶扥㠵ㅣㅣ攳㌲㉣捦攲㉢摦〴戶㡤捦〷ㄱ搲摥〶㥥昴㐱㡦扡ㅦ㜲〴挳〶㜳㤰挲㌷㔷㠵㘹扥㙡挳戶昰挸㤲ㅥ昵㜵㐷ㄸㅣ㠰㌹㑡㘱㥡愶㔵㌰㘹愲扡㠵㜵摣㠲挸挱㠱㜹慢㍦㠷ㅦ㑣ㅢ晥㐵㡥㔷昰㌷〳敡搳挸搱〸捣㝢搰搰㠶㘰㝥搹㐹昰㝦㕤ㅡ戹〳㈵〹㤸㘷攳慤〰㈶捤㔴〱昳㑢挸㔱〵㜳ㅤ㕦昹昳㐸戲挱愴敤慡㙤〰て㘰㡥㉣㠹慢捦搷攰戳㠹挲㕦愸ち搳㝡搵戶搸挲慢㈰晣㔹㐷搸㐶㝥㉢㠵㘹㤹㔶挱愴㠵㕡〵㤳〶攸〱㠰搹敡㡣捣挸㘰挷扤㙥㡥㜷慡㤳㙦ㄸち㍤㜳㜹㐳㌰摦㜷昳㘰㠲㑦㜹晤愰扡ㅦ㌹ㅡ㠱昹㈹〷戳扡ぢ昰㥦㜴ㄲ晣㕦慡㐶㘸攰ち㤸敦挰㕢〱㑣㕡愹〲收㈷㤰愳ち收㠵㝣攵㠷㤰㘴㠳㐹搳㔵㝢㤷㡤捦挸㤲㍥㜵慢㠳て㌸ㄸ㙣摢㈸晣㥤慡昰㠳ㄴ㑥搹挲慢㈰晣㑦㡥戰つ㘶㠶挲て㐳愴ち㈶つ搴㉡㤸戴㍦て〰㑣捦㌴㝦摣㥦挳て㘶收攱㍦晤攲搱㘵㉢㘷愶昹㤳挸搱〸捣て㌹㤸搵㠱昹㐱㈷挱晦搵㙢㠴昶慤㠰㜹ㄱ摥ち㘰㍥㡤戸㠰㜹㈳㜲㔴挱捣昱㤵㝦㠲㈴ㅢ㑣㕡慥㕡挱挶㘷㘴㐹㔲㕤敦攰〳づ挰摣㐹㘱ㅡ㥥戶昰㌳ㄴ㉥搹挲慢㈰㝣慤㈳㙣㠳㔹愱昰㑦㈱㔲〵㤳昶㘹ㄵ捣ㄷ㄰㌹㌸㌰㕦昴攷昰㠳㜹攷て㈷㜶㙤㍣昱㠱〱昸挷昱扣㍣愰㕥㐱㡥㐶㘰㕥攵㘰㔶〷收晦㜴ㄲ晣㕦搰㉡摡㑥昸㠱㈳ㅤ㙦挵昷攳晦㠸㙢㐰㈹戱㕥㤸㕣攵㌰㤹昶㡡昴挰愵挸㠴ㅥ愰㝤㈱㍤昰㙥㔴㔳敤㠱换㠸ㄳ㔵昹㤹㤶㍥捣愲攸扣㔰㤷捤搶搲晦敥㈴昸㍦㌱㡡搰っ㤰㑡慦戴㉢愵㉥㉦㤵晥㡤户搲扦〷㔷㔱敦戶㝢㤲ち扥㜶ㄵ㠸慣敥〹戵ㅢ戲㙥㑦㠵昵慢㈹ㅣ慥ち㔳挵搷慥戱㠵㐷㤶㈴㔴搹ㄱ〶〷㘳攴㍡晣㔲㔴摦慢摤摥收㐴〸㔹〷戵昴㠳敢㜶慡昴㌵㌹晣摤㡥㘲昱扣㌰㜰攷㥡㥦㕣戲攸捥摦づ㈸㙡昲㌳㘰捥㙣㤵〵〷戳扡㙥捦㍢〹㜵㥦㉢㔱敤㤷㙥㝦㍦〲㙥户㉢搱攷㔱㘵㙤㙦㔳㠳ㄷ攰㍦㠰〰㝡㥢㙡戸〰㥦㐵改搵摥晥㄰戸㡡ㅡ敦㑣〳㘷㝡㍢㌳㕢〳搳㑥㐲摤㈷㐳愷愳愴晤㝤㌲攴昹戳㐷㍣收ぢ㔹昴愵捦戳㙣㌶ㄵ㕣戹㥤㤴㤳㈳㤰㌶㕣敦㉦攱てて慤挳㠷㉣戸搴㡦扦昵攷㜸搱昱㠱ぢ㑦㙤摤ぢ攴扡挴㤸㔹戳㌶㤶㜰愳扣挵ㅡ㉢攳晥㑤愶ㄵ㝦㌸愵㠲慦挵ぢ㠷㠳㈳〷㠷㔲捤〰〸㡦㝤敢扦攱㜹搰㉡㈴㌷搴㈶攵㙡㕦搷っㅥ敥ㅤ㡣㈰扦ち㌸㌴㌷㡥昶ㄱ㌴挷㜳ㅣ㥤昱㝣敡搲慣っ昴戲㙤㤵㕦ㄱ搸㈷捤㠶昹慤摦㠲㉣昲捤㥤㡣㐴㤰戰㝥ㅢ㔹攷㐰㐲㐸㈰戴〲㜱晦扢昱㠰㙥㌵昸〱摦ㅦ〵㥡㌷㡦㉦散㍥捤㔴㠳攷搲挰㌹攸㕢昲ㄳ〶晦㡣㘹㙢㝥㈲㘷ㄶ戶㔷㈶慢㝦扡ㄴ㑥㍤㝣つ慡㝦ㅣ㠵戰㉡晥㔷搴㤵㔹慡晥〹㄰㜲昸㕦㔱搷攴㘰搵㙥〷㤹ㄵ㠱户㌷㐴攰㔳挸攲㐳攰づ戲㘶㄰㔰搴㔶㠹㠲晢愸㐱㐴愴ㄵ晦㡣〰ㄳ昸㕦㡤扡摣捦㝡戹㘷㈳㈲㙤扢ㄳ〱昷挲㜷㙤搷㙣㙥搸戰扢㈰敦㙢搸ㄷ挸昲㌴㙣ㅤ攲㌵つ摢〴㠶㌴散㡢〸攰挷㙥搸㔶㤷晢㈵㉦㤷㙡㤰㌴散㙥〴㘶〵㙤慣㘱摢敥㐱ㄶ㕦摢扥㐲㤶愷㙤㔴愴㙡摡戶つっ㘹摢搷㄰挰㡦摤戶㡣换晤扡㤷㝢ㄱ㈲搲戶㝦㐱㘰搶戶つ㌵㙣摢㝤挸攲㙢摢㕥戲㍣㙤换㈱㕥搳戶㥤㘰㐸摢扥㠹〰㝥散戶㔵㕣敥户㍣摣〸㌷㘹㔹㡡ㅦ㐰㐰晦㌶挹㠳㈰㘱挵㡤㔸ㅡ晤㄰〲ㅤ㌰㜱攵㉦㉡㜶敥愲搵㕢づ慡ㅥ户戵㑦㝣晥㡡㤹〹昸㌰昳㍦捣攱㠳〰㈸㈶攰愳㘴㜹㕡换㍤㥣慤ㅤ扦改㉢㠳慦㈷摥㌹愴慥㐴㐴㉡㝡っ㠱㔹搱㠹扡昵〵扣ㄳ晥㜱㘴昱愱昳〴㔹㥥晡戸㝤搷愰㜳㌵ㄸ㠲捥昷ㄱ挰㡦㡤づ昷㘲攱晥挰挳㡤扣ㅦㄱ㐱攷摦㄰搰㝦㐸昲㈴㐸㔸㜱攳㘲愳㜵愲ㄳ㔴㑢摤搶搵愰昱ㄴ〵㙡搱㜸㥡㉣㑦敢戸挷㜹搱〸摤〲挶〱㉦戱摣㙦て搱㠹晣っ敡㔱㕣ㅣ㘵捦晥㠹ㄳ㘰愴攳攳㑥愴㔵戴㄰㉥㑤㘴㑢㑣㜱㝤㘱ㄳ昵㘷挹扥挳㐹搳㝦敡〴㈴晦㍦㍢ㄱ㍢㍦㤷㡦㤹晣㜷㈱㈶昹㥦㈳㥢㉢〰搳昴㥦㌹〱挹捦搹㕥捤搱挱㔹㕥㡤㈹㑥㔵挹晦㍣搹㥣愵㤲晦攷㑥㐰昲㜳㐶㔶㜳㜴㜰㈶㔶㘳敡㍥挴㈴晦ぢ㘴㜳㈶㐹晥ㄷ㥤㠰攴攷慣愹收攸攰㙣愹挶ㄴ㘷㠹㘸㉡㡢搱攳搴㔴捥㈲㌴㐱㑤㜱收㐸挲㤱㑥〲慦㘴戵攲挶㌵㘷㤳㈴㉣㜲ㄲ攸改搰㝦挹㔲㌹㕢愴㌱扦㘲㡣ㄳ㐵ㅡ昳㙢〴昰㈳晦ㄵ㐷戸挸扣捣㘴づ㙥㤱㜹挵〹㌰搲挱㠱㕣㙤㘲〷〷㜰㌵愶㌸㜰愵晡昹扥〶㜳㌰㑢㐲扢慦挱ㅣ攰㤲搰收㙤昰敦㔹㉡〷戴㌴收㔵挶㌸㤶愵㌱㝦㐰〰㍦㜶㠳㥦㜱戹慥㝥㡦㠴㐰㠴〳㑣㈶搲㥦㄰㠰挶㈷挳〷〹㔵扤㔰愴㌸㡣㐴敡捦戶㤴っ㤲㍡㈹づㄶ㤱㝡摤㤶㤲愱㔰㈷挵㈱㈱㔲昴㑢愱㐶改昰㍡㈹㜶扣㐸㈹っ昶昶愶づ昶换昹㤰ち敥㔱改㙤㤹㙤摢晥搸搱摣㜹㙣昳〵㠳㙤㌷㍤昳㥤㘷㙦昸搷ぢ㔷晥晣戵て㝦昸㕦㥦扢攱㤱搷扥㤶㕡昹敤摢㙥晢收搹ㅦ㝤攴搹㈳慣㕢㠲㜷晦㜱摤㉤㤷挶㜶㕣㝡戱㜵敥改㙢㉥㝤晢㐵㥢㘳㥢ㄶ㉣㙦㙡㙡㘹㌹㜵攱㠳㐷㥦ㄶ戹攲攲㝢搴晤㑦ㅥ㔵㔰搲搵㙣㐶㤰戳ぢ㡦ㅣ昶戱换愵ㄹ昸慣㄰㕦㌴戲㉤㐱㈵㍤づ㠹㕡㡣搸昳㈲慡搹㉤㘶挷晣㔵㕢㉣㝤捤㘶戴㜸㕢捣㍥㤷㘶㜰㤶敢晣攳敢㘸㌱㍢㔷㠶捥慢昸㡢〴㥣ㅤ挳挸搷㡡慢㔵散㑦㐹昸扤㉦㠱㕤㈸〹扦昳㈵戰搷㈴攱户扥〴㜶㤴㈴晣愶㌶㈱㐲㐰搹愲昶㘶㝣〷敦挸扣㔲㉢愳㠸慣㘴㝥搹㐹攰攷㐴晡〲㜰ㄵ攱㤴愴㕦搵收㠹昰戵㥤㜲昹慥㈲昳换㕡ㄹ挵昷㤷㠴㤷扣攵ㅥ〹慥㘲攱㌲㘷ㄶ㌳㐶㤶挴㡥㘲㑣㔸㙣㠱㍢㔷㘸扣㈹㐹昲㜳攷晤㍦㈰户改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</si>
</sst>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E+00"/>
    <numFmt numFmtId="165" formatCode="0.0"/>
    <numFmt numFmtId="166" formatCode="0.000%"/>
    <numFmt numFmtId="167" formatCode="0.000"/>
  </numFmts>
  <fonts count="14">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name val="Calibri"/>
      <family val="2"/>
      <scheme val="minor"/>
    </font>
    <font>
      <b/>
      <sz val="11"/>
      <name val="Calibri"/>
      <family val="2"/>
      <scheme val="minor"/>
    </font>
    <font>
      <sz val="11"/>
      <color rgb="FF006100"/>
      <name val="Calibri"/>
      <family val="2"/>
      <scheme val="minor"/>
    </font>
    <font>
      <sz val="11"/>
      <color rgb="FF9C0006"/>
      <name val="Calibri"/>
      <family val="2"/>
      <scheme val="minor"/>
    </font>
    <font>
      <sz val="11"/>
      <name val="Calibri"/>
      <family val="2"/>
      <scheme val="minor"/>
    </font>
    <font>
      <sz val="11"/>
      <color theme="1"/>
      <name val="Calibri"/>
      <family val="2"/>
      <scheme val="minor"/>
    </font>
    <font>
      <sz val="11"/>
      <color rgb="FF9C5700"/>
      <name val="Calibri"/>
      <family val="2"/>
      <scheme val="minor"/>
    </font>
    <font>
      <sz val="11"/>
      <color theme="0"/>
      <name val="Calibri"/>
      <family val="2"/>
      <scheme val="minor"/>
    </font>
    <font>
      <b/>
      <sz val="11"/>
      <color theme="1"/>
      <name val="Times New Roman"/>
      <family val="1"/>
    </font>
    <font>
      <sz val="11"/>
      <color theme="0"/>
      <name val="Calibri"/>
      <family val="2"/>
      <charset val="134"/>
      <scheme val="minor"/>
    </font>
  </fonts>
  <fills count="13">
    <fill>
      <patternFill patternType="none"/>
    </fill>
    <fill>
      <patternFill patternType="gray125"/>
    </fill>
    <fill>
      <patternFill patternType="solid">
        <fgColor rgb="FFA5A5A5"/>
      </patternFill>
    </fill>
    <fill>
      <patternFill patternType="solid">
        <fgColor rgb="FFC6EFCE"/>
      </patternFill>
    </fill>
    <fill>
      <patternFill patternType="solid">
        <fgColor rgb="FFFFC7CE"/>
      </patternFill>
    </fill>
    <fill>
      <patternFill patternType="solid">
        <fgColor rgb="FF00FF00"/>
        <bgColor indexed="64"/>
      </patternFill>
    </fill>
    <fill>
      <patternFill patternType="solid">
        <fgColor rgb="FF00FFFF"/>
        <bgColor indexed="64"/>
      </patternFill>
    </fill>
    <fill>
      <patternFill patternType="solid">
        <fgColor rgb="FFFFEB9C"/>
      </patternFill>
    </fill>
    <fill>
      <patternFill patternType="solid">
        <fgColor theme="8"/>
      </patternFill>
    </fill>
    <fill>
      <patternFill patternType="solid">
        <fgColor theme="4"/>
      </patternFill>
    </fill>
    <fill>
      <patternFill patternType="solid">
        <fgColor theme="7"/>
      </patternFill>
    </fill>
    <fill>
      <patternFill patternType="solid">
        <fgColor theme="9"/>
      </patternFill>
    </fill>
    <fill>
      <patternFill patternType="solid">
        <fgColor theme="5"/>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0">
    <xf numFmtId="0" fontId="0" fillId="0" borderId="0"/>
    <xf numFmtId="0" fontId="1" fillId="2" borderId="1" applyNumberFormat="0" applyAlignment="0" applyProtection="0"/>
    <xf numFmtId="0" fontId="6" fillId="3" borderId="0" applyNumberFormat="0" applyBorder="0" applyAlignment="0" applyProtection="0"/>
    <xf numFmtId="0" fontId="7" fillId="4" borderId="0" applyNumberFormat="0" applyBorder="0" applyAlignment="0" applyProtection="0"/>
    <xf numFmtId="0" fontId="10"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3" fillId="12" borderId="0" applyNumberFormat="0" applyBorder="0" applyAlignment="0" applyProtection="0"/>
  </cellStyleXfs>
  <cellXfs count="96">
    <xf numFmtId="0" fontId="0" fillId="0" borderId="0" xfId="0"/>
    <xf numFmtId="0" fontId="0" fillId="0" borderId="0" xfId="0" applyAlignment="1">
      <alignment horizontal="center"/>
    </xf>
    <xf numFmtId="1" fontId="0" fillId="0" borderId="0" xfId="0" applyNumberFormat="1" applyAlignment="1">
      <alignment horizontal="center"/>
    </xf>
    <xf numFmtId="0" fontId="2" fillId="0" borderId="0" xfId="0" applyFont="1"/>
    <xf numFmtId="164" fontId="4" fillId="0" borderId="0" xfId="0" applyNumberFormat="1" applyFont="1" applyAlignment="1">
      <alignment horizontal="left" vertical="center"/>
    </xf>
    <xf numFmtId="164" fontId="4" fillId="0" borderId="0" xfId="0" applyNumberFormat="1" applyFont="1" applyAlignment="1">
      <alignment horizontal="center" vertical="center"/>
    </xf>
    <xf numFmtId="0" fontId="4" fillId="0" borderId="0" xfId="0" applyFont="1" applyAlignment="1">
      <alignment horizontal="left"/>
    </xf>
    <xf numFmtId="164" fontId="5" fillId="0" borderId="0" xfId="0" applyNumberFormat="1" applyFont="1" applyAlignment="1">
      <alignment horizontal="center" vertical="center"/>
    </xf>
    <xf numFmtId="0" fontId="5" fillId="0" borderId="0" xfId="0" applyFont="1" applyAlignment="1">
      <alignment horizontal="center"/>
    </xf>
    <xf numFmtId="11" fontId="0" fillId="0" borderId="0" xfId="0" applyNumberFormat="1"/>
    <xf numFmtId="0" fontId="0" fillId="0" borderId="0" xfId="0" applyAlignment="1">
      <alignment horizontal="center" vertical="center"/>
    </xf>
    <xf numFmtId="0" fontId="7" fillId="4" borderId="0" xfId="3"/>
    <xf numFmtId="0" fontId="3" fillId="0" borderId="0" xfId="0" applyFont="1" applyAlignment="1">
      <alignment horizontal="center" vertical="center"/>
    </xf>
    <xf numFmtId="0" fontId="7" fillId="4" borderId="2" xfId="3" applyBorder="1" applyAlignment="1">
      <alignment horizontal="center" vertical="center"/>
    </xf>
    <xf numFmtId="0" fontId="6" fillId="3" borderId="2" xfId="2" applyBorder="1" applyAlignment="1">
      <alignment horizontal="center" vertical="center"/>
    </xf>
    <xf numFmtId="9" fontId="7" fillId="4" borderId="2" xfId="3" applyNumberFormat="1" applyBorder="1" applyAlignment="1">
      <alignment horizontal="center" vertical="center"/>
    </xf>
    <xf numFmtId="9" fontId="6" fillId="3" borderId="2" xfId="2" applyNumberFormat="1" applyBorder="1" applyAlignment="1">
      <alignment horizontal="center" vertical="center"/>
    </xf>
    <xf numFmtId="2" fontId="0" fillId="0" borderId="0" xfId="0" applyNumberFormat="1"/>
    <xf numFmtId="165" fontId="0" fillId="0" borderId="0" xfId="0" applyNumberFormat="1"/>
    <xf numFmtId="10" fontId="0" fillId="0" borderId="0" xfId="0" applyNumberFormat="1"/>
    <xf numFmtId="0" fontId="9" fillId="0" borderId="0" xfId="0" applyFont="1"/>
    <xf numFmtId="0" fontId="0" fillId="5" borderId="0" xfId="0" applyFill="1"/>
    <xf numFmtId="166" fontId="0" fillId="0" borderId="0" xfId="0" applyNumberFormat="1"/>
    <xf numFmtId="9" fontId="0" fillId="5" borderId="0" xfId="0" applyNumberFormat="1" applyFill="1"/>
    <xf numFmtId="10" fontId="0" fillId="5" borderId="0" xfId="0" applyNumberFormat="1" applyFill="1"/>
    <xf numFmtId="0" fontId="0" fillId="6" borderId="0" xfId="0" applyFill="1"/>
    <xf numFmtId="0" fontId="3" fillId="0" borderId="0" xfId="0" applyFont="1"/>
    <xf numFmtId="0" fontId="0" fillId="0" borderId="0" xfId="0" quotePrefix="1"/>
    <xf numFmtId="9" fontId="0" fillId="0" borderId="0" xfId="0" applyNumberFormat="1"/>
    <xf numFmtId="167" fontId="0" fillId="0" borderId="0" xfId="0" applyNumberFormat="1"/>
    <xf numFmtId="0" fontId="1" fillId="2" borderId="1" xfId="1"/>
    <xf numFmtId="0" fontId="10" fillId="7" borderId="2" xfId="4" applyBorder="1"/>
    <xf numFmtId="0" fontId="7" fillId="4" borderId="2" xfId="3" applyBorder="1"/>
    <xf numFmtId="0" fontId="6" fillId="3" borderId="2" xfId="2" applyBorder="1"/>
    <xf numFmtId="2" fontId="3" fillId="0" borderId="0" xfId="0" applyNumberFormat="1" applyFont="1" applyAlignment="1">
      <alignment horizontal="center" vertical="center"/>
    </xf>
    <xf numFmtId="2" fontId="0" fillId="0" borderId="0" xfId="0" applyNumberFormat="1" applyAlignment="1">
      <alignment horizontal="center" vertical="center"/>
    </xf>
    <xf numFmtId="0" fontId="0" fillId="0" borderId="0" xfId="0" applyAlignment="1">
      <alignment horizontal="center"/>
    </xf>
    <xf numFmtId="164" fontId="11" fillId="8" borderId="0" xfId="5" applyNumberFormat="1" applyBorder="1" applyAlignment="1">
      <alignment horizontal="right"/>
    </xf>
    <xf numFmtId="3" fontId="11" fillId="8" borderId="0" xfId="5" applyNumberFormat="1" applyBorder="1" applyAlignment="1">
      <alignment horizontal="right" vertical="center"/>
    </xf>
    <xf numFmtId="0" fontId="11" fillId="8" borderId="0" xfId="5" applyAlignment="1">
      <alignment horizontal="center" vertical="center"/>
    </xf>
    <xf numFmtId="0" fontId="0" fillId="0" borderId="4" xfId="0" applyBorder="1" applyAlignment="1">
      <alignment horizontal="center" vertical="center"/>
    </xf>
    <xf numFmtId="0" fontId="0" fillId="0" borderId="5" xfId="0" applyBorder="1"/>
    <xf numFmtId="3" fontId="0" fillId="0" borderId="5" xfId="0" applyNumberFormat="1" applyBorder="1"/>
    <xf numFmtId="0" fontId="0" fillId="0" borderId="6" xfId="0" applyBorder="1"/>
    <xf numFmtId="0" fontId="2" fillId="0" borderId="7" xfId="0" applyFont="1" applyBorder="1" applyAlignment="1">
      <alignment horizontal="center" vertical="center"/>
    </xf>
    <xf numFmtId="164" fontId="0" fillId="0" borderId="3" xfId="0" applyNumberFormat="1" applyBorder="1"/>
    <xf numFmtId="3" fontId="0" fillId="0" borderId="3" xfId="0" applyNumberFormat="1" applyBorder="1"/>
    <xf numFmtId="167" fontId="0" fillId="0" borderId="8" xfId="0" applyNumberFormat="1" applyBorder="1"/>
    <xf numFmtId="164" fontId="0" fillId="0" borderId="5" xfId="0" applyNumberFormat="1" applyBorder="1"/>
    <xf numFmtId="167" fontId="0" fillId="0" borderId="6" xfId="0" applyNumberFormat="1" applyBorder="1"/>
    <xf numFmtId="0" fontId="11" fillId="8" borderId="9" xfId="5" applyBorder="1" applyAlignment="1">
      <alignment horizontal="center" vertical="center"/>
    </xf>
    <xf numFmtId="164" fontId="11" fillId="8" borderId="0" xfId="5" applyNumberFormat="1" applyBorder="1"/>
    <xf numFmtId="167" fontId="11" fillId="8" borderId="10" xfId="5" applyNumberFormat="1" applyBorder="1"/>
    <xf numFmtId="0" fontId="2" fillId="0" borderId="9" xfId="0" applyFont="1" applyBorder="1" applyAlignment="1">
      <alignment horizontal="center" vertical="center"/>
    </xf>
    <xf numFmtId="164" fontId="0" fillId="0" borderId="0" xfId="0" applyNumberFormat="1" applyBorder="1"/>
    <xf numFmtId="3" fontId="0" fillId="0" borderId="0" xfId="0" applyNumberFormat="1" applyBorder="1"/>
    <xf numFmtId="167" fontId="0" fillId="0" borderId="10" xfId="0" applyNumberFormat="1" applyBorder="1"/>
    <xf numFmtId="164" fontId="2" fillId="0" borderId="7" xfId="0" applyNumberFormat="1" applyFont="1" applyBorder="1" applyAlignment="1">
      <alignment horizontal="center" vertical="center"/>
    </xf>
    <xf numFmtId="164" fontId="8" fillId="0" borderId="9" xfId="0" applyNumberFormat="1" applyFont="1" applyBorder="1" applyAlignment="1">
      <alignment horizontal="center" vertical="center"/>
    </xf>
    <xf numFmtId="164" fontId="0" fillId="0" borderId="0" xfId="0" applyNumberFormat="1" applyBorder="1" applyAlignment="1">
      <alignment horizontal="center" vertical="center"/>
    </xf>
    <xf numFmtId="3" fontId="0" fillId="0" borderId="0" xfId="0" applyNumberFormat="1" applyBorder="1" applyAlignment="1">
      <alignment horizontal="center" vertical="center"/>
    </xf>
    <xf numFmtId="1" fontId="11" fillId="8" borderId="0" xfId="5" applyNumberFormat="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0" fontId="3" fillId="0" borderId="0" xfId="0" applyFont="1" applyAlignment="1">
      <alignment horizontal="center"/>
    </xf>
    <xf numFmtId="0" fontId="11" fillId="8" borderId="0" xfId="5" applyAlignment="1">
      <alignment horizontal="center" vertical="center"/>
    </xf>
    <xf numFmtId="164" fontId="11" fillId="8" borderId="0" xfId="5" applyNumberFormat="1" applyAlignment="1">
      <alignment horizontal="center" vertical="center"/>
    </xf>
    <xf numFmtId="1" fontId="11" fillId="8" borderId="0" xfId="5" applyNumberFormat="1" applyAlignment="1">
      <alignment horizontal="center" vertical="center"/>
    </xf>
    <xf numFmtId="0" fontId="0" fillId="0" borderId="0" xfId="0" applyFill="1"/>
    <xf numFmtId="164" fontId="0" fillId="0" borderId="0" xfId="0" applyNumberFormat="1"/>
    <xf numFmtId="11" fontId="3" fillId="0" borderId="0" xfId="0" applyNumberFormat="1" applyFont="1"/>
    <xf numFmtId="0" fontId="11" fillId="9" borderId="0" xfId="6"/>
    <xf numFmtId="0" fontId="11" fillId="8" borderId="0" xfId="5"/>
    <xf numFmtId="0" fontId="11" fillId="11" borderId="0" xfId="8"/>
    <xf numFmtId="0" fontId="11" fillId="10" borderId="0" xfId="7"/>
    <xf numFmtId="0" fontId="11" fillId="8" borderId="0" xfId="5" applyAlignment="1">
      <alignment horizontal="center"/>
    </xf>
    <xf numFmtId="164" fontId="11" fillId="8" borderId="0" xfId="5" applyNumberFormat="1" applyAlignment="1">
      <alignment horizontal="center"/>
    </xf>
    <xf numFmtId="164" fontId="11" fillId="8" borderId="0" xfId="5" applyNumberFormat="1"/>
    <xf numFmtId="0" fontId="11" fillId="11" borderId="0" xfId="8" applyAlignment="1">
      <alignment horizontal="center" vertical="center"/>
    </xf>
    <xf numFmtId="164" fontId="11" fillId="11" borderId="0" xfId="8" applyNumberFormat="1" applyAlignment="1">
      <alignment horizontal="center" vertical="center"/>
    </xf>
    <xf numFmtId="11" fontId="11" fillId="10" borderId="0" xfId="7" applyNumberFormat="1"/>
    <xf numFmtId="2" fontId="11" fillId="10" borderId="0" xfId="7" applyNumberFormat="1"/>
    <xf numFmtId="0" fontId="13" fillId="12" borderId="0" xfId="9"/>
    <xf numFmtId="0" fontId="4" fillId="0" borderId="0" xfId="0" applyFont="1" applyAlignment="1">
      <alignment horizontal="left" vertical="center"/>
    </xf>
    <xf numFmtId="164" fontId="4" fillId="0" borderId="0" xfId="0" applyNumberFormat="1" applyFont="1" applyAlignment="1">
      <alignment horizontal="left" vertical="center"/>
    </xf>
    <xf numFmtId="0" fontId="4" fillId="0" borderId="0" xfId="0" applyFont="1" applyAlignment="1">
      <alignment horizontal="center"/>
    </xf>
    <xf numFmtId="164" fontId="4" fillId="0" borderId="0" xfId="0" applyNumberFormat="1" applyFont="1" applyAlignment="1">
      <alignment horizontal="center" vertical="center"/>
    </xf>
    <xf numFmtId="9" fontId="3" fillId="0" borderId="0" xfId="0" applyNumberFormat="1" applyFont="1" applyBorder="1" applyAlignment="1">
      <alignment horizontal="center" vertical="center"/>
    </xf>
    <xf numFmtId="0" fontId="3" fillId="0" borderId="0" xfId="0" applyFont="1" applyBorder="1" applyAlignment="1">
      <alignment horizontal="center" vertical="center" wrapText="1"/>
    </xf>
    <xf numFmtId="164" fontId="3" fillId="0" borderId="0" xfId="0" applyNumberFormat="1" applyFont="1" applyBorder="1" applyAlignment="1">
      <alignment horizontal="center" vertical="center" wrapText="1"/>
    </xf>
    <xf numFmtId="0" fontId="5" fillId="0" borderId="0" xfId="0" applyFont="1" applyAlignment="1">
      <alignment horizontal="center" vertical="center"/>
    </xf>
    <xf numFmtId="164" fontId="5" fillId="0" borderId="0" xfId="0" applyNumberFormat="1" applyFont="1" applyAlignment="1">
      <alignment horizontal="center" vertical="center"/>
    </xf>
    <xf numFmtId="0" fontId="5" fillId="0" borderId="0" xfId="0" applyFont="1" applyAlignment="1">
      <alignment horizontal="center"/>
    </xf>
    <xf numFmtId="9" fontId="0" fillId="0" borderId="0" xfId="0" applyNumberFormat="1" applyAlignment="1">
      <alignment horizontal="center"/>
    </xf>
    <xf numFmtId="0" fontId="0" fillId="0" borderId="0" xfId="0" applyAlignment="1">
      <alignment horizontal="center"/>
    </xf>
  </cellXfs>
  <cellStyles count="10">
    <cellStyle name="Accent1" xfId="6" builtinId="29"/>
    <cellStyle name="Accent2 2" xfId="9" xr:uid="{A5C9C4D9-031C-4B83-AFD4-99137460AAE7}"/>
    <cellStyle name="Accent4" xfId="7" builtinId="41"/>
    <cellStyle name="Accent5" xfId="5" builtinId="45"/>
    <cellStyle name="Accent6" xfId="8" builtinId="49"/>
    <cellStyle name="Bad" xfId="3" builtinId="27"/>
    <cellStyle name="Check Cell" xfId="1" builtinId="23"/>
    <cellStyle name="Good" xfId="2" builtinId="26"/>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results!$A$2</c:f>
              <c:strCache>
                <c:ptCount val="1"/>
                <c:pt idx="0">
                  <c:v>ITO glass</c:v>
                </c:pt>
              </c:strCache>
            </c:strRef>
          </c:tx>
          <c:spPr>
            <a:solidFill>
              <a:schemeClr val="accent1"/>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results!$D$2:$X$2</c:f>
              <c:numCache>
                <c:formatCode>0.00E+00</c:formatCode>
                <c:ptCount val="21"/>
                <c:pt idx="0">
                  <c:v>5.4035999599999995E-2</c:v>
                </c:pt>
                <c:pt idx="1">
                  <c:v>15.863857979999999</c:v>
                </c:pt>
                <c:pt idx="2">
                  <c:v>6.8711502629999996</c:v>
                </c:pt>
                <c:pt idx="3">
                  <c:v>8.2522552700000001E-2</c:v>
                </c:pt>
                <c:pt idx="4">
                  <c:v>1.0550032339999998E-3</c:v>
                </c:pt>
                <c:pt idx="5">
                  <c:v>165.51815009999999</c:v>
                </c:pt>
                <c:pt idx="6">
                  <c:v>0.16734019</c:v>
                </c:pt>
                <c:pt idx="7">
                  <c:v>66.525372399999995</c:v>
                </c:pt>
                <c:pt idx="8">
                  <c:v>1.5045233709999998E-2</c:v>
                </c:pt>
                <c:pt idx="9">
                  <c:v>0.64124742970000004</c:v>
                </c:pt>
                <c:pt idx="10">
                  <c:v>2.6055490222000001E-3</c:v>
                </c:pt>
                <c:pt idx="11">
                  <c:v>1.3754312987000001E-6</c:v>
                </c:pt>
                <c:pt idx="12">
                  <c:v>1.994535221E-2</c:v>
                </c:pt>
                <c:pt idx="13">
                  <c:v>4.8864307230000001E-2</c:v>
                </c:pt>
                <c:pt idx="14">
                  <c:v>7.2168691110000002E-2</c:v>
                </c:pt>
                <c:pt idx="15">
                  <c:v>7.877002793E-3</c:v>
                </c:pt>
                <c:pt idx="16">
                  <c:v>1.5844954200000001E-2</c:v>
                </c:pt>
                <c:pt idx="17">
                  <c:v>1.0150023860000001E-2</c:v>
                </c:pt>
                <c:pt idx="18">
                  <c:v>0.48907124690000003</c:v>
                </c:pt>
                <c:pt idx="19">
                  <c:v>1.723918898</c:v>
                </c:pt>
                <c:pt idx="20">
                  <c:v>0.8537033906</c:v>
                </c:pt>
              </c:numCache>
            </c:numRef>
          </c:val>
          <c:extLst>
            <c:ext xmlns:c16="http://schemas.microsoft.com/office/drawing/2014/chart" uri="{C3380CC4-5D6E-409C-BE32-E72D297353CC}">
              <c16:uniqueId val="{00000000-9432-4D24-BBBE-99189207490D}"/>
            </c:ext>
          </c:extLst>
        </c:ser>
        <c:ser>
          <c:idx val="1"/>
          <c:order val="1"/>
          <c:tx>
            <c:strRef>
              <c:f>results!$A$3</c:f>
              <c:strCache>
                <c:ptCount val="1"/>
                <c:pt idx="0">
                  <c:v>SnO₂</c:v>
                </c:pt>
              </c:strCache>
            </c:strRef>
          </c:tx>
          <c:spPr>
            <a:solidFill>
              <a:schemeClr val="accent2"/>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results!$D$3:$X$3</c:f>
              <c:numCache>
                <c:formatCode>General</c:formatCode>
                <c:ptCount val="21"/>
                <c:pt idx="0">
                  <c:v>8.3811440000000005E-5</c:v>
                </c:pt>
                <c:pt idx="1">
                  <c:v>2.3021180000000001E-3</c:v>
                </c:pt>
                <c:pt idx="2">
                  <c:v>6.9602859999999989E-4</c:v>
                </c:pt>
                <c:pt idx="3">
                  <c:v>2.9951719999999998E-5</c:v>
                </c:pt>
                <c:pt idx="4">
                  <c:v>1.152032E-6</c:v>
                </c:pt>
                <c:pt idx="5">
                  <c:v>4.1616599999999997E-2</c:v>
                </c:pt>
                <c:pt idx="6">
                  <c:v>3.7620349999999998E-4</c:v>
                </c:pt>
                <c:pt idx="7">
                  <c:v>3.46249E-2</c:v>
                </c:pt>
                <c:pt idx="8">
                  <c:v>6.8251779999999993E-6</c:v>
                </c:pt>
                <c:pt idx="9">
                  <c:v>0.17148430000000001</c:v>
                </c:pt>
                <c:pt idx="10">
                  <c:v>9.9233489999999994E-6</c:v>
                </c:pt>
                <c:pt idx="11">
                  <c:v>1.865519E-10</c:v>
                </c:pt>
                <c:pt idx="12">
                  <c:v>3.5545079999999998E-5</c:v>
                </c:pt>
                <c:pt idx="13">
                  <c:v>2.218579E-5</c:v>
                </c:pt>
                <c:pt idx="14">
                  <c:v>5.3838869999999995E-5</c:v>
                </c:pt>
                <c:pt idx="15">
                  <c:v>1.2497629E-6</c:v>
                </c:pt>
                <c:pt idx="16">
                  <c:v>1.5145439999999998E-4</c:v>
                </c:pt>
                <c:pt idx="17">
                  <c:v>8.1679179999999994E-6</c:v>
                </c:pt>
                <c:pt idx="18">
                  <c:v>8.4645439999999988E-4</c:v>
                </c:pt>
                <c:pt idx="19">
                  <c:v>4.4846959999999994E-4</c:v>
                </c:pt>
                <c:pt idx="20">
                  <c:v>8.0451809999999985E-3</c:v>
                </c:pt>
              </c:numCache>
            </c:numRef>
          </c:val>
          <c:extLst>
            <c:ext xmlns:c16="http://schemas.microsoft.com/office/drawing/2014/chart" uri="{C3380CC4-5D6E-409C-BE32-E72D297353CC}">
              <c16:uniqueId val="{00000001-9432-4D24-BBBE-99189207490D}"/>
            </c:ext>
          </c:extLst>
        </c:ser>
        <c:ser>
          <c:idx val="2"/>
          <c:order val="2"/>
          <c:tx>
            <c:strRef>
              <c:f>results!$A$4</c:f>
              <c:strCache>
                <c:ptCount val="1"/>
                <c:pt idx="0">
                  <c:v>H₂O</c:v>
                </c:pt>
              </c:strCache>
            </c:strRef>
          </c:tx>
          <c:spPr>
            <a:solidFill>
              <a:schemeClr val="accent3"/>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results!$D$4:$X$4</c:f>
              <c:numCache>
                <c:formatCode>General</c:formatCode>
                <c:ptCount val="21"/>
                <c:pt idx="0">
                  <c:v>4.0650454105617978E-7</c:v>
                </c:pt>
                <c:pt idx="1">
                  <c:v>8.1223889925093627E-6</c:v>
                </c:pt>
                <c:pt idx="2">
                  <c:v>2.3363395761423218E-6</c:v>
                </c:pt>
                <c:pt idx="3">
                  <c:v>1.2175476300749064E-7</c:v>
                </c:pt>
                <c:pt idx="4">
                  <c:v>4.3147974713483149E-9</c:v>
                </c:pt>
                <c:pt idx="5">
                  <c:v>1.6144451533333333E-4</c:v>
                </c:pt>
                <c:pt idx="6">
                  <c:v>8.8114999737827709E-7</c:v>
                </c:pt>
                <c:pt idx="7">
                  <c:v>1.3864811603370785E-4</c:v>
                </c:pt>
                <c:pt idx="8">
                  <c:v>8.6985060408239692E-9</c:v>
                </c:pt>
                <c:pt idx="9">
                  <c:v>5.8047466187265916E-7</c:v>
                </c:pt>
                <c:pt idx="10">
                  <c:v>1.1204640535955055E-9</c:v>
                </c:pt>
                <c:pt idx="11">
                  <c:v>3.7007793190636704E-12</c:v>
                </c:pt>
                <c:pt idx="12">
                  <c:v>2.8897058280898875E-8</c:v>
                </c:pt>
                <c:pt idx="13">
                  <c:v>2.4850558062921346E-8</c:v>
                </c:pt>
                <c:pt idx="14">
                  <c:v>4.4715195496629214E-8</c:v>
                </c:pt>
                <c:pt idx="15">
                  <c:v>7.2209710250936319E-9</c:v>
                </c:pt>
                <c:pt idx="16">
                  <c:v>7.7332439677902621E-8</c:v>
                </c:pt>
                <c:pt idx="17">
                  <c:v>6.6362400895131081E-6</c:v>
                </c:pt>
                <c:pt idx="18">
                  <c:v>3.8056660640074902E-7</c:v>
                </c:pt>
                <c:pt idx="19">
                  <c:v>1.4535681411610486E-6</c:v>
                </c:pt>
                <c:pt idx="20">
                  <c:v>3.0709014802247193E-7</c:v>
                </c:pt>
              </c:numCache>
            </c:numRef>
          </c:val>
          <c:extLst>
            <c:ext xmlns:c16="http://schemas.microsoft.com/office/drawing/2014/chart" uri="{C3380CC4-5D6E-409C-BE32-E72D297353CC}">
              <c16:uniqueId val="{00000002-9432-4D24-BBBE-99189207490D}"/>
            </c:ext>
          </c:extLst>
        </c:ser>
        <c:ser>
          <c:idx val="3"/>
          <c:order val="3"/>
          <c:tx>
            <c:strRef>
              <c:f>results!$A$5</c:f>
              <c:strCache>
                <c:ptCount val="1"/>
                <c:pt idx="0">
                  <c:v>PbI₂</c:v>
                </c:pt>
              </c:strCache>
            </c:strRef>
          </c:tx>
          <c:spPr>
            <a:solidFill>
              <a:schemeClr val="accent4"/>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results!$D$5:$X$5</c:f>
              <c:numCache>
                <c:formatCode>General</c:formatCode>
                <c:ptCount val="21"/>
                <c:pt idx="0">
                  <c:v>1.1565162326536683E-3</c:v>
                </c:pt>
                <c:pt idx="1">
                  <c:v>4.3062105914821154E-3</c:v>
                </c:pt>
                <c:pt idx="2">
                  <c:v>1.1429847300287359E-3</c:v>
                </c:pt>
                <c:pt idx="3">
                  <c:v>7.8727651680289126E-5</c:v>
                </c:pt>
                <c:pt idx="4">
                  <c:v>2.1857156972023847E-6</c:v>
                </c:pt>
                <c:pt idx="5">
                  <c:v>0.17226746119752853</c:v>
                </c:pt>
                <c:pt idx="6">
                  <c:v>2.1167015731840812E-4</c:v>
                </c:pt>
                <c:pt idx="7">
                  <c:v>8.6393534830036825E-2</c:v>
                </c:pt>
                <c:pt idx="8">
                  <c:v>5.6988046515963701E-6</c:v>
                </c:pt>
                <c:pt idx="9">
                  <c:v>6.9841964855818972E-4</c:v>
                </c:pt>
                <c:pt idx="10">
                  <c:v>7.3256467256111374E-7</c:v>
                </c:pt>
                <c:pt idx="11">
                  <c:v>4.930002572746055E-10</c:v>
                </c:pt>
                <c:pt idx="12">
                  <c:v>1.2204319824454714E-5</c:v>
                </c:pt>
                <c:pt idx="13">
                  <c:v>1.717811533053855E-5</c:v>
                </c:pt>
                <c:pt idx="14">
                  <c:v>3.4526488572112408E-5</c:v>
                </c:pt>
                <c:pt idx="15">
                  <c:v>5.9397861550244718E-6</c:v>
                </c:pt>
                <c:pt idx="16">
                  <c:v>4.4415082981350911E-5</c:v>
                </c:pt>
                <c:pt idx="17">
                  <c:v>1.2969462472460564E-5</c:v>
                </c:pt>
                <c:pt idx="18">
                  <c:v>2.1121004127393715E-4</c:v>
                </c:pt>
                <c:pt idx="19">
                  <c:v>1.3483806055473559E-3</c:v>
                </c:pt>
                <c:pt idx="20">
                  <c:v>1.6947277140148126E-4</c:v>
                </c:pt>
              </c:numCache>
            </c:numRef>
          </c:val>
          <c:extLst>
            <c:ext xmlns:c16="http://schemas.microsoft.com/office/drawing/2014/chart" uri="{C3380CC4-5D6E-409C-BE32-E72D297353CC}">
              <c16:uniqueId val="{00000003-9432-4D24-BBBE-99189207490D}"/>
            </c:ext>
          </c:extLst>
        </c:ser>
        <c:ser>
          <c:idx val="4"/>
          <c:order val="4"/>
          <c:tx>
            <c:strRef>
              <c:f>results!$A$6</c:f>
              <c:strCache>
                <c:ptCount val="1"/>
                <c:pt idx="0">
                  <c:v>DMF</c:v>
                </c:pt>
              </c:strCache>
            </c:strRef>
          </c:tx>
          <c:spPr>
            <a:solidFill>
              <a:schemeClr val="accent5"/>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results!$D$6:$X$6</c:f>
              <c:numCache>
                <c:formatCode>General</c:formatCode>
                <c:ptCount val="21"/>
                <c:pt idx="0">
                  <c:v>1.9332512647229737E-4</c:v>
                </c:pt>
                <c:pt idx="1">
                  <c:v>4.2994711252722683E-3</c:v>
                </c:pt>
                <c:pt idx="2">
                  <c:v>2.8911610798755334E-3</c:v>
                </c:pt>
                <c:pt idx="3">
                  <c:v>6.0497732363907156E-5</c:v>
                </c:pt>
                <c:pt idx="4">
                  <c:v>1.6320160204258645E-6</c:v>
                </c:pt>
                <c:pt idx="5">
                  <c:v>9.8548500064594619E-2</c:v>
                </c:pt>
                <c:pt idx="6">
                  <c:v>4.255310984747038E-4</c:v>
                </c:pt>
                <c:pt idx="7">
                  <c:v>6.4020582671972553E-2</c:v>
                </c:pt>
                <c:pt idx="8">
                  <c:v>2.074696526856419E-5</c:v>
                </c:pt>
                <c:pt idx="9">
                  <c:v>2.7684755766870162E-4</c:v>
                </c:pt>
                <c:pt idx="10">
                  <c:v>1.8153802129451024E-6</c:v>
                </c:pt>
                <c:pt idx="11">
                  <c:v>8.6402801264497348E-10</c:v>
                </c:pt>
                <c:pt idx="12">
                  <c:v>1.198283752996475E-5</c:v>
                </c:pt>
                <c:pt idx="13">
                  <c:v>1.4535160839870376E-5</c:v>
                </c:pt>
                <c:pt idx="14">
                  <c:v>3.0530262566127512E-5</c:v>
                </c:pt>
                <c:pt idx="15">
                  <c:v>3.0530262566127512E-5</c:v>
                </c:pt>
                <c:pt idx="16">
                  <c:v>3.6691100216094834E-5</c:v>
                </c:pt>
                <c:pt idx="17">
                  <c:v>1.2841802067850251E-5</c:v>
                </c:pt>
                <c:pt idx="18">
                  <c:v>1.9129973656850858E-4</c:v>
                </c:pt>
                <c:pt idx="19">
                  <c:v>8.4958465841303722E-4</c:v>
                </c:pt>
                <c:pt idx="20">
                  <c:v>3.5949010636591902E-4</c:v>
                </c:pt>
              </c:numCache>
            </c:numRef>
          </c:val>
          <c:extLst>
            <c:ext xmlns:c16="http://schemas.microsoft.com/office/drawing/2014/chart" uri="{C3380CC4-5D6E-409C-BE32-E72D297353CC}">
              <c16:uniqueId val="{00000004-9432-4D24-BBBE-99189207490D}"/>
            </c:ext>
          </c:extLst>
        </c:ser>
        <c:ser>
          <c:idx val="5"/>
          <c:order val="5"/>
          <c:tx>
            <c:strRef>
              <c:f>results!$A$7</c:f>
              <c:strCache>
                <c:ptCount val="1"/>
                <c:pt idx="0">
                  <c:v>DMSO</c:v>
                </c:pt>
              </c:strCache>
            </c:strRef>
          </c:tx>
          <c:spPr>
            <a:solidFill>
              <a:schemeClr val="accent6"/>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results!$D$7:$X$7</c:f>
              <c:numCache>
                <c:formatCode>General</c:formatCode>
                <c:ptCount val="21"/>
                <c:pt idx="0">
                  <c:v>5.4909841972030429E-6</c:v>
                </c:pt>
                <c:pt idx="1">
                  <c:v>1.0965949348575142E-4</c:v>
                </c:pt>
                <c:pt idx="2">
                  <c:v>1.321469894686838E-4</c:v>
                </c:pt>
                <c:pt idx="3">
                  <c:v>2.3056273496296906E-6</c:v>
                </c:pt>
                <c:pt idx="4">
                  <c:v>5.1284265523204184E-8</c:v>
                </c:pt>
                <c:pt idx="5">
                  <c:v>3.4091165573764716E-3</c:v>
                </c:pt>
                <c:pt idx="6">
                  <c:v>1.8777768850310674E-5</c:v>
                </c:pt>
                <c:pt idx="7">
                  <c:v>1.9920393195340643E-3</c:v>
                </c:pt>
                <c:pt idx="8">
                  <c:v>1.0082265782356754E-7</c:v>
                </c:pt>
                <c:pt idx="9">
                  <c:v>1.1045030714069675E-5</c:v>
                </c:pt>
                <c:pt idx="10">
                  <c:v>5.7604691580805651E-8</c:v>
                </c:pt>
                <c:pt idx="11">
                  <c:v>3.2065465980712467E-11</c:v>
                </c:pt>
                <c:pt idx="12">
                  <c:v>1.7444538137165673E-7</c:v>
                </c:pt>
                <c:pt idx="13">
                  <c:v>3.9958394575262895E-7</c:v>
                </c:pt>
                <c:pt idx="14">
                  <c:v>5.2103467360634722E-7</c:v>
                </c:pt>
                <c:pt idx="15">
                  <c:v>9.8770597775350453E-8</c:v>
                </c:pt>
                <c:pt idx="16">
                  <c:v>9.7089611826761539E-7</c:v>
                </c:pt>
                <c:pt idx="17">
                  <c:v>3.8961766597299756E-7</c:v>
                </c:pt>
                <c:pt idx="18">
                  <c:v>5.0412342775443964E-6</c:v>
                </c:pt>
                <c:pt idx="19">
                  <c:v>2.7408790189476741E-5</c:v>
                </c:pt>
                <c:pt idx="20">
                  <c:v>1.6357676293445947E-5</c:v>
                </c:pt>
              </c:numCache>
            </c:numRef>
          </c:val>
          <c:extLst>
            <c:ext xmlns:c16="http://schemas.microsoft.com/office/drawing/2014/chart" uri="{C3380CC4-5D6E-409C-BE32-E72D297353CC}">
              <c16:uniqueId val="{00000005-9432-4D24-BBBE-99189207490D}"/>
            </c:ext>
          </c:extLst>
        </c:ser>
        <c:ser>
          <c:idx val="6"/>
          <c:order val="6"/>
          <c:tx>
            <c:strRef>
              <c:f>results!$A$8</c:f>
              <c:strCache>
                <c:ptCount val="1"/>
                <c:pt idx="0">
                  <c:v>FAI</c:v>
                </c:pt>
              </c:strCache>
            </c:strRef>
          </c:tx>
          <c:spPr>
            <a:solidFill>
              <a:schemeClr val="accent1">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results!$D$8:$X$8</c:f>
              <c:numCache>
                <c:formatCode>General</c:formatCode>
                <c:ptCount val="21"/>
                <c:pt idx="0">
                  <c:v>4.0071858609145016E-4</c:v>
                </c:pt>
                <c:pt idx="1">
                  <c:v>2.2449264517362729E-2</c:v>
                </c:pt>
                <c:pt idx="2">
                  <c:v>9.8222529841333703E-3</c:v>
                </c:pt>
                <c:pt idx="3">
                  <c:v>1.0409635536818083E-4</c:v>
                </c:pt>
                <c:pt idx="4">
                  <c:v>7.9149825212425441E-7</c:v>
                </c:pt>
                <c:pt idx="5">
                  <c:v>0.18720865269091699</c:v>
                </c:pt>
                <c:pt idx="6">
                  <c:v>1.8275802588483812E-4</c:v>
                </c:pt>
                <c:pt idx="7">
                  <c:v>6.4334320772800865E-2</c:v>
                </c:pt>
                <c:pt idx="8">
                  <c:v>2.2124832456971906E-5</c:v>
                </c:pt>
                <c:pt idx="9">
                  <c:v>1.2632995555055101E-4</c:v>
                </c:pt>
                <c:pt idx="10">
                  <c:v>3.9476509931641219E-6</c:v>
                </c:pt>
                <c:pt idx="11">
                  <c:v>4.3260993701717391E-8</c:v>
                </c:pt>
                <c:pt idx="12">
                  <c:v>2.6229157242438755E-5</c:v>
                </c:pt>
                <c:pt idx="13">
                  <c:v>8.252845089191615E-5</c:v>
                </c:pt>
                <c:pt idx="14">
                  <c:v>9.9580630961408615E-5</c:v>
                </c:pt>
                <c:pt idx="15">
                  <c:v>4.4460374592359155E-6</c:v>
                </c:pt>
                <c:pt idx="16">
                  <c:v>3.12325654230292E-5</c:v>
                </c:pt>
                <c:pt idx="17">
                  <c:v>1.1403084430121304E-4</c:v>
                </c:pt>
                <c:pt idx="18">
                  <c:v>7.5344909269758117E-4</c:v>
                </c:pt>
                <c:pt idx="19">
                  <c:v>2.1146675558059796E-3</c:v>
                </c:pt>
                <c:pt idx="20">
                  <c:v>1.1836629040281308E-3</c:v>
                </c:pt>
              </c:numCache>
            </c:numRef>
          </c:val>
          <c:extLst>
            <c:ext xmlns:c16="http://schemas.microsoft.com/office/drawing/2014/chart" uri="{C3380CC4-5D6E-409C-BE32-E72D297353CC}">
              <c16:uniqueId val="{00000006-9432-4D24-BBBE-99189207490D}"/>
            </c:ext>
          </c:extLst>
        </c:ser>
        <c:ser>
          <c:idx val="7"/>
          <c:order val="7"/>
          <c:tx>
            <c:strRef>
              <c:f>results!$A$9</c:f>
              <c:strCache>
                <c:ptCount val="1"/>
                <c:pt idx="0">
                  <c:v>MABr</c:v>
                </c:pt>
              </c:strCache>
            </c:strRef>
          </c:tx>
          <c:spPr>
            <a:solidFill>
              <a:schemeClr val="accent2">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results!$D$9:$X$9</c:f>
              <c:numCache>
                <c:formatCode>General</c:formatCode>
                <c:ptCount val="21"/>
                <c:pt idx="0">
                  <c:v>9.3184804084650347E-4</c:v>
                </c:pt>
                <c:pt idx="1">
                  <c:v>9.9959832817936786E-2</c:v>
                </c:pt>
                <c:pt idx="2">
                  <c:v>4.404181504286072E-2</c:v>
                </c:pt>
                <c:pt idx="3">
                  <c:v>4.3816934340566108E-4</c:v>
                </c:pt>
                <c:pt idx="4">
                  <c:v>2.9028874154659117E-6</c:v>
                </c:pt>
                <c:pt idx="5">
                  <c:v>0.83348033340664018</c:v>
                </c:pt>
                <c:pt idx="6">
                  <c:v>6.8022974933055873E-4</c:v>
                </c:pt>
                <c:pt idx="7">
                  <c:v>0.28071266628617775</c:v>
                </c:pt>
                <c:pt idx="8">
                  <c:v>9.1835309695943455E-5</c:v>
                </c:pt>
                <c:pt idx="9">
                  <c:v>4.741940063259119E-4</c:v>
                </c:pt>
                <c:pt idx="10">
                  <c:v>1.6474646684041032E-5</c:v>
                </c:pt>
                <c:pt idx="11">
                  <c:v>8.9082470468329715E-9</c:v>
                </c:pt>
                <c:pt idx="12">
                  <c:v>1.1271609161813443E-4</c:v>
                </c:pt>
                <c:pt idx="13">
                  <c:v>3.0041284040379892E-4</c:v>
                </c:pt>
                <c:pt idx="14">
                  <c:v>4.3361296650024696E-4</c:v>
                </c:pt>
                <c:pt idx="15">
                  <c:v>9.5812632476748983E-6</c:v>
                </c:pt>
                <c:pt idx="16">
                  <c:v>6.382559339077191E-5</c:v>
                </c:pt>
                <c:pt idx="17">
                  <c:v>1.4397051090085739E-5</c:v>
                </c:pt>
                <c:pt idx="18">
                  <c:v>2.9652042399141158E-3</c:v>
                </c:pt>
                <c:pt idx="19">
                  <c:v>9.3989369435878659E-3</c:v>
                </c:pt>
                <c:pt idx="20">
                  <c:v>5.3031244613065487E-3</c:v>
                </c:pt>
              </c:numCache>
            </c:numRef>
          </c:val>
          <c:extLst>
            <c:ext xmlns:c16="http://schemas.microsoft.com/office/drawing/2014/chart" uri="{C3380CC4-5D6E-409C-BE32-E72D297353CC}">
              <c16:uniqueId val="{00000007-9432-4D24-BBBE-99189207490D}"/>
            </c:ext>
          </c:extLst>
        </c:ser>
        <c:ser>
          <c:idx val="8"/>
          <c:order val="8"/>
          <c:tx>
            <c:strRef>
              <c:f>results!$A$10</c:f>
              <c:strCache>
                <c:ptCount val="1"/>
                <c:pt idx="0">
                  <c:v>MACl</c:v>
                </c:pt>
              </c:strCache>
            </c:strRef>
          </c:tx>
          <c:spPr>
            <a:solidFill>
              <a:schemeClr val="accent3">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results!$D$10:$X$10</c:f>
              <c:numCache>
                <c:formatCode>General</c:formatCode>
                <c:ptCount val="21"/>
                <c:pt idx="0">
                  <c:v>1.1836144422672211E-8</c:v>
                </c:pt>
                <c:pt idx="1">
                  <c:v>1.4345724286292965E-7</c:v>
                </c:pt>
                <c:pt idx="2">
                  <c:v>5.7648634581459628E-8</c:v>
                </c:pt>
                <c:pt idx="3">
                  <c:v>1.6350461553441907E-9</c:v>
                </c:pt>
                <c:pt idx="4">
                  <c:v>4.9193618574462125E-11</c:v>
                </c:pt>
                <c:pt idx="5">
                  <c:v>2.2018453765540232E-6</c:v>
                </c:pt>
                <c:pt idx="6">
                  <c:v>1.1909017353989011E-8</c:v>
                </c:pt>
                <c:pt idx="7">
                  <c:v>2.1035108186325569E-6</c:v>
                </c:pt>
                <c:pt idx="8">
                  <c:v>3.199677743319617E-10</c:v>
                </c:pt>
                <c:pt idx="9">
                  <c:v>1.0188455252738115E-8</c:v>
                </c:pt>
                <c:pt idx="10">
                  <c:v>2.2117080985836469E-11</c:v>
                </c:pt>
                <c:pt idx="11">
                  <c:v>1.0753878960786548E-13</c:v>
                </c:pt>
                <c:pt idx="12">
                  <c:v>3.0469079836916251E-10</c:v>
                </c:pt>
                <c:pt idx="13">
                  <c:v>4.6811346843864696E-10</c:v>
                </c:pt>
                <c:pt idx="14">
                  <c:v>7.0408714121268945E-10</c:v>
                </c:pt>
                <c:pt idx="15">
                  <c:v>2.0014301823140826E-10</c:v>
                </c:pt>
                <c:pt idx="16">
                  <c:v>1.3686648618319328E-9</c:v>
                </c:pt>
                <c:pt idx="17">
                  <c:v>4.5201703782650214E-10</c:v>
                </c:pt>
                <c:pt idx="18">
                  <c:v>6.1391786354720204E-9</c:v>
                </c:pt>
                <c:pt idx="19">
                  <c:v>2.0566555724324775E-8</c:v>
                </c:pt>
                <c:pt idx="20">
                  <c:v>7.3847497024772604E-9</c:v>
                </c:pt>
              </c:numCache>
            </c:numRef>
          </c:val>
          <c:extLst>
            <c:ext xmlns:c16="http://schemas.microsoft.com/office/drawing/2014/chart" uri="{C3380CC4-5D6E-409C-BE32-E72D297353CC}">
              <c16:uniqueId val="{00000008-9432-4D24-BBBE-99189207490D}"/>
            </c:ext>
          </c:extLst>
        </c:ser>
        <c:ser>
          <c:idx val="9"/>
          <c:order val="9"/>
          <c:tx>
            <c:strRef>
              <c:f>results!$A$11</c:f>
              <c:strCache>
                <c:ptCount val="1"/>
                <c:pt idx="0">
                  <c:v>Isopropanol</c:v>
                </c:pt>
              </c:strCache>
            </c:strRef>
          </c:tx>
          <c:spPr>
            <a:solidFill>
              <a:schemeClr val="accent4">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results!$D$11:$X$11</c:f>
              <c:numCache>
                <c:formatCode>General</c:formatCode>
                <c:ptCount val="21"/>
                <c:pt idx="0">
                  <c:v>2.0334948890898962E-3</c:v>
                </c:pt>
                <c:pt idx="1">
                  <c:v>8.8099838481116063E-2</c:v>
                </c:pt>
                <c:pt idx="2">
                  <c:v>7.6499011226688771E-2</c:v>
                </c:pt>
                <c:pt idx="3">
                  <c:v>5.13648084067148E-4</c:v>
                </c:pt>
                <c:pt idx="4">
                  <c:v>1.4550593688047057E-5</c:v>
                </c:pt>
                <c:pt idx="5">
                  <c:v>0.84655583324909012</c:v>
                </c:pt>
                <c:pt idx="6">
                  <c:v>2.0418563445334212E-3</c:v>
                </c:pt>
                <c:pt idx="7">
                  <c:v>0.6303208431367342</c:v>
                </c:pt>
                <c:pt idx="8">
                  <c:v>6.1941218934617487E-5</c:v>
                </c:pt>
                <c:pt idx="9">
                  <c:v>3.576764844129937E-3</c:v>
                </c:pt>
                <c:pt idx="10">
                  <c:v>8.1449435840272536E-6</c:v>
                </c:pt>
                <c:pt idx="11">
                  <c:v>3.5837973265228357E-9</c:v>
                </c:pt>
                <c:pt idx="12">
                  <c:v>1.3345658122145685E-4</c:v>
                </c:pt>
                <c:pt idx="13">
                  <c:v>4.3550446869030897E-4</c:v>
                </c:pt>
                <c:pt idx="14">
                  <c:v>3.7447138134028625E-4</c:v>
                </c:pt>
                <c:pt idx="15">
                  <c:v>2.9019787776743237E-5</c:v>
                </c:pt>
                <c:pt idx="16">
                  <c:v>2.8835946504739905E-4</c:v>
                </c:pt>
                <c:pt idx="17">
                  <c:v>2.3403215421532929E-4</c:v>
                </c:pt>
                <c:pt idx="18">
                  <c:v>3.0381985153635415E-3</c:v>
                </c:pt>
                <c:pt idx="19">
                  <c:v>9.1732364819495198E-3</c:v>
                </c:pt>
                <c:pt idx="20">
                  <c:v>9.338804374506739E-3</c:v>
                </c:pt>
              </c:numCache>
            </c:numRef>
          </c:val>
          <c:extLst>
            <c:ext xmlns:c16="http://schemas.microsoft.com/office/drawing/2014/chart" uri="{C3380CC4-5D6E-409C-BE32-E72D297353CC}">
              <c16:uniqueId val="{00000009-9432-4D24-BBBE-99189207490D}"/>
            </c:ext>
          </c:extLst>
        </c:ser>
        <c:ser>
          <c:idx val="10"/>
          <c:order val="10"/>
          <c:tx>
            <c:strRef>
              <c:f>results!$A$12</c:f>
              <c:strCache>
                <c:ptCount val="1"/>
                <c:pt idx="0">
                  <c:v>Spiro-OMeTAD</c:v>
                </c:pt>
              </c:strCache>
            </c:strRef>
          </c:tx>
          <c:spPr>
            <a:solidFill>
              <a:schemeClr val="accent5">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results!$D$12:$X$12</c:f>
              <c:numCache>
                <c:formatCode>General</c:formatCode>
                <c:ptCount val="21"/>
                <c:pt idx="0">
                  <c:v>7.8013599885443392E-3</c:v>
                </c:pt>
                <c:pt idx="1">
                  <c:v>2.8796039540210532E-2</c:v>
                </c:pt>
                <c:pt idx="2">
                  <c:v>9.2947776112168434E-3</c:v>
                </c:pt>
                <c:pt idx="3">
                  <c:v>1.9451980390817688E-3</c:v>
                </c:pt>
                <c:pt idx="4">
                  <c:v>3.3525603958342744E-5</c:v>
                </c:pt>
                <c:pt idx="5">
                  <c:v>1.7161301181877899</c:v>
                </c:pt>
                <c:pt idx="6">
                  <c:v>2.9299040646063161E-3</c:v>
                </c:pt>
                <c:pt idx="7">
                  <c:v>1.4513297679733899</c:v>
                </c:pt>
                <c:pt idx="8">
                  <c:v>3.2239777810458959E-5</c:v>
                </c:pt>
                <c:pt idx="9">
                  <c:v>1.3235796423309483E-3</c:v>
                </c:pt>
                <c:pt idx="10">
                  <c:v>2.5121274428968426E-6</c:v>
                </c:pt>
                <c:pt idx="11">
                  <c:v>2.7096452475587383E-9</c:v>
                </c:pt>
                <c:pt idx="12">
                  <c:v>1.6252661850179367E-4</c:v>
                </c:pt>
                <c:pt idx="13">
                  <c:v>1.1470464708176844E-4</c:v>
                </c:pt>
                <c:pt idx="14">
                  <c:v>1.568970684035369E-4</c:v>
                </c:pt>
                <c:pt idx="15">
                  <c:v>3.2522560468648425E-5</c:v>
                </c:pt>
                <c:pt idx="16">
                  <c:v>4.2586530317103156E-4</c:v>
                </c:pt>
                <c:pt idx="17">
                  <c:v>9.459875351242107E-5</c:v>
                </c:pt>
                <c:pt idx="18">
                  <c:v>1.6718183193701055E-3</c:v>
                </c:pt>
                <c:pt idx="19">
                  <c:v>1.3100562647919161E-2</c:v>
                </c:pt>
                <c:pt idx="20">
                  <c:v>1.1759586659873685E-3</c:v>
                </c:pt>
              </c:numCache>
            </c:numRef>
          </c:val>
          <c:extLst>
            <c:ext xmlns:c16="http://schemas.microsoft.com/office/drawing/2014/chart" uri="{C3380CC4-5D6E-409C-BE32-E72D297353CC}">
              <c16:uniqueId val="{0000000A-9432-4D24-BBBE-99189207490D}"/>
            </c:ext>
          </c:extLst>
        </c:ser>
        <c:ser>
          <c:idx val="11"/>
          <c:order val="11"/>
          <c:tx>
            <c:strRef>
              <c:f>results!$A$13</c:f>
              <c:strCache>
                <c:ptCount val="1"/>
                <c:pt idx="0">
                  <c:v>LiTFSI</c:v>
                </c:pt>
              </c:strCache>
            </c:strRef>
          </c:tx>
          <c:spPr>
            <a:solidFill>
              <a:schemeClr val="accent6">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results!$D$13:$X$13</c:f>
              <c:numCache>
                <c:formatCode>General</c:formatCode>
                <c:ptCount val="21"/>
                <c:pt idx="0">
                  <c:v>1.2141262429749966E-4</c:v>
                </c:pt>
                <c:pt idx="1">
                  <c:v>1.2439437915481534E-3</c:v>
                </c:pt>
                <c:pt idx="2">
                  <c:v>4.9373212706919857E-4</c:v>
                </c:pt>
                <c:pt idx="3">
                  <c:v>7.1618483248888081E-5</c:v>
                </c:pt>
                <c:pt idx="4">
                  <c:v>1.3647384402122962E-6</c:v>
                </c:pt>
                <c:pt idx="5">
                  <c:v>6.1338853395179353E-2</c:v>
                </c:pt>
                <c:pt idx="6">
                  <c:v>6.680039675746206E-5</c:v>
                </c:pt>
                <c:pt idx="7">
                  <c:v>5.0429304566276124E-2</c:v>
                </c:pt>
                <c:pt idx="8">
                  <c:v>1.4932024710128888E-6</c:v>
                </c:pt>
                <c:pt idx="9">
                  <c:v>4.4622593380279578E-5</c:v>
                </c:pt>
                <c:pt idx="10">
                  <c:v>2.0870453143393951E-7</c:v>
                </c:pt>
                <c:pt idx="11">
                  <c:v>1.7426242933250585E-10</c:v>
                </c:pt>
                <c:pt idx="12">
                  <c:v>2.9797274082350321E-6</c:v>
                </c:pt>
                <c:pt idx="13">
                  <c:v>4.3641244305987771E-6</c:v>
                </c:pt>
                <c:pt idx="14">
                  <c:v>9.3743438308507202E-6</c:v>
                </c:pt>
                <c:pt idx="15">
                  <c:v>1.1580500080251555E-6</c:v>
                </c:pt>
                <c:pt idx="16">
                  <c:v>1.1766639613581072E-5</c:v>
                </c:pt>
                <c:pt idx="17">
                  <c:v>2.9941549796394111E-6</c:v>
                </c:pt>
                <c:pt idx="18">
                  <c:v>5.8282035630616664E-5</c:v>
                </c:pt>
                <c:pt idx="19">
                  <c:v>4.6995750456150696E-4</c:v>
                </c:pt>
                <c:pt idx="20">
                  <c:v>6.1274235870360458E-5</c:v>
                </c:pt>
              </c:numCache>
            </c:numRef>
          </c:val>
          <c:extLst>
            <c:ext xmlns:c16="http://schemas.microsoft.com/office/drawing/2014/chart" uri="{C3380CC4-5D6E-409C-BE32-E72D297353CC}">
              <c16:uniqueId val="{0000000B-9432-4D24-BBBE-99189207490D}"/>
            </c:ext>
          </c:extLst>
        </c:ser>
        <c:ser>
          <c:idx val="12"/>
          <c:order val="12"/>
          <c:tx>
            <c:strRef>
              <c:f>results!$A$14</c:f>
              <c:strCache>
                <c:ptCount val="1"/>
                <c:pt idx="0">
                  <c:v>Acetonitrile</c:v>
                </c:pt>
              </c:strCache>
            </c:strRef>
          </c:tx>
          <c:spPr>
            <a:solidFill>
              <a:schemeClr val="accent1">
                <a:lumMod val="80000"/>
                <a:lumOff val="2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results!$D$14:$X$14</c:f>
              <c:numCache>
                <c:formatCode>General</c:formatCode>
                <c:ptCount val="21"/>
                <c:pt idx="0">
                  <c:v>6.1321370740580926E-6</c:v>
                </c:pt>
                <c:pt idx="1">
                  <c:v>3.6670365183734448E-4</c:v>
                </c:pt>
                <c:pt idx="2">
                  <c:v>2.5298194173609969E-4</c:v>
                </c:pt>
                <c:pt idx="3">
                  <c:v>1.7495034040829881E-6</c:v>
                </c:pt>
                <c:pt idx="4">
                  <c:v>4.2736387303568476E-8</c:v>
                </c:pt>
                <c:pt idx="5">
                  <c:v>2.8594967004149387E-3</c:v>
                </c:pt>
                <c:pt idx="6">
                  <c:v>8.806751232796683E-6</c:v>
                </c:pt>
                <c:pt idx="7">
                  <c:v>2.2375374704066394E-3</c:v>
                </c:pt>
                <c:pt idx="8">
                  <c:v>1.6768068707053948E-6</c:v>
                </c:pt>
                <c:pt idx="9">
                  <c:v>1.0748915408464733E-5</c:v>
                </c:pt>
                <c:pt idx="10">
                  <c:v>4.1419074263900426E-8</c:v>
                </c:pt>
                <c:pt idx="11">
                  <c:v>1.9870385789875524E-11</c:v>
                </c:pt>
                <c:pt idx="12">
                  <c:v>6.2236808568298778E-7</c:v>
                </c:pt>
                <c:pt idx="13">
                  <c:v>9.4016860999170159E-7</c:v>
                </c:pt>
                <c:pt idx="14">
                  <c:v>2.6370193808464738E-6</c:v>
                </c:pt>
                <c:pt idx="15">
                  <c:v>2.4546298615767646E-7</c:v>
                </c:pt>
                <c:pt idx="16">
                  <c:v>9.8003702431867241E-7</c:v>
                </c:pt>
                <c:pt idx="17">
                  <c:v>9.4382836688464751E-7</c:v>
                </c:pt>
                <c:pt idx="18">
                  <c:v>1.2224784673195025E-5</c:v>
                </c:pt>
                <c:pt idx="19">
                  <c:v>3.3758515012780094E-5</c:v>
                </c:pt>
                <c:pt idx="20">
                  <c:v>3.08317067073859E-5</c:v>
                </c:pt>
              </c:numCache>
            </c:numRef>
          </c:val>
          <c:extLst>
            <c:ext xmlns:c16="http://schemas.microsoft.com/office/drawing/2014/chart" uri="{C3380CC4-5D6E-409C-BE32-E72D297353CC}">
              <c16:uniqueId val="{0000000C-9432-4D24-BBBE-99189207490D}"/>
            </c:ext>
          </c:extLst>
        </c:ser>
        <c:ser>
          <c:idx val="13"/>
          <c:order val="13"/>
          <c:tx>
            <c:strRef>
              <c:f>results!$A$15</c:f>
              <c:strCache>
                <c:ptCount val="1"/>
                <c:pt idx="0">
                  <c:v>4-tert Butylpyridine</c:v>
                </c:pt>
              </c:strCache>
            </c:strRef>
          </c:tx>
          <c:spPr>
            <a:solidFill>
              <a:schemeClr val="accent2">
                <a:lumMod val="80000"/>
                <a:lumOff val="2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results!$D$15:$X$15</c:f>
              <c:numCache>
                <c:formatCode>General</c:formatCode>
                <c:ptCount val="21"/>
                <c:pt idx="0">
                  <c:v>6.1938403845311212E-5</c:v>
                </c:pt>
                <c:pt idx="1">
                  <c:v>1.0203957566141081E-3</c:v>
                </c:pt>
                <c:pt idx="2">
                  <c:v>3.7439269842323654E-4</c:v>
                </c:pt>
                <c:pt idx="3">
                  <c:v>1.4506964263568466E-5</c:v>
                </c:pt>
                <c:pt idx="4">
                  <c:v>4.7809847215269716E-7</c:v>
                </c:pt>
                <c:pt idx="5">
                  <c:v>2.1605369526970956E-2</c:v>
                </c:pt>
                <c:pt idx="6">
                  <c:v>9.0296894216763493E-5</c:v>
                </c:pt>
                <c:pt idx="7">
                  <c:v>1.7054440586887969E-2</c:v>
                </c:pt>
                <c:pt idx="8">
                  <c:v>1.2539646062738592E-6</c:v>
                </c:pt>
                <c:pt idx="9">
                  <c:v>6.776005974572615E-5</c:v>
                </c:pt>
                <c:pt idx="10">
                  <c:v>1.5002808748879669E-7</c:v>
                </c:pt>
                <c:pt idx="11">
                  <c:v>2.8164769752697098E-10</c:v>
                </c:pt>
                <c:pt idx="12">
                  <c:v>2.8843293785228219E-6</c:v>
                </c:pt>
                <c:pt idx="13">
                  <c:v>3.1855498846804986E-6</c:v>
                </c:pt>
                <c:pt idx="14">
                  <c:v>5.6434931551867226E-6</c:v>
                </c:pt>
                <c:pt idx="15">
                  <c:v>1.0400689386224068E-6</c:v>
                </c:pt>
                <c:pt idx="16">
                  <c:v>9.1137019387219937E-6</c:v>
                </c:pt>
                <c:pt idx="17">
                  <c:v>3.2733765900746895E-6</c:v>
                </c:pt>
                <c:pt idx="18">
                  <c:v>4.6082421386887972E-5</c:v>
                </c:pt>
                <c:pt idx="19">
                  <c:v>1.893945261809129E-4</c:v>
                </c:pt>
                <c:pt idx="20">
                  <c:v>4.8034683581078842E-5</c:v>
                </c:pt>
              </c:numCache>
            </c:numRef>
          </c:val>
          <c:extLst>
            <c:ext xmlns:c16="http://schemas.microsoft.com/office/drawing/2014/chart" uri="{C3380CC4-5D6E-409C-BE32-E72D297353CC}">
              <c16:uniqueId val="{0000000D-9432-4D24-BBBE-99189207490D}"/>
            </c:ext>
          </c:extLst>
        </c:ser>
        <c:ser>
          <c:idx val="14"/>
          <c:order val="14"/>
          <c:tx>
            <c:strRef>
              <c:f>results!$A$16</c:f>
              <c:strCache>
                <c:ptCount val="1"/>
                <c:pt idx="0">
                  <c:v>Chlorobenzene</c:v>
                </c:pt>
              </c:strCache>
            </c:strRef>
          </c:tx>
          <c:spPr>
            <a:solidFill>
              <a:schemeClr val="accent3">
                <a:lumMod val="80000"/>
                <a:lumOff val="2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results!$D$16:$X$16</c:f>
              <c:numCache>
                <c:formatCode>General</c:formatCode>
                <c:ptCount val="21"/>
                <c:pt idx="0">
                  <c:v>4.6090737261410801E-4</c:v>
                </c:pt>
                <c:pt idx="1">
                  <c:v>1.1100001473858924E-2</c:v>
                </c:pt>
                <c:pt idx="2">
                  <c:v>6.9761781112033213E-3</c:v>
                </c:pt>
                <c:pt idx="3">
                  <c:v>4.0602499319502086E-4</c:v>
                </c:pt>
                <c:pt idx="4">
                  <c:v>5.331316182572616E-6</c:v>
                </c:pt>
                <c:pt idx="5">
                  <c:v>0.20279119668049797</c:v>
                </c:pt>
                <c:pt idx="6">
                  <c:v>6.2446812946058113E-4</c:v>
                </c:pt>
                <c:pt idx="7">
                  <c:v>0.16515009261410793</c:v>
                </c:pt>
                <c:pt idx="8">
                  <c:v>1.0988546788381746E-5</c:v>
                </c:pt>
                <c:pt idx="9">
                  <c:v>5.3337303634854794E-4</c:v>
                </c:pt>
                <c:pt idx="10">
                  <c:v>1.0213997078838179E-6</c:v>
                </c:pt>
                <c:pt idx="11">
                  <c:v>2.8614883996680505E-9</c:v>
                </c:pt>
                <c:pt idx="12">
                  <c:v>3.3264998798340257E-5</c:v>
                </c:pt>
                <c:pt idx="13">
                  <c:v>8.8302690522821603E-5</c:v>
                </c:pt>
                <c:pt idx="14">
                  <c:v>5.9489441327800841E-5</c:v>
                </c:pt>
                <c:pt idx="15">
                  <c:v>7.6622078539419105E-6</c:v>
                </c:pt>
                <c:pt idx="16">
                  <c:v>1.087387319502075E-4</c:v>
                </c:pt>
                <c:pt idx="17">
                  <c:v>3.407334704066391E-5</c:v>
                </c:pt>
                <c:pt idx="18">
                  <c:v>4.9615441394190891E-4</c:v>
                </c:pt>
                <c:pt idx="19">
                  <c:v>1.8521595963485482E-3</c:v>
                </c:pt>
                <c:pt idx="20">
                  <c:v>8.6125904066390059E-4</c:v>
                </c:pt>
              </c:numCache>
            </c:numRef>
          </c:val>
          <c:extLst>
            <c:ext xmlns:c16="http://schemas.microsoft.com/office/drawing/2014/chart" uri="{C3380CC4-5D6E-409C-BE32-E72D297353CC}">
              <c16:uniqueId val="{0000000E-9432-4D24-BBBE-99189207490D}"/>
            </c:ext>
          </c:extLst>
        </c:ser>
        <c:ser>
          <c:idx val="15"/>
          <c:order val="15"/>
          <c:tx>
            <c:strRef>
              <c:f>results!$A$17</c:f>
              <c:strCache>
                <c:ptCount val="1"/>
                <c:pt idx="0">
                  <c:v>Cu</c:v>
                </c:pt>
              </c:strCache>
            </c:strRef>
          </c:tx>
          <c:spPr>
            <a:solidFill>
              <a:schemeClr val="accent4">
                <a:lumMod val="80000"/>
                <a:lumOff val="2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results!$D$17:$X$17</c:f>
              <c:numCache>
                <c:formatCode>General</c:formatCode>
                <c:ptCount val="21"/>
                <c:pt idx="0">
                  <c:v>3.1721840639999999E-4</c:v>
                </c:pt>
                <c:pt idx="1">
                  <c:v>3.9590584319999997E-3</c:v>
                </c:pt>
                <c:pt idx="2">
                  <c:v>1.149517824E-3</c:v>
                </c:pt>
                <c:pt idx="3">
                  <c:v>4.2684579839999993E-3</c:v>
                </c:pt>
                <c:pt idx="4">
                  <c:v>1.25755392E-4</c:v>
                </c:pt>
                <c:pt idx="5">
                  <c:v>10.74253824</c:v>
                </c:pt>
                <c:pt idx="6">
                  <c:v>4.0126464000000002E-4</c:v>
                </c:pt>
                <c:pt idx="7">
                  <c:v>5.616930816</c:v>
                </c:pt>
                <c:pt idx="8">
                  <c:v>2.584264704E-5</c:v>
                </c:pt>
                <c:pt idx="9">
                  <c:v>4.118016E-2</c:v>
                </c:pt>
                <c:pt idx="10">
                  <c:v>1.7120624639999999E-6</c:v>
                </c:pt>
                <c:pt idx="11">
                  <c:v>2.581168128E-10</c:v>
                </c:pt>
                <c:pt idx="12">
                  <c:v>1.2507586560000001E-4</c:v>
                </c:pt>
                <c:pt idx="13">
                  <c:v>8.0381091840000003E-5</c:v>
                </c:pt>
                <c:pt idx="14">
                  <c:v>4.1919037439999999E-4</c:v>
                </c:pt>
                <c:pt idx="15">
                  <c:v>5.2917903360000002E-4</c:v>
                </c:pt>
                <c:pt idx="16">
                  <c:v>3.7529640959999997E-4</c:v>
                </c:pt>
                <c:pt idx="17">
                  <c:v>1.3898465279999999E-4</c:v>
                </c:pt>
                <c:pt idx="18">
                  <c:v>1.9820666880000001E-3</c:v>
                </c:pt>
                <c:pt idx="19">
                  <c:v>7.3806888959999997E-2</c:v>
                </c:pt>
                <c:pt idx="20">
                  <c:v>2.0493311999999998E-3</c:v>
                </c:pt>
              </c:numCache>
            </c:numRef>
          </c:val>
          <c:extLst>
            <c:ext xmlns:c16="http://schemas.microsoft.com/office/drawing/2014/chart" uri="{C3380CC4-5D6E-409C-BE32-E72D297353CC}">
              <c16:uniqueId val="{0000000F-9432-4D24-BBBE-99189207490D}"/>
            </c:ext>
          </c:extLst>
        </c:ser>
        <c:ser>
          <c:idx val="16"/>
          <c:order val="16"/>
          <c:tx>
            <c:strRef>
              <c:f>results!$A$18</c:f>
              <c:strCache>
                <c:ptCount val="1"/>
                <c:pt idx="0">
                  <c:v>Ar</c:v>
                </c:pt>
              </c:strCache>
            </c:strRef>
          </c:tx>
          <c:spPr>
            <a:solidFill>
              <a:schemeClr val="accent5">
                <a:lumMod val="80000"/>
                <a:lumOff val="2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results!$D$18:$X$18</c:f>
              <c:numCache>
                <c:formatCode>General</c:formatCode>
                <c:ptCount val="21"/>
                <c:pt idx="0">
                  <c:v>9.1224029090909067E-3</c:v>
                </c:pt>
                <c:pt idx="1">
                  <c:v>0.1612671127272727</c:v>
                </c:pt>
                <c:pt idx="2">
                  <c:v>4.6310693818181814E-2</c:v>
                </c:pt>
                <c:pt idx="3">
                  <c:v>2.292212945454545E-3</c:v>
                </c:pt>
                <c:pt idx="4">
                  <c:v>9.4493614545454528E-5</c:v>
                </c:pt>
                <c:pt idx="5">
                  <c:v>3.0353300363636362</c:v>
                </c:pt>
                <c:pt idx="6">
                  <c:v>2.6864445090909086E-2</c:v>
                </c:pt>
                <c:pt idx="7">
                  <c:v>2.6161224727272723</c:v>
                </c:pt>
                <c:pt idx="8">
                  <c:v>1.5736177454545451E-4</c:v>
                </c:pt>
                <c:pt idx="9">
                  <c:v>2.1028494545454542E-3</c:v>
                </c:pt>
                <c:pt idx="10">
                  <c:v>1.9169242181818178E-5</c:v>
                </c:pt>
                <c:pt idx="11">
                  <c:v>9.64981818181818E-9</c:v>
                </c:pt>
                <c:pt idx="12">
                  <c:v>5.4048712727272716E-4</c:v>
                </c:pt>
                <c:pt idx="13">
                  <c:v>4.2998941090909086E-4</c:v>
                </c:pt>
                <c:pt idx="14">
                  <c:v>8.5158429090909072E-4</c:v>
                </c:pt>
                <c:pt idx="15">
                  <c:v>5.8344584727272721E-5</c:v>
                </c:pt>
                <c:pt idx="16">
                  <c:v>1.0372500363636363E-3</c:v>
                </c:pt>
                <c:pt idx="17">
                  <c:v>6.8278545454545443E-4</c:v>
                </c:pt>
                <c:pt idx="18">
                  <c:v>6.9018094545454534E-3</c:v>
                </c:pt>
                <c:pt idx="19">
                  <c:v>2.7598155636363635E-2</c:v>
                </c:pt>
                <c:pt idx="20">
                  <c:v>5.6508037818181808E-3</c:v>
                </c:pt>
              </c:numCache>
            </c:numRef>
          </c:val>
          <c:extLst>
            <c:ext xmlns:c16="http://schemas.microsoft.com/office/drawing/2014/chart" uri="{C3380CC4-5D6E-409C-BE32-E72D297353CC}">
              <c16:uniqueId val="{00000010-9432-4D24-BBBE-99189207490D}"/>
            </c:ext>
          </c:extLst>
        </c:ser>
        <c:ser>
          <c:idx val="17"/>
          <c:order val="17"/>
          <c:tx>
            <c:strRef>
              <c:f>results!$A$19</c:f>
              <c:strCache>
                <c:ptCount val="1"/>
                <c:pt idx="0">
                  <c:v>O₂</c:v>
                </c:pt>
              </c:strCache>
            </c:strRef>
          </c:tx>
          <c:spPr>
            <a:solidFill>
              <a:schemeClr val="accent6">
                <a:lumMod val="80000"/>
                <a:lumOff val="2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results!$D$19:$X$19</c:f>
              <c:numCache>
                <c:formatCode>General</c:formatCode>
                <c:ptCount val="21"/>
                <c:pt idx="0">
                  <c:v>3.0219013818181814E-6</c:v>
                </c:pt>
                <c:pt idx="1">
                  <c:v>7.0931839999999993E-5</c:v>
                </c:pt>
                <c:pt idx="2">
                  <c:v>2.0077460363636363E-5</c:v>
                </c:pt>
                <c:pt idx="3">
                  <c:v>9.2774487272727261E-7</c:v>
                </c:pt>
                <c:pt idx="4">
                  <c:v>3.768586472727272E-8</c:v>
                </c:pt>
                <c:pt idx="5">
                  <c:v>1.2544439272727272E-3</c:v>
                </c:pt>
                <c:pt idx="6">
                  <c:v>7.800296727272727E-6</c:v>
                </c:pt>
                <c:pt idx="7">
                  <c:v>1.0726056727272727E-3</c:v>
                </c:pt>
                <c:pt idx="8">
                  <c:v>7.0114443636363631E-8</c:v>
                </c:pt>
                <c:pt idx="9">
                  <c:v>7.8463563636363629E-7</c:v>
                </c:pt>
                <c:pt idx="10">
                  <c:v>8.3335505454545451E-9</c:v>
                </c:pt>
                <c:pt idx="11">
                  <c:v>3.4841195636363632E-12</c:v>
                </c:pt>
                <c:pt idx="12">
                  <c:v>2.5893949090909089E-7</c:v>
                </c:pt>
                <c:pt idx="13">
                  <c:v>1.9396296727272729E-7</c:v>
                </c:pt>
                <c:pt idx="14">
                  <c:v>3.7955086545454546E-7</c:v>
                </c:pt>
                <c:pt idx="15">
                  <c:v>2.4322731636363633E-8</c:v>
                </c:pt>
                <c:pt idx="16">
                  <c:v>4.6189381818181811E-7</c:v>
                </c:pt>
                <c:pt idx="17">
                  <c:v>2.8183307636363634E-7</c:v>
                </c:pt>
                <c:pt idx="18">
                  <c:v>2.9375019636363634E-6</c:v>
                </c:pt>
                <c:pt idx="19">
                  <c:v>1.1651141818181817E-5</c:v>
                </c:pt>
                <c:pt idx="20">
                  <c:v>2.444015127272727E-6</c:v>
                </c:pt>
              </c:numCache>
            </c:numRef>
          </c:val>
          <c:extLst>
            <c:ext xmlns:c16="http://schemas.microsoft.com/office/drawing/2014/chart" uri="{C3380CC4-5D6E-409C-BE32-E72D297353CC}">
              <c16:uniqueId val="{00000011-9432-4D24-BBBE-99189207490D}"/>
            </c:ext>
          </c:extLst>
        </c:ser>
        <c:ser>
          <c:idx val="18"/>
          <c:order val="18"/>
          <c:tx>
            <c:strRef>
              <c:f>results!$A$20</c:f>
              <c:strCache>
                <c:ptCount val="1"/>
                <c:pt idx="0">
                  <c:v>Adhesive</c:v>
                </c:pt>
              </c:strCache>
            </c:strRef>
          </c:tx>
          <c:spPr>
            <a:solidFill>
              <a:schemeClr val="accent1">
                <a:lumMod val="8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results!$D$20:$X$20</c:f>
              <c:numCache>
                <c:formatCode>General</c:formatCode>
                <c:ptCount val="21"/>
                <c:pt idx="0">
                  <c:v>1.9549964000000002E-3</c:v>
                </c:pt>
                <c:pt idx="1">
                  <c:v>5.3267399999999999E-2</c:v>
                </c:pt>
                <c:pt idx="2">
                  <c:v>2.4177380000000002E-2</c:v>
                </c:pt>
                <c:pt idx="3">
                  <c:v>6.0432339999999995E-4</c:v>
                </c:pt>
                <c:pt idx="4">
                  <c:v>1.9439469999999997E-5</c:v>
                </c:pt>
                <c:pt idx="5">
                  <c:v>0.90098060000000002</c:v>
                </c:pt>
                <c:pt idx="6">
                  <c:v>3.5624719999999997E-3</c:v>
                </c:pt>
                <c:pt idx="7">
                  <c:v>0.69086020000000004</c:v>
                </c:pt>
                <c:pt idx="8">
                  <c:v>4.7078119999999994E-5</c:v>
                </c:pt>
                <c:pt idx="9">
                  <c:v>3.4358179999999998E-3</c:v>
                </c:pt>
                <c:pt idx="10">
                  <c:v>6.1276699999999994E-6</c:v>
                </c:pt>
                <c:pt idx="11">
                  <c:v>5.7868959999999999E-9</c:v>
                </c:pt>
                <c:pt idx="12">
                  <c:v>1.0165448000000001E-4</c:v>
                </c:pt>
                <c:pt idx="13">
                  <c:v>2.0535319999999998E-4</c:v>
                </c:pt>
                <c:pt idx="14">
                  <c:v>2.0896899999999998E-4</c:v>
                </c:pt>
                <c:pt idx="15">
                  <c:v>4.8904199999999998E-5</c:v>
                </c:pt>
                <c:pt idx="16">
                  <c:v>5.1992780000000005E-4</c:v>
                </c:pt>
                <c:pt idx="17">
                  <c:v>1.6944567999999999E-4</c:v>
                </c:pt>
                <c:pt idx="18">
                  <c:v>2.2575519999999999E-3</c:v>
                </c:pt>
                <c:pt idx="19">
                  <c:v>8.1579719999999994E-3</c:v>
                </c:pt>
                <c:pt idx="20">
                  <c:v>3.0584819999999995E-3</c:v>
                </c:pt>
              </c:numCache>
            </c:numRef>
          </c:val>
          <c:extLst>
            <c:ext xmlns:c16="http://schemas.microsoft.com/office/drawing/2014/chart" uri="{C3380CC4-5D6E-409C-BE32-E72D297353CC}">
              <c16:uniqueId val="{00000012-9432-4D24-BBBE-99189207490D}"/>
            </c:ext>
          </c:extLst>
        </c:ser>
        <c:ser>
          <c:idx val="19"/>
          <c:order val="19"/>
          <c:tx>
            <c:strRef>
              <c:f>results!$A$21</c:f>
              <c:strCache>
                <c:ptCount val="1"/>
                <c:pt idx="0">
                  <c:v>PET</c:v>
                </c:pt>
              </c:strCache>
            </c:strRef>
          </c:tx>
          <c:spPr>
            <a:solidFill>
              <a:schemeClr val="accent2">
                <a:lumMod val="8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results!$D$21:$X$21</c:f>
              <c:numCache>
                <c:formatCode>General</c:formatCode>
                <c:ptCount val="21"/>
                <c:pt idx="0">
                  <c:v>6.1952969999999998E-3</c:v>
                </c:pt>
                <c:pt idx="1">
                  <c:v>0.17387676999999999</c:v>
                </c:pt>
                <c:pt idx="2">
                  <c:v>0.10758629</c:v>
                </c:pt>
                <c:pt idx="3">
                  <c:v>1.6921225000000001E-3</c:v>
                </c:pt>
                <c:pt idx="4">
                  <c:v>5.3572875999999998E-5</c:v>
                </c:pt>
                <c:pt idx="5">
                  <c:v>2.6013953999999999</c:v>
                </c:pt>
                <c:pt idx="6">
                  <c:v>1.0938793E-2</c:v>
                </c:pt>
                <c:pt idx="7">
                  <c:v>2.0643585999999998</c:v>
                </c:pt>
                <c:pt idx="8">
                  <c:v>1.5557654999999999E-4</c:v>
                </c:pt>
                <c:pt idx="9">
                  <c:v>8.7410389999999991E-3</c:v>
                </c:pt>
                <c:pt idx="10">
                  <c:v>1.8848732999999998E-5</c:v>
                </c:pt>
                <c:pt idx="11">
                  <c:v>8.897757E-9</c:v>
                </c:pt>
                <c:pt idx="12">
                  <c:v>3.1222667999999997E-4</c:v>
                </c:pt>
                <c:pt idx="13">
                  <c:v>5.844594199999999E-4</c:v>
                </c:pt>
                <c:pt idx="14">
                  <c:v>7.4009149999999997E-4</c:v>
                </c:pt>
                <c:pt idx="15">
                  <c:v>1.9091831E-4</c:v>
                </c:pt>
                <c:pt idx="16">
                  <c:v>1.3298200999999998E-3</c:v>
                </c:pt>
                <c:pt idx="17">
                  <c:v>3.5293016999999997E-4</c:v>
                </c:pt>
                <c:pt idx="18">
                  <c:v>6.9066979999999993E-3</c:v>
                </c:pt>
                <c:pt idx="19">
                  <c:v>2.4245015000000002E-2</c:v>
                </c:pt>
                <c:pt idx="20">
                  <c:v>1.3306221999999999E-2</c:v>
                </c:pt>
              </c:numCache>
            </c:numRef>
          </c:val>
          <c:extLst>
            <c:ext xmlns:c16="http://schemas.microsoft.com/office/drawing/2014/chart" uri="{C3380CC4-5D6E-409C-BE32-E72D297353CC}">
              <c16:uniqueId val="{00000013-9432-4D24-BBBE-99189207490D}"/>
            </c:ext>
          </c:extLst>
        </c:ser>
        <c:ser>
          <c:idx val="20"/>
          <c:order val="20"/>
          <c:tx>
            <c:strRef>
              <c:f>results!$A$22</c:f>
              <c:strCache>
                <c:ptCount val="1"/>
                <c:pt idx="0">
                  <c:v>UV/O₃ cleaning</c:v>
                </c:pt>
              </c:strCache>
            </c:strRef>
          </c:tx>
          <c:spPr>
            <a:solidFill>
              <a:schemeClr val="accent3">
                <a:lumMod val="8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results!$D$22:$X$22</c:f>
              <c:numCache>
                <c:formatCode>General</c:formatCode>
                <c:ptCount val="21"/>
                <c:pt idx="0">
                  <c:v>1.8693710014954964E-5</c:v>
                </c:pt>
                <c:pt idx="1">
                  <c:v>1.5409770012327814E-2</c:v>
                </c:pt>
                <c:pt idx="2">
                  <c:v>6.8057000054445585E-3</c:v>
                </c:pt>
                <c:pt idx="3">
                  <c:v>5.8673000046938391E-5</c:v>
                </c:pt>
                <c:pt idx="4">
                  <c:v>2.8632700022906155E-7</c:v>
                </c:pt>
                <c:pt idx="5">
                  <c:v>0.12002550009602038</c:v>
                </c:pt>
                <c:pt idx="6">
                  <c:v>9.7129000077703195E-5</c:v>
                </c:pt>
                <c:pt idx="7">
                  <c:v>3.6096200028876951E-2</c:v>
                </c:pt>
                <c:pt idx="8">
                  <c:v>1.4139250011311397E-5</c:v>
                </c:pt>
                <c:pt idx="9">
                  <c:v>6.8977000055181581E-5</c:v>
                </c:pt>
                <c:pt idx="10">
                  <c:v>2.5380500020304394E-6</c:v>
                </c:pt>
                <c:pt idx="11">
                  <c:v>1.3637620010910093E-9</c:v>
                </c:pt>
                <c:pt idx="12">
                  <c:v>1.7218260013774604E-5</c:v>
                </c:pt>
                <c:pt idx="13">
                  <c:v>4.6312800037050232E-5</c:v>
                </c:pt>
                <c:pt idx="14">
                  <c:v>6.6700000053359981E-5</c:v>
                </c:pt>
                <c:pt idx="15">
                  <c:v>1.1937690009550149E-6</c:v>
                </c:pt>
                <c:pt idx="16">
                  <c:v>7.3625300058900238E-6</c:v>
                </c:pt>
                <c:pt idx="17">
                  <c:v>1.844278001475422E-6</c:v>
                </c:pt>
                <c:pt idx="18">
                  <c:v>4.5112200036089749E-4</c:v>
                </c:pt>
                <c:pt idx="19">
                  <c:v>1.3910860011128686E-3</c:v>
                </c:pt>
                <c:pt idx="20">
                  <c:v>8.1928300065542631E-4</c:v>
                </c:pt>
              </c:numCache>
            </c:numRef>
          </c:val>
          <c:extLst>
            <c:ext xmlns:c16="http://schemas.microsoft.com/office/drawing/2014/chart" uri="{C3380CC4-5D6E-409C-BE32-E72D297353CC}">
              <c16:uniqueId val="{00000014-9432-4D24-BBBE-99189207490D}"/>
            </c:ext>
          </c:extLst>
        </c:ser>
        <c:ser>
          <c:idx val="21"/>
          <c:order val="21"/>
          <c:tx>
            <c:strRef>
              <c:f>results!$A$23</c:f>
              <c:strCache>
                <c:ptCount val="1"/>
                <c:pt idx="0">
                  <c:v>ETL slot-die coating</c:v>
                </c:pt>
              </c:strCache>
            </c:strRef>
          </c:tx>
          <c:spPr>
            <a:solidFill>
              <a:schemeClr val="accent4">
                <a:lumMod val="8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results!$D$23:$X$23</c:f>
              <c:numCache>
                <c:formatCode>General</c:formatCode>
                <c:ptCount val="21"/>
                <c:pt idx="0">
                  <c:v>1.6932708346879497E-5</c:v>
                </c:pt>
                <c:pt idx="1">
                  <c:v>1.3958125011166497E-2</c:v>
                </c:pt>
                <c:pt idx="2">
                  <c:v>6.1645833382649989E-3</c:v>
                </c:pt>
                <c:pt idx="3">
                  <c:v>5.3145833375849992E-5</c:v>
                </c:pt>
                <c:pt idx="4">
                  <c:v>2.5935416687414999E-7</c:v>
                </c:pt>
                <c:pt idx="5">
                  <c:v>0.10871875008697497</c:v>
                </c:pt>
                <c:pt idx="6">
                  <c:v>8.7979166737049995E-5</c:v>
                </c:pt>
                <c:pt idx="7">
                  <c:v>3.2695833359489994E-2</c:v>
                </c:pt>
                <c:pt idx="8">
                  <c:v>1.2807291676912498E-5</c:v>
                </c:pt>
                <c:pt idx="9">
                  <c:v>6.2479166716649989E-5</c:v>
                </c:pt>
                <c:pt idx="10">
                  <c:v>2.2989583351724996E-6</c:v>
                </c:pt>
                <c:pt idx="11">
                  <c:v>1.2352916676548999E-9</c:v>
                </c:pt>
                <c:pt idx="12">
                  <c:v>1.5596250012476997E-5</c:v>
                </c:pt>
                <c:pt idx="13">
                  <c:v>4.1950000033559991E-5</c:v>
                </c:pt>
                <c:pt idx="14">
                  <c:v>6.0416666714999987E-5</c:v>
                </c:pt>
                <c:pt idx="15">
                  <c:v>1.0813125008650499E-6</c:v>
                </c:pt>
                <c:pt idx="16">
                  <c:v>6.6689583386684999E-6</c:v>
                </c:pt>
                <c:pt idx="17">
                  <c:v>1.6705416680030996E-6</c:v>
                </c:pt>
                <c:pt idx="18">
                  <c:v>4.0862500032689994E-4</c:v>
                </c:pt>
                <c:pt idx="19">
                  <c:v>1.2600416676746998E-3</c:v>
                </c:pt>
                <c:pt idx="20">
                  <c:v>7.4210416726034993E-4</c:v>
                </c:pt>
              </c:numCache>
            </c:numRef>
          </c:val>
          <c:extLst>
            <c:ext xmlns:c16="http://schemas.microsoft.com/office/drawing/2014/chart" uri="{C3380CC4-5D6E-409C-BE32-E72D297353CC}">
              <c16:uniqueId val="{00000015-9432-4D24-BBBE-99189207490D}"/>
            </c:ext>
          </c:extLst>
        </c:ser>
        <c:ser>
          <c:idx val="22"/>
          <c:order val="22"/>
          <c:tx>
            <c:strRef>
              <c:f>results!$A$24</c:f>
              <c:strCache>
                <c:ptCount val="1"/>
                <c:pt idx="0">
                  <c:v>ETL annealing</c:v>
                </c:pt>
              </c:strCache>
            </c:strRef>
          </c:tx>
          <c:spPr>
            <a:solidFill>
              <a:schemeClr val="accent5">
                <a:lumMod val="8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results!$D$24:$X$24</c:f>
              <c:numCache>
                <c:formatCode>General</c:formatCode>
                <c:ptCount val="21"/>
                <c:pt idx="0">
                  <c:v>5.2249500041799592E-3</c:v>
                </c:pt>
                <c:pt idx="1">
                  <c:v>4.3070785748742333</c:v>
                </c:pt>
                <c:pt idx="2">
                  <c:v>1.9022142872360568</c:v>
                </c:pt>
                <c:pt idx="3">
                  <c:v>1.6399285727405139E-2</c:v>
                </c:pt>
                <c:pt idx="4">
                  <c:v>8.0029285778309141E-5</c:v>
                </c:pt>
                <c:pt idx="5">
                  <c:v>33.547500026837994</c:v>
                </c:pt>
                <c:pt idx="6">
                  <c:v>2.7147857164575427E-2</c:v>
                </c:pt>
                <c:pt idx="7">
                  <c:v>10.089000008071197</c:v>
                </c:pt>
                <c:pt idx="8">
                  <c:v>3.951964288875856E-3</c:v>
                </c:pt>
                <c:pt idx="9">
                  <c:v>1.9279285729709141E-2</c:v>
                </c:pt>
                <c:pt idx="10">
                  <c:v>7.0939285771037136E-4</c:v>
                </c:pt>
                <c:pt idx="11">
                  <c:v>3.8117571459065481E-7</c:v>
                </c:pt>
                <c:pt idx="12">
                  <c:v>4.8125571467071875E-3</c:v>
                </c:pt>
                <c:pt idx="13">
                  <c:v>1.2944571438927084E-2</c:v>
                </c:pt>
                <c:pt idx="14">
                  <c:v>1.8642857157771423E-2</c:v>
                </c:pt>
                <c:pt idx="15">
                  <c:v>3.3366214312407252E-4</c:v>
                </c:pt>
                <c:pt idx="16">
                  <c:v>2.0578500016462799E-3</c:v>
                </c:pt>
                <c:pt idx="17">
                  <c:v>5.1548142898381357E-4</c:v>
                </c:pt>
                <c:pt idx="18">
                  <c:v>0.12609000010087199</c:v>
                </c:pt>
                <c:pt idx="19">
                  <c:v>0.38881285745390737</c:v>
                </c:pt>
                <c:pt idx="20">
                  <c:v>0.22899214304033655</c:v>
                </c:pt>
              </c:numCache>
            </c:numRef>
          </c:val>
          <c:extLst>
            <c:ext xmlns:c16="http://schemas.microsoft.com/office/drawing/2014/chart" uri="{C3380CC4-5D6E-409C-BE32-E72D297353CC}">
              <c16:uniqueId val="{00000016-9432-4D24-BBBE-99189207490D}"/>
            </c:ext>
          </c:extLst>
        </c:ser>
        <c:ser>
          <c:idx val="23"/>
          <c:order val="23"/>
          <c:tx>
            <c:strRef>
              <c:f>results!$A$25</c:f>
              <c:strCache>
                <c:ptCount val="1"/>
                <c:pt idx="0">
                  <c:v>PL 1st-step slot-die coating</c:v>
                </c:pt>
              </c:strCache>
            </c:strRef>
          </c:tx>
          <c:spPr>
            <a:solidFill>
              <a:schemeClr val="accent6">
                <a:lumMod val="8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results!$D$25:$X$25</c:f>
              <c:numCache>
                <c:formatCode>General</c:formatCode>
                <c:ptCount val="21"/>
                <c:pt idx="0">
                  <c:v>2.4189583352684997E-5</c:v>
                </c:pt>
                <c:pt idx="1">
                  <c:v>1.9940178587380709E-2</c:v>
                </c:pt>
                <c:pt idx="2">
                  <c:v>8.806547626092856E-3</c:v>
                </c:pt>
                <c:pt idx="3">
                  <c:v>7.5922619108357133E-5</c:v>
                </c:pt>
                <c:pt idx="4">
                  <c:v>3.7050595267735709E-7</c:v>
                </c:pt>
                <c:pt idx="5">
                  <c:v>0.15531250012424996</c:v>
                </c:pt>
                <c:pt idx="6">
                  <c:v>1.2568452391007142E-4</c:v>
                </c:pt>
                <c:pt idx="7">
                  <c:v>4.6708333370699989E-2</c:v>
                </c:pt>
                <c:pt idx="8">
                  <c:v>1.8296130967017852E-5</c:v>
                </c:pt>
                <c:pt idx="9">
                  <c:v>8.9255952452357121E-5</c:v>
                </c:pt>
                <c:pt idx="10">
                  <c:v>3.2842261931035708E-6</c:v>
                </c:pt>
                <c:pt idx="11">
                  <c:v>1.7647023823641425E-9</c:v>
                </c:pt>
                <c:pt idx="12">
                  <c:v>2.2280357160681425E-5</c:v>
                </c:pt>
                <c:pt idx="13">
                  <c:v>5.9928571476514276E-5</c:v>
                </c:pt>
                <c:pt idx="14">
                  <c:v>8.6309523878571413E-5</c:v>
                </c:pt>
                <c:pt idx="15">
                  <c:v>1.5447321440929283E-6</c:v>
                </c:pt>
                <c:pt idx="16">
                  <c:v>9.5270833409549991E-6</c:v>
                </c:pt>
                <c:pt idx="17">
                  <c:v>2.3864880971472853E-6</c:v>
                </c:pt>
                <c:pt idx="18">
                  <c:v>5.8375000046699988E-4</c:v>
                </c:pt>
                <c:pt idx="19">
                  <c:v>1.8000595252495712E-3</c:v>
                </c:pt>
                <c:pt idx="20">
                  <c:v>1.0601488103719283E-3</c:v>
                </c:pt>
              </c:numCache>
            </c:numRef>
          </c:val>
          <c:extLst>
            <c:ext xmlns:c16="http://schemas.microsoft.com/office/drawing/2014/chart" uri="{C3380CC4-5D6E-409C-BE32-E72D297353CC}">
              <c16:uniqueId val="{00000017-9432-4D24-BBBE-99189207490D}"/>
            </c:ext>
          </c:extLst>
        </c:ser>
        <c:ser>
          <c:idx val="24"/>
          <c:order val="24"/>
          <c:tx>
            <c:strRef>
              <c:f>results!$A$26</c:f>
              <c:strCache>
                <c:ptCount val="1"/>
                <c:pt idx="0">
                  <c:v>PL annealing</c:v>
                </c:pt>
              </c:strCache>
            </c:strRef>
          </c:tx>
          <c:spPr>
            <a:solidFill>
              <a:schemeClr val="accent1">
                <a:lumMod val="60000"/>
                <a:lumOff val="4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results!$D$26:$X$26</c:f>
              <c:numCache>
                <c:formatCode>General</c:formatCode>
                <c:ptCount val="21"/>
                <c:pt idx="0">
                  <c:v>8.1277000065021584E-5</c:v>
                </c:pt>
                <c:pt idx="1">
                  <c:v>6.6999000053599184E-2</c:v>
                </c:pt>
                <c:pt idx="2">
                  <c:v>2.9590000023671997E-2</c:v>
                </c:pt>
                <c:pt idx="3">
                  <c:v>2.5510000020407994E-4</c:v>
                </c:pt>
                <c:pt idx="4">
                  <c:v>1.2449000009959199E-6</c:v>
                </c:pt>
                <c:pt idx="5">
                  <c:v>0.52185000041747986</c:v>
                </c:pt>
                <c:pt idx="6">
                  <c:v>4.2230000033783996E-4</c:v>
                </c:pt>
                <c:pt idx="7">
                  <c:v>0.15694000012555195</c:v>
                </c:pt>
                <c:pt idx="8">
                  <c:v>6.1475000049179983E-5</c:v>
                </c:pt>
                <c:pt idx="9">
                  <c:v>2.9990000023991993E-4</c:v>
                </c:pt>
                <c:pt idx="10">
                  <c:v>1.1035000008827998E-5</c:v>
                </c:pt>
                <c:pt idx="11">
                  <c:v>5.9294000047435191E-9</c:v>
                </c:pt>
                <c:pt idx="12">
                  <c:v>7.4862000059889582E-5</c:v>
                </c:pt>
                <c:pt idx="13">
                  <c:v>2.0136000016108795E-4</c:v>
                </c:pt>
                <c:pt idx="14">
                  <c:v>2.9000000023199991E-4</c:v>
                </c:pt>
                <c:pt idx="15">
                  <c:v>5.1903000041522395E-6</c:v>
                </c:pt>
                <c:pt idx="16">
                  <c:v>3.2011000025608797E-5</c:v>
                </c:pt>
                <c:pt idx="17">
                  <c:v>8.0186000064148784E-6</c:v>
                </c:pt>
                <c:pt idx="18">
                  <c:v>1.9614000015691197E-3</c:v>
                </c:pt>
                <c:pt idx="19">
                  <c:v>6.0482000048385593E-3</c:v>
                </c:pt>
                <c:pt idx="20">
                  <c:v>3.5621000028496796E-3</c:v>
                </c:pt>
              </c:numCache>
            </c:numRef>
          </c:val>
          <c:extLst>
            <c:ext xmlns:c16="http://schemas.microsoft.com/office/drawing/2014/chart" uri="{C3380CC4-5D6E-409C-BE32-E72D297353CC}">
              <c16:uniqueId val="{00000018-9432-4D24-BBBE-99189207490D}"/>
            </c:ext>
          </c:extLst>
        </c:ser>
        <c:ser>
          <c:idx val="25"/>
          <c:order val="25"/>
          <c:tx>
            <c:strRef>
              <c:f>results!$A$27</c:f>
              <c:strCache>
                <c:ptCount val="1"/>
                <c:pt idx="0">
                  <c:v>PL 2nd-step slot-die coating</c:v>
                </c:pt>
              </c:strCache>
            </c:strRef>
          </c:tx>
          <c:spPr>
            <a:solidFill>
              <a:schemeClr val="accent2">
                <a:lumMod val="60000"/>
                <a:lumOff val="4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results!$D$27:$X$27</c:f>
              <c:numCache>
                <c:formatCode>General</c:formatCode>
                <c:ptCount val="21"/>
                <c:pt idx="0">
                  <c:v>2.4189583352684997E-5</c:v>
                </c:pt>
                <c:pt idx="1">
                  <c:v>1.9940178587380709E-2</c:v>
                </c:pt>
                <c:pt idx="2">
                  <c:v>8.806547626092856E-3</c:v>
                </c:pt>
                <c:pt idx="3">
                  <c:v>7.5922619108357133E-5</c:v>
                </c:pt>
                <c:pt idx="4">
                  <c:v>3.7050595267735709E-7</c:v>
                </c:pt>
                <c:pt idx="5">
                  <c:v>0.15531250012424996</c:v>
                </c:pt>
                <c:pt idx="6">
                  <c:v>1.2568452391007142E-4</c:v>
                </c:pt>
                <c:pt idx="7">
                  <c:v>4.6708333370699989E-2</c:v>
                </c:pt>
                <c:pt idx="8">
                  <c:v>1.8296130967017852E-5</c:v>
                </c:pt>
                <c:pt idx="9">
                  <c:v>8.9255952452357121E-5</c:v>
                </c:pt>
                <c:pt idx="10">
                  <c:v>3.2842261931035708E-6</c:v>
                </c:pt>
                <c:pt idx="11">
                  <c:v>1.7647023823641425E-9</c:v>
                </c:pt>
                <c:pt idx="12">
                  <c:v>2.2280357160681425E-5</c:v>
                </c:pt>
                <c:pt idx="13">
                  <c:v>5.9928571476514276E-5</c:v>
                </c:pt>
                <c:pt idx="14">
                  <c:v>8.6309523878571413E-5</c:v>
                </c:pt>
                <c:pt idx="15">
                  <c:v>1.5447321440929283E-6</c:v>
                </c:pt>
                <c:pt idx="16">
                  <c:v>9.5270833409549991E-6</c:v>
                </c:pt>
                <c:pt idx="17">
                  <c:v>2.3864880971472853E-6</c:v>
                </c:pt>
                <c:pt idx="18">
                  <c:v>5.8375000046699988E-4</c:v>
                </c:pt>
                <c:pt idx="19">
                  <c:v>1.8000595252495712E-3</c:v>
                </c:pt>
                <c:pt idx="20">
                  <c:v>1.0601488103719283E-3</c:v>
                </c:pt>
              </c:numCache>
            </c:numRef>
          </c:val>
          <c:extLst>
            <c:ext xmlns:c16="http://schemas.microsoft.com/office/drawing/2014/chart" uri="{C3380CC4-5D6E-409C-BE32-E72D297353CC}">
              <c16:uniqueId val="{00000019-9432-4D24-BBBE-99189207490D}"/>
            </c:ext>
          </c:extLst>
        </c:ser>
        <c:ser>
          <c:idx val="26"/>
          <c:order val="26"/>
          <c:tx>
            <c:strRef>
              <c:f>results!$A$28</c:f>
              <c:strCache>
                <c:ptCount val="1"/>
                <c:pt idx="0">
                  <c:v>PL post-annealing</c:v>
                </c:pt>
              </c:strCache>
            </c:strRef>
          </c:tx>
          <c:spPr>
            <a:solidFill>
              <a:schemeClr val="accent3">
                <a:lumMod val="60000"/>
                <a:lumOff val="4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results!$D$28:$X$28</c:f>
              <c:numCache>
                <c:formatCode>General</c:formatCode>
                <c:ptCount val="21"/>
                <c:pt idx="0">
                  <c:v>2.6124750020899796E-3</c:v>
                </c:pt>
                <c:pt idx="1">
                  <c:v>2.1535392874371166</c:v>
                </c:pt>
                <c:pt idx="2">
                  <c:v>0.95110714361802839</c:v>
                </c:pt>
                <c:pt idx="3">
                  <c:v>8.1996428637025696E-3</c:v>
                </c:pt>
                <c:pt idx="4">
                  <c:v>4.0014642889154571E-5</c:v>
                </c:pt>
                <c:pt idx="5">
                  <c:v>16.773750013418997</c:v>
                </c:pt>
                <c:pt idx="6">
                  <c:v>1.3573928582287714E-2</c:v>
                </c:pt>
                <c:pt idx="7">
                  <c:v>5.0445000040355987</c:v>
                </c:pt>
                <c:pt idx="8">
                  <c:v>1.975982144437928E-3</c:v>
                </c:pt>
                <c:pt idx="9">
                  <c:v>9.6396428648545703E-3</c:v>
                </c:pt>
                <c:pt idx="10">
                  <c:v>3.5469642885518568E-4</c:v>
                </c:pt>
                <c:pt idx="11">
                  <c:v>1.905878572953274E-7</c:v>
                </c:pt>
                <c:pt idx="12">
                  <c:v>2.4062785733535937E-3</c:v>
                </c:pt>
                <c:pt idx="13">
                  <c:v>6.4722857194635421E-3</c:v>
                </c:pt>
                <c:pt idx="14">
                  <c:v>9.3214285788857116E-3</c:v>
                </c:pt>
                <c:pt idx="15">
                  <c:v>1.6683107156203626E-4</c:v>
                </c:pt>
                <c:pt idx="16">
                  <c:v>1.0289250008231399E-3</c:v>
                </c:pt>
                <c:pt idx="17">
                  <c:v>2.5774071449190678E-4</c:v>
                </c:pt>
                <c:pt idx="18">
                  <c:v>6.3045000050435993E-2</c:v>
                </c:pt>
                <c:pt idx="19">
                  <c:v>0.19440642872695368</c:v>
                </c:pt>
                <c:pt idx="20">
                  <c:v>0.11449607152016827</c:v>
                </c:pt>
              </c:numCache>
            </c:numRef>
          </c:val>
          <c:extLst>
            <c:ext xmlns:c16="http://schemas.microsoft.com/office/drawing/2014/chart" uri="{C3380CC4-5D6E-409C-BE32-E72D297353CC}">
              <c16:uniqueId val="{0000001A-9432-4D24-BBBE-99189207490D}"/>
            </c:ext>
          </c:extLst>
        </c:ser>
        <c:ser>
          <c:idx val="27"/>
          <c:order val="27"/>
          <c:tx>
            <c:strRef>
              <c:f>results!$A$29</c:f>
              <c:strCache>
                <c:ptCount val="1"/>
                <c:pt idx="0">
                  <c:v>HTL slot-die coating</c:v>
                </c:pt>
              </c:strCache>
            </c:strRef>
          </c:tx>
          <c:spPr>
            <a:solidFill>
              <a:schemeClr val="accent4">
                <a:lumMod val="60000"/>
                <a:lumOff val="4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results!$D$29:$X$29</c:f>
              <c:numCache>
                <c:formatCode>General</c:formatCode>
                <c:ptCount val="21"/>
                <c:pt idx="0">
                  <c:v>1.1288472231252999E-4</c:v>
                </c:pt>
                <c:pt idx="1">
                  <c:v>9.3054166741109987E-2</c:v>
                </c:pt>
                <c:pt idx="2">
                  <c:v>4.1097222255099992E-2</c:v>
                </c:pt>
                <c:pt idx="3">
                  <c:v>3.5430555583899995E-4</c:v>
                </c:pt>
                <c:pt idx="4">
                  <c:v>1.729027779161E-6</c:v>
                </c:pt>
                <c:pt idx="5">
                  <c:v>0.7247916672464999</c:v>
                </c:pt>
                <c:pt idx="6">
                  <c:v>5.8652777824699993E-4</c:v>
                </c:pt>
                <c:pt idx="7">
                  <c:v>0.21797222239659997</c:v>
                </c:pt>
                <c:pt idx="8">
                  <c:v>8.5381944512749982E-5</c:v>
                </c:pt>
                <c:pt idx="9">
                  <c:v>4.1652777811099993E-4</c:v>
                </c:pt>
                <c:pt idx="10">
                  <c:v>1.5326388901149997E-5</c:v>
                </c:pt>
                <c:pt idx="11">
                  <c:v>8.2352777843660001E-9</c:v>
                </c:pt>
                <c:pt idx="12">
                  <c:v>1.0397500008317998E-4</c:v>
                </c:pt>
                <c:pt idx="13">
                  <c:v>2.7966666689039997E-4</c:v>
                </c:pt>
                <c:pt idx="14">
                  <c:v>4.0277777809999996E-4</c:v>
                </c:pt>
                <c:pt idx="15">
                  <c:v>7.2087500057669995E-6</c:v>
                </c:pt>
                <c:pt idx="16">
                  <c:v>4.4459722257790003E-5</c:v>
                </c:pt>
                <c:pt idx="17">
                  <c:v>1.1136944453353999E-5</c:v>
                </c:pt>
                <c:pt idx="18">
                  <c:v>2.7241666688459995E-3</c:v>
                </c:pt>
                <c:pt idx="19">
                  <c:v>8.4002777844979989E-3</c:v>
                </c:pt>
                <c:pt idx="20">
                  <c:v>4.9473611150689994E-3</c:v>
                </c:pt>
              </c:numCache>
            </c:numRef>
          </c:val>
          <c:extLst>
            <c:ext xmlns:c16="http://schemas.microsoft.com/office/drawing/2014/chart" uri="{C3380CC4-5D6E-409C-BE32-E72D297353CC}">
              <c16:uniqueId val="{0000001B-9432-4D24-BBBE-99189207490D}"/>
            </c:ext>
          </c:extLst>
        </c:ser>
        <c:ser>
          <c:idx val="28"/>
          <c:order val="28"/>
          <c:tx>
            <c:strRef>
              <c:f>results!$A$30</c:f>
              <c:strCache>
                <c:ptCount val="1"/>
                <c:pt idx="0">
                  <c:v>Electrode sputtering</c:v>
                </c:pt>
              </c:strCache>
            </c:strRef>
          </c:tx>
          <c:spPr>
            <a:solidFill>
              <a:schemeClr val="accent5">
                <a:lumMod val="60000"/>
                <a:lumOff val="4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results!$D$30:$X$30</c:f>
              <c:numCache>
                <c:formatCode>General</c:formatCode>
                <c:ptCount val="21"/>
                <c:pt idx="0">
                  <c:v>5.1475433374513673E-3</c:v>
                </c:pt>
                <c:pt idx="1">
                  <c:v>4.2432700033946151</c:v>
                </c:pt>
                <c:pt idx="2">
                  <c:v>1.8740333348325597</c:v>
                </c:pt>
                <c:pt idx="3">
                  <c:v>1.6156333346258399E-2</c:v>
                </c:pt>
                <c:pt idx="4">
                  <c:v>7.8843666729741597E-5</c:v>
                </c:pt>
                <c:pt idx="5">
                  <c:v>33.050500026440396</c:v>
                </c:pt>
                <c:pt idx="6">
                  <c:v>2.6745666688063198E-2</c:v>
                </c:pt>
                <c:pt idx="7">
                  <c:v>9.9395333412849585</c:v>
                </c:pt>
                <c:pt idx="8">
                  <c:v>3.8934166697813994E-3</c:v>
                </c:pt>
                <c:pt idx="9">
                  <c:v>1.8993666681861598E-2</c:v>
                </c:pt>
                <c:pt idx="10">
                  <c:v>6.9888333389243992E-4</c:v>
                </c:pt>
                <c:pt idx="11">
                  <c:v>3.7552866696708955E-7</c:v>
                </c:pt>
                <c:pt idx="12">
                  <c:v>4.7412600037930073E-3</c:v>
                </c:pt>
                <c:pt idx="13">
                  <c:v>1.2752800010202238E-2</c:v>
                </c:pt>
                <c:pt idx="14">
                  <c:v>1.8366666681359996E-2</c:v>
                </c:pt>
                <c:pt idx="15">
                  <c:v>3.2871900026297518E-4</c:v>
                </c:pt>
                <c:pt idx="16">
                  <c:v>2.0273633349552241E-3</c:v>
                </c:pt>
                <c:pt idx="17">
                  <c:v>5.0784466707294227E-4</c:v>
                </c:pt>
                <c:pt idx="18">
                  <c:v>0.12422200009937759</c:v>
                </c:pt>
                <c:pt idx="19">
                  <c:v>0.38305266697310875</c:v>
                </c:pt>
                <c:pt idx="20">
                  <c:v>0.22559966684714639</c:v>
                </c:pt>
              </c:numCache>
            </c:numRef>
          </c:val>
          <c:extLst>
            <c:ext xmlns:c16="http://schemas.microsoft.com/office/drawing/2014/chart" uri="{C3380CC4-5D6E-409C-BE32-E72D297353CC}">
              <c16:uniqueId val="{00000000-76BE-4A15-848D-643AC76E4FE2}"/>
            </c:ext>
          </c:extLst>
        </c:ser>
        <c:ser>
          <c:idx val="29"/>
          <c:order val="29"/>
          <c:tx>
            <c:strRef>
              <c:f>results!$A$31</c:f>
              <c:strCache>
                <c:ptCount val="1"/>
                <c:pt idx="0">
                  <c:v>Lamination</c:v>
                </c:pt>
              </c:strCache>
            </c:strRef>
          </c:tx>
          <c:spPr>
            <a:solidFill>
              <a:schemeClr val="accent6">
                <a:lumMod val="60000"/>
                <a:lumOff val="4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results!$D$31:$X$31</c:f>
              <c:numCache>
                <c:formatCode>General</c:formatCode>
                <c:ptCount val="21"/>
                <c:pt idx="0">
                  <c:v>1.0159625008127698E-5</c:v>
                </c:pt>
                <c:pt idx="1">
                  <c:v>8.374875006699898E-3</c:v>
                </c:pt>
                <c:pt idx="2">
                  <c:v>3.6987500029589996E-3</c:v>
                </c:pt>
                <c:pt idx="3">
                  <c:v>3.1887500025509992E-5</c:v>
                </c:pt>
                <c:pt idx="4">
                  <c:v>1.5561250012448999E-7</c:v>
                </c:pt>
                <c:pt idx="5">
                  <c:v>6.5231250052184983E-2</c:v>
                </c:pt>
                <c:pt idx="6">
                  <c:v>5.2787500042229995E-5</c:v>
                </c:pt>
                <c:pt idx="7">
                  <c:v>1.9617500015693994E-2</c:v>
                </c:pt>
                <c:pt idx="8">
                  <c:v>7.6843750061474979E-6</c:v>
                </c:pt>
                <c:pt idx="9">
                  <c:v>3.7487500029989991E-5</c:v>
                </c:pt>
                <c:pt idx="10">
                  <c:v>1.3793750011034997E-6</c:v>
                </c:pt>
                <c:pt idx="11">
                  <c:v>7.4117500059293989E-10</c:v>
                </c:pt>
                <c:pt idx="12">
                  <c:v>9.3577500074861978E-6</c:v>
                </c:pt>
                <c:pt idx="13">
                  <c:v>2.5170000020135994E-5</c:v>
                </c:pt>
                <c:pt idx="14">
                  <c:v>3.6250000028999989E-5</c:v>
                </c:pt>
                <c:pt idx="15">
                  <c:v>6.4878750051902993E-7</c:v>
                </c:pt>
                <c:pt idx="16">
                  <c:v>4.0013750032010996E-6</c:v>
                </c:pt>
                <c:pt idx="17">
                  <c:v>1.0023250008018598E-6</c:v>
                </c:pt>
                <c:pt idx="18">
                  <c:v>2.4517500019613996E-4</c:v>
                </c:pt>
                <c:pt idx="19">
                  <c:v>7.5602500060481992E-4</c:v>
                </c:pt>
                <c:pt idx="20">
                  <c:v>4.4526250035620995E-4</c:v>
                </c:pt>
              </c:numCache>
            </c:numRef>
          </c:val>
          <c:extLst>
            <c:ext xmlns:c16="http://schemas.microsoft.com/office/drawing/2014/chart" uri="{C3380CC4-5D6E-409C-BE32-E72D297353CC}">
              <c16:uniqueId val="{00000001-76BE-4A15-848D-643AC76E4FE2}"/>
            </c:ext>
          </c:extLst>
        </c:ser>
        <c:ser>
          <c:idx val="30"/>
          <c:order val="30"/>
          <c:tx>
            <c:strRef>
              <c:f>results!$A$32</c:f>
              <c:strCache>
                <c:ptCount val="1"/>
                <c:pt idx="0">
                  <c:v>Direct emissions</c:v>
                </c:pt>
              </c:strCache>
            </c:strRef>
          </c:tx>
          <c:spPr>
            <a:solidFill>
              <a:schemeClr val="accent1">
                <a:lumMod val="5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results!$D$32:$X$32</c:f>
              <c:numCache>
                <c:formatCode>0.00E+00</c:formatCode>
                <c:ptCount val="21"/>
                <c:pt idx="0">
                  <c:v>0</c:v>
                </c:pt>
                <c:pt idx="1">
                  <c:v>0</c:v>
                </c:pt>
                <c:pt idx="2">
                  <c:v>0</c:v>
                </c:pt>
                <c:pt idx="3">
                  <c:v>1.7258416833342491E-2</c:v>
                </c:pt>
                <c:pt idx="4">
                  <c:v>0</c:v>
                </c:pt>
                <c:pt idx="5">
                  <c:v>3.0033926547990232E-2</c:v>
                </c:pt>
                <c:pt idx="6">
                  <c:v>0</c:v>
                </c:pt>
                <c:pt idx="7">
                  <c:v>39.346661094876254</c:v>
                </c:pt>
                <c:pt idx="8">
                  <c:v>0</c:v>
                </c:pt>
                <c:pt idx="9">
                  <c:v>0</c:v>
                </c:pt>
                <c:pt idx="10">
                  <c:v>0</c:v>
                </c:pt>
                <c:pt idx="11">
                  <c:v>0</c:v>
                </c:pt>
                <c:pt idx="12">
                  <c:v>0</c:v>
                </c:pt>
                <c:pt idx="13">
                  <c:v>1.2175150279972412E-3</c:v>
                </c:pt>
                <c:pt idx="14">
                  <c:v>0</c:v>
                </c:pt>
                <c:pt idx="15">
                  <c:v>0.18068797405282636</c:v>
                </c:pt>
                <c:pt idx="16">
                  <c:v>0</c:v>
                </c:pt>
                <c:pt idx="17">
                  <c:v>0</c:v>
                </c:pt>
                <c:pt idx="18">
                  <c:v>4.9676475905721842E-2</c:v>
                </c:pt>
                <c:pt idx="19">
                  <c:v>1.5378285736341869E-4</c:v>
                </c:pt>
                <c:pt idx="20">
                  <c:v>0</c:v>
                </c:pt>
              </c:numCache>
            </c:numRef>
          </c:val>
          <c:extLst>
            <c:ext xmlns:c16="http://schemas.microsoft.com/office/drawing/2014/chart" uri="{C3380CC4-5D6E-409C-BE32-E72D297353CC}">
              <c16:uniqueId val="{00000002-76BE-4A15-848D-643AC76E4FE2}"/>
            </c:ext>
          </c:extLst>
        </c:ser>
        <c:ser>
          <c:idx val="31"/>
          <c:order val="31"/>
          <c:tx>
            <c:strRef>
              <c:f>results!$A$33</c:f>
              <c:strCache>
                <c:ptCount val="1"/>
                <c:pt idx="0">
                  <c:v>Treatment</c:v>
                </c:pt>
              </c:strCache>
            </c:strRef>
          </c:tx>
          <c:spPr>
            <a:solidFill>
              <a:schemeClr val="accent2">
                <a:lumMod val="5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results!$D$33:$X$33</c:f>
              <c:numCache>
                <c:formatCode>0.00E+00</c:formatCode>
                <c:ptCount val="21"/>
                <c:pt idx="0">
                  <c:v>4.5807721199999999E-6</c:v>
                </c:pt>
                <c:pt idx="1">
                  <c:v>1.1673294600000001E-4</c:v>
                </c:pt>
                <c:pt idx="2">
                  <c:v>2.0171209800000002E-5</c:v>
                </c:pt>
                <c:pt idx="3">
                  <c:v>1.7836447800000002E-6</c:v>
                </c:pt>
                <c:pt idx="4">
                  <c:v>7.2485856000000006E-7</c:v>
                </c:pt>
                <c:pt idx="5">
                  <c:v>1.6467545400000001E-3</c:v>
                </c:pt>
                <c:pt idx="6">
                  <c:v>8.1773364000000004E-6</c:v>
                </c:pt>
                <c:pt idx="7">
                  <c:v>1.6016055E-3</c:v>
                </c:pt>
                <c:pt idx="8">
                  <c:v>6.7182390000000003E-6</c:v>
                </c:pt>
                <c:pt idx="9">
                  <c:v>9.001976400000002E-6</c:v>
                </c:pt>
                <c:pt idx="10">
                  <c:v>9.3617256000000016E-9</c:v>
                </c:pt>
                <c:pt idx="11">
                  <c:v>9.4591362000000011E-12</c:v>
                </c:pt>
                <c:pt idx="12">
                  <c:v>2.6064808800000005E-7</c:v>
                </c:pt>
                <c:pt idx="13">
                  <c:v>3.0646199400000004E-7</c:v>
                </c:pt>
                <c:pt idx="14">
                  <c:v>5.3446980000000006E-7</c:v>
                </c:pt>
                <c:pt idx="15">
                  <c:v>7.1202510000000002E-8</c:v>
                </c:pt>
                <c:pt idx="16">
                  <c:v>1.2040259400000001E-6</c:v>
                </c:pt>
                <c:pt idx="17">
                  <c:v>5.488494600000001E-7</c:v>
                </c:pt>
                <c:pt idx="18">
                  <c:v>5.2287330000000007E-6</c:v>
                </c:pt>
                <c:pt idx="19">
                  <c:v>1.58258724E-5</c:v>
                </c:pt>
                <c:pt idx="20">
                  <c:v>2.8364008200000001E-6</c:v>
                </c:pt>
              </c:numCache>
            </c:numRef>
          </c:val>
          <c:extLst>
            <c:ext xmlns:c16="http://schemas.microsoft.com/office/drawing/2014/chart" uri="{C3380CC4-5D6E-409C-BE32-E72D297353CC}">
              <c16:uniqueId val="{00000003-76BE-4A15-848D-643AC76E4FE2}"/>
            </c:ext>
          </c:extLst>
        </c:ser>
        <c:ser>
          <c:idx val="32"/>
          <c:order val="32"/>
          <c:tx>
            <c:strRef>
              <c:f>results!$A$34</c:f>
              <c:strCache>
                <c:ptCount val="1"/>
                <c:pt idx="0">
                  <c:v>End of life</c:v>
                </c:pt>
              </c:strCache>
            </c:strRef>
          </c:tx>
          <c:spPr>
            <a:solidFill>
              <a:schemeClr val="accent3">
                <a:lumMod val="5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results!$D$34:$X$34</c:f>
              <c:numCache>
                <c:formatCode>0.00</c:formatCode>
                <c:ptCount val="21"/>
                <c:pt idx="0">
                  <c:v>4.5565437473656421E-4</c:v>
                </c:pt>
                <c:pt idx="1">
                  <c:v>8.2941051200621854E-3</c:v>
                </c:pt>
                <c:pt idx="2">
                  <c:v>6.5747619158034766E-3</c:v>
                </c:pt>
                <c:pt idx="3">
                  <c:v>4.0583646630518527E-5</c:v>
                </c:pt>
                <c:pt idx="4">
                  <c:v>9.7751605132063443E-7</c:v>
                </c:pt>
                <c:pt idx="5">
                  <c:v>6.2520094408991728E-2</c:v>
                </c:pt>
                <c:pt idx="6">
                  <c:v>1.2061391557130893E-3</c:v>
                </c:pt>
                <c:pt idx="7">
                  <c:v>4.4345572810077498E-2</c:v>
                </c:pt>
                <c:pt idx="8">
                  <c:v>2.8079627748720183E-5</c:v>
                </c:pt>
                <c:pt idx="9">
                  <c:v>3.4214686116679698E-4</c:v>
                </c:pt>
                <c:pt idx="10">
                  <c:v>-6.4657700131055454E-5</c:v>
                </c:pt>
                <c:pt idx="11">
                  <c:v>3.099203432900915E-9</c:v>
                </c:pt>
                <c:pt idx="12">
                  <c:v>2.9664964515235539E-5</c:v>
                </c:pt>
                <c:pt idx="13">
                  <c:v>8.9704721585632033E-5</c:v>
                </c:pt>
                <c:pt idx="14">
                  <c:v>7.5046853777195006E-5</c:v>
                </c:pt>
                <c:pt idx="15">
                  <c:v>9.0474649482484776E-6</c:v>
                </c:pt>
                <c:pt idx="16">
                  <c:v>1.6605428036973822E-3</c:v>
                </c:pt>
                <c:pt idx="17">
                  <c:v>1.1992033073595845E-5</c:v>
                </c:pt>
                <c:pt idx="18">
                  <c:v>6.7534371661279527E-4</c:v>
                </c:pt>
                <c:pt idx="19">
                  <c:v>7.8011238612123808E-4</c:v>
                </c:pt>
                <c:pt idx="20">
                  <c:v>8.0429851773334226E-4</c:v>
                </c:pt>
              </c:numCache>
            </c:numRef>
          </c:val>
          <c:extLst>
            <c:ext xmlns:c16="http://schemas.microsoft.com/office/drawing/2014/chart" uri="{C3380CC4-5D6E-409C-BE32-E72D297353CC}">
              <c16:uniqueId val="{00000004-76BE-4A15-848D-643AC76E4FE2}"/>
            </c:ext>
          </c:extLst>
        </c:ser>
        <c:dLbls>
          <c:showLegendKey val="0"/>
          <c:showVal val="0"/>
          <c:showCatName val="0"/>
          <c:showSerName val="0"/>
          <c:showPercent val="0"/>
          <c:showBubbleSize val="0"/>
        </c:dLbls>
        <c:gapWidth val="150"/>
        <c:overlap val="100"/>
        <c:axId val="1899062895"/>
        <c:axId val="1909776639"/>
      </c:barChart>
      <c:catAx>
        <c:axId val="189906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776639"/>
        <c:crosses val="autoZero"/>
        <c:auto val="1"/>
        <c:lblAlgn val="ctr"/>
        <c:lblOffset val="100"/>
        <c:noMultiLvlLbl val="0"/>
      </c:catAx>
      <c:valAx>
        <c:axId val="190977663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062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94-4821-88F1-12F7E9962C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94-4821-88F1-12F7E9962C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94-4821-88F1-12F7E9962C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E94-4821-88F1-12F7E9962C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E94-4821-88F1-12F7E9962CF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E94-4821-88F1-12F7E9962CF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E94-4821-88F1-12F7E9962CF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E94-4821-88F1-12F7E9962CF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E94-4821-88F1-12F7E9962CF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E94-4821-88F1-12F7E9962CF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E94-4821-88F1-12F7E9962CF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E94-4821-88F1-12F7E9962CF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E94-4821-88F1-12F7E9962CF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E94-4821-88F1-12F7E9962CF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E94-4821-88F1-12F7E9962CF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E94-4821-88F1-12F7E9962CF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E94-4821-88F1-12F7E9962CF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E94-4821-88F1-12F7E9962CF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E94-4821-88F1-12F7E9962CF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E94-4821-88F1-12F7E9962CFC}"/>
              </c:ext>
            </c:extLst>
          </c:dPt>
          <c:cat>
            <c:strRef>
              <c:f>'results (2)'!$A$2:$A$21</c:f>
              <c:strCache>
                <c:ptCount val="20"/>
                <c:pt idx="0">
                  <c:v>ITO glass</c:v>
                </c:pt>
                <c:pt idx="1">
                  <c:v>SnO₂</c:v>
                </c:pt>
                <c:pt idx="2">
                  <c:v>H₂O</c:v>
                </c:pt>
                <c:pt idx="3">
                  <c:v>PbI₂</c:v>
                </c:pt>
                <c:pt idx="4">
                  <c:v>DMF</c:v>
                </c:pt>
                <c:pt idx="5">
                  <c:v>DMSO</c:v>
                </c:pt>
                <c:pt idx="6">
                  <c:v>FAI</c:v>
                </c:pt>
                <c:pt idx="7">
                  <c:v>MABr</c:v>
                </c:pt>
                <c:pt idx="8">
                  <c:v>MACl</c:v>
                </c:pt>
                <c:pt idx="9">
                  <c:v>Isopropanol</c:v>
                </c:pt>
                <c:pt idx="10">
                  <c:v>Spiro-OMeTAD</c:v>
                </c:pt>
                <c:pt idx="11">
                  <c:v>LiTFSI</c:v>
                </c:pt>
                <c:pt idx="12">
                  <c:v>Acetonitrile</c:v>
                </c:pt>
                <c:pt idx="13">
                  <c:v>4-tert Butylpyridine</c:v>
                </c:pt>
                <c:pt idx="14">
                  <c:v>Chlorobenzene</c:v>
                </c:pt>
                <c:pt idx="15">
                  <c:v>Cu</c:v>
                </c:pt>
                <c:pt idx="16">
                  <c:v>Ar</c:v>
                </c:pt>
                <c:pt idx="17">
                  <c:v>O₂</c:v>
                </c:pt>
                <c:pt idx="18">
                  <c:v>Adhesive</c:v>
                </c:pt>
                <c:pt idx="19">
                  <c:v>PET</c:v>
                </c:pt>
              </c:strCache>
            </c:strRef>
          </c:cat>
          <c:val>
            <c:numRef>
              <c:f>'results (2)'!$C$2:$C$21</c:f>
              <c:numCache>
                <c:formatCode>General</c:formatCode>
                <c:ptCount val="20"/>
                <c:pt idx="0">
                  <c:v>29.222870408888099</c:v>
                </c:pt>
                <c:pt idx="1">
                  <c:v>3.7774549302499995E-2</c:v>
                </c:pt>
                <c:pt idx="2">
                  <c:v>1.2149445721202592E-4</c:v>
                </c:pt>
                <c:pt idx="3">
                  <c:v>5.9957782482828542E-2</c:v>
                </c:pt>
                <c:pt idx="4">
                  <c:v>0.12919759675539927</c:v>
                </c:pt>
                <c:pt idx="5">
                  <c:v>5.9398302219234068E-3</c:v>
                </c:pt>
                <c:pt idx="6">
                  <c:v>0.42337780030357741</c:v>
                </c:pt>
                <c:pt idx="7">
                  <c:v>1.865990772517371</c:v>
                </c:pt>
                <c:pt idx="8">
                  <c:v>2.8340510885295118E-6</c:v>
                </c:pt>
                <c:pt idx="9">
                  <c:v>3.3424294376453116</c:v>
                </c:pt>
                <c:pt idx="10">
                  <c:v>0.51315829357722298</c:v>
                </c:pt>
                <c:pt idx="11">
                  <c:v>2.2981147890881671E-2</c:v>
                </c:pt>
                <c:pt idx="12">
                  <c:v>1.1011636458905816E-2</c:v>
                </c:pt>
                <c:pt idx="13">
                  <c:v>1.8248398073474791E-2</c:v>
                </c:pt>
                <c:pt idx="14">
                  <c:v>0.3158692872487171</c:v>
                </c:pt>
                <c:pt idx="15">
                  <c:v>3.2747443559147528E-2</c:v>
                </c:pt>
                <c:pt idx="16">
                  <c:v>2.6195734909818178</c:v>
                </c:pt>
                <c:pt idx="17">
                  <c:v>1.0469033187490908E-3</c:v>
                </c:pt>
                <c:pt idx="18">
                  <c:v>1.121768096012</c:v>
                </c:pt>
                <c:pt idx="19">
                  <c:v>4.876431431436</c:v>
                </c:pt>
              </c:numCache>
            </c:numRef>
          </c:val>
          <c:extLst>
            <c:ext xmlns:c16="http://schemas.microsoft.com/office/drawing/2014/chart" uri="{C3380CC4-5D6E-409C-BE32-E72D297353CC}">
              <c16:uniqueId val="{00000028-4E94-4821-88F1-12F7E9962CFC}"/>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F1-41B9-A633-B0652F93CD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F1-41B9-A633-B0652F93CD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F1-41B9-A633-B0652F93CD1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FF1-41B9-A633-B0652F93CD1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FF1-41B9-A633-B0652F93CD1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FF1-41B9-A633-B0652F93CD1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FF1-41B9-A633-B0652F93CD1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FF1-41B9-A633-B0652F93CD1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FF1-41B9-A633-B0652F93CD1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FF1-41B9-A633-B0652F93CD19}"/>
              </c:ext>
            </c:extLst>
          </c:dPt>
          <c:cat>
            <c:strRef>
              <c:f>'results (2)'!$A$22:$A$31</c:f>
              <c:strCache>
                <c:ptCount val="10"/>
                <c:pt idx="0">
                  <c:v>UV/O₃ cleaning</c:v>
                </c:pt>
                <c:pt idx="1">
                  <c:v>ETL slot-die coating</c:v>
                </c:pt>
                <c:pt idx="2">
                  <c:v>ETL annealing</c:v>
                </c:pt>
                <c:pt idx="3">
                  <c:v>PL 1st-step slot-die coating</c:v>
                </c:pt>
                <c:pt idx="4">
                  <c:v>PL annealing</c:v>
                </c:pt>
                <c:pt idx="5">
                  <c:v>PL 2nd-step slot-die coating</c:v>
                </c:pt>
                <c:pt idx="6">
                  <c:v>PL post-annealing</c:v>
                </c:pt>
                <c:pt idx="7">
                  <c:v>HTL slot-die coating</c:v>
                </c:pt>
                <c:pt idx="8">
                  <c:v>Electrode sputtering</c:v>
                </c:pt>
                <c:pt idx="9">
                  <c:v>Lamination</c:v>
                </c:pt>
              </c:strCache>
            </c:strRef>
          </c:cat>
          <c:val>
            <c:numRef>
              <c:f>'results (2)'!$C$22:$C$31</c:f>
              <c:numCache>
                <c:formatCode>General</c:formatCode>
                <c:ptCount val="10"/>
                <c:pt idx="0">
                  <c:v>0.28730686288644547</c:v>
                </c:pt>
                <c:pt idx="1">
                  <c:v>0.2602417236290267</c:v>
                </c:pt>
                <c:pt idx="2">
                  <c:v>80.303160434099667</c:v>
                </c:pt>
                <c:pt idx="3">
                  <c:v>0.37177389089860957</c:v>
                </c:pt>
                <c:pt idx="4">
                  <c:v>1.2491602734193281</c:v>
                </c:pt>
                <c:pt idx="5">
                  <c:v>0.37177389089860957</c:v>
                </c:pt>
                <c:pt idx="6">
                  <c:v>40.151580217049833</c:v>
                </c:pt>
                <c:pt idx="7">
                  <c:v>1.7349448241935115</c:v>
                </c:pt>
                <c:pt idx="8">
                  <c:v>79.113483983224114</c:v>
                </c:pt>
                <c:pt idx="9">
                  <c:v>0.15614503417741601</c:v>
                </c:pt>
              </c:numCache>
            </c:numRef>
          </c:val>
          <c:extLst>
            <c:ext xmlns:c16="http://schemas.microsoft.com/office/drawing/2014/chart" uri="{C3380CC4-5D6E-409C-BE32-E72D297353CC}">
              <c16:uniqueId val="{00000014-DFF1-41B9-A633-B0652F93CD1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59-498D-BAA2-2A5D6F0299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59-498D-BAA2-2A5D6F0299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59-498D-BAA2-2A5D6F0299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D59-498D-BAA2-2A5D6F0299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D59-498D-BAA2-2A5D6F0299B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D59-498D-BAA2-2A5D6F0299B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D59-498D-BAA2-2A5D6F0299B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D59-498D-BAA2-2A5D6F0299B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D59-498D-BAA2-2A5D6F0299B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D59-498D-BAA2-2A5D6F0299B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D59-498D-BAA2-2A5D6F0299B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D59-498D-BAA2-2A5D6F0299B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D59-498D-BAA2-2A5D6F0299B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D59-498D-BAA2-2A5D6F0299B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D59-498D-BAA2-2A5D6F0299B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D59-498D-BAA2-2A5D6F0299B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D59-498D-BAA2-2A5D6F0299B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D59-498D-BAA2-2A5D6F0299B6}"/>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D59-498D-BAA2-2A5D6F0299B6}"/>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D59-498D-BAA2-2A5D6F0299B6}"/>
              </c:ext>
            </c:extLst>
          </c:dPt>
          <c:cat>
            <c:strRef>
              <c:f>'results (2)'!$A$2:$A$21</c:f>
              <c:strCache>
                <c:ptCount val="20"/>
                <c:pt idx="0">
                  <c:v>ITO glass</c:v>
                </c:pt>
                <c:pt idx="1">
                  <c:v>SnO₂</c:v>
                </c:pt>
                <c:pt idx="2">
                  <c:v>H₂O</c:v>
                </c:pt>
                <c:pt idx="3">
                  <c:v>PbI₂</c:v>
                </c:pt>
                <c:pt idx="4">
                  <c:v>DMF</c:v>
                </c:pt>
                <c:pt idx="5">
                  <c:v>DMSO</c:v>
                </c:pt>
                <c:pt idx="6">
                  <c:v>FAI</c:v>
                </c:pt>
                <c:pt idx="7">
                  <c:v>MABr</c:v>
                </c:pt>
                <c:pt idx="8">
                  <c:v>MACl</c:v>
                </c:pt>
                <c:pt idx="9">
                  <c:v>Isopropanol</c:v>
                </c:pt>
                <c:pt idx="10">
                  <c:v>Spiro-OMeTAD</c:v>
                </c:pt>
                <c:pt idx="11">
                  <c:v>LiTFSI</c:v>
                </c:pt>
                <c:pt idx="12">
                  <c:v>Acetonitrile</c:v>
                </c:pt>
                <c:pt idx="13">
                  <c:v>4-tert Butylpyridine</c:v>
                </c:pt>
                <c:pt idx="14">
                  <c:v>Chlorobenzene</c:v>
                </c:pt>
                <c:pt idx="15">
                  <c:v>Cu</c:v>
                </c:pt>
                <c:pt idx="16">
                  <c:v>Ar</c:v>
                </c:pt>
                <c:pt idx="17">
                  <c:v>O₂</c:v>
                </c:pt>
                <c:pt idx="18">
                  <c:v>Adhesive</c:v>
                </c:pt>
                <c:pt idx="19">
                  <c:v>PET</c:v>
                </c:pt>
              </c:strCache>
            </c:strRef>
          </c:cat>
          <c:val>
            <c:numRef>
              <c:f>'results (2)'!$B$2:$B$21</c:f>
              <c:numCache>
                <c:formatCode>General</c:formatCode>
                <c:ptCount val="20"/>
                <c:pt idx="0">
                  <c:v>1.6837863429999995</c:v>
                </c:pt>
                <c:pt idx="1">
                  <c:v>2.4568249999999997E-3</c:v>
                </c:pt>
                <c:pt idx="2">
                  <c:v>8.8302478460674152E-6</c:v>
                </c:pt>
                <c:pt idx="3">
                  <c:v>5.0422090564514258E-3</c:v>
                </c:pt>
                <c:pt idx="4">
                  <c:v>4.7500373710823293E-3</c:v>
                </c:pt>
                <c:pt idx="5">
                  <c:v>1.2872013029725408E-4</c:v>
                </c:pt>
                <c:pt idx="6">
                  <c:v>2.3900391307546311E-2</c:v>
                </c:pt>
                <c:pt idx="7">
                  <c:v>0.10592670348814012</c:v>
                </c:pt>
                <c:pt idx="8">
                  <c:v>1.5715091537824337E-7</c:v>
                </c:pt>
                <c:pt idx="9">
                  <c:v>0.10111823698954497</c:v>
                </c:pt>
                <c:pt idx="10">
                  <c:v>3.1854997688690531E-2</c:v>
                </c:pt>
                <c:pt idx="11">
                  <c:v>1.4649900522011319E-3</c:v>
                </c:pt>
                <c:pt idx="12">
                  <c:v>4.0681139631535285E-4</c:v>
                </c:pt>
                <c:pt idx="13">
                  <c:v>1.1128396373775934E-3</c:v>
                </c:pt>
                <c:pt idx="14">
                  <c:v>1.3047440743568469E-2</c:v>
                </c:pt>
                <c:pt idx="15">
                  <c:v>2.2772929536000004E-3</c:v>
                </c:pt>
                <c:pt idx="16">
                  <c:v>0.17435194181818181</c:v>
                </c:pt>
                <c:pt idx="17">
                  <c:v>7.6841745454545455E-5</c:v>
                </c:pt>
                <c:pt idx="18">
                  <c:v>5.8513339999999997E-2</c:v>
                </c:pt>
                <c:pt idx="19">
                  <c:v>0.19433649</c:v>
                </c:pt>
              </c:numCache>
            </c:numRef>
          </c:val>
          <c:extLst>
            <c:ext xmlns:c16="http://schemas.microsoft.com/office/drawing/2014/chart" uri="{C3380CC4-5D6E-409C-BE32-E72D297353CC}">
              <c16:uniqueId val="{00000028-4D59-498D-BAA2-2A5D6F0299B6}"/>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D6-46C7-86F6-9E895E6FC7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D6-46C7-86F6-9E895E6FC76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D6-46C7-86F6-9E895E6FC76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2D6-46C7-86F6-9E895E6FC76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2D6-46C7-86F6-9E895E6FC76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2D6-46C7-86F6-9E895E6FC76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2D6-46C7-86F6-9E895E6FC76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2D6-46C7-86F6-9E895E6FC76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2D6-46C7-86F6-9E895E6FC76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2D6-46C7-86F6-9E895E6FC76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2D6-46C7-86F6-9E895E6FC76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2D6-46C7-86F6-9E895E6FC76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2D6-46C7-86F6-9E895E6FC76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2D6-46C7-86F6-9E895E6FC76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2D6-46C7-86F6-9E895E6FC76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B2D6-46C7-86F6-9E895E6FC76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B2D6-46C7-86F6-9E895E6FC76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B2D6-46C7-86F6-9E895E6FC76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B6C-436E-89E8-437783A4490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FB6C-436E-89E8-437783A44901}"/>
              </c:ext>
            </c:extLst>
          </c:dPt>
          <c:cat>
            <c:strRef>
              <c:f>results!$A$2:$A$21</c:f>
              <c:strCache>
                <c:ptCount val="20"/>
                <c:pt idx="0">
                  <c:v>ITO glass</c:v>
                </c:pt>
                <c:pt idx="1">
                  <c:v>SnO₂</c:v>
                </c:pt>
                <c:pt idx="2">
                  <c:v>H₂O</c:v>
                </c:pt>
                <c:pt idx="3">
                  <c:v>PbI₂</c:v>
                </c:pt>
                <c:pt idx="4">
                  <c:v>DMF</c:v>
                </c:pt>
                <c:pt idx="5">
                  <c:v>DMSO</c:v>
                </c:pt>
                <c:pt idx="6">
                  <c:v>FAI</c:v>
                </c:pt>
                <c:pt idx="7">
                  <c:v>MABr</c:v>
                </c:pt>
                <c:pt idx="8">
                  <c:v>MACl</c:v>
                </c:pt>
                <c:pt idx="9">
                  <c:v>Isopropanol</c:v>
                </c:pt>
                <c:pt idx="10">
                  <c:v>Spiro-OMeTAD</c:v>
                </c:pt>
                <c:pt idx="11">
                  <c:v>LiTFSI</c:v>
                </c:pt>
                <c:pt idx="12">
                  <c:v>Acetonitrile</c:v>
                </c:pt>
                <c:pt idx="13">
                  <c:v>4-tert Butylpyridine</c:v>
                </c:pt>
                <c:pt idx="14">
                  <c:v>Chlorobenzene</c:v>
                </c:pt>
                <c:pt idx="15">
                  <c:v>Cu</c:v>
                </c:pt>
                <c:pt idx="16">
                  <c:v>Ar</c:v>
                </c:pt>
                <c:pt idx="17">
                  <c:v>O₂</c:v>
                </c:pt>
                <c:pt idx="18">
                  <c:v>Adhesive</c:v>
                </c:pt>
                <c:pt idx="19">
                  <c:v>PET</c:v>
                </c:pt>
              </c:strCache>
            </c:strRef>
          </c:cat>
          <c:val>
            <c:numRef>
              <c:f>results!$C$2:$C$21</c:f>
              <c:numCache>
                <c:formatCode>General</c:formatCode>
                <c:ptCount val="20"/>
                <c:pt idx="0">
                  <c:v>292.22870408888105</c:v>
                </c:pt>
                <c:pt idx="1">
                  <c:v>3.7774549302499995E-2</c:v>
                </c:pt>
                <c:pt idx="2">
                  <c:v>1.2149445721202592E-4</c:v>
                </c:pt>
                <c:pt idx="3">
                  <c:v>5.9957782482828542E-2</c:v>
                </c:pt>
                <c:pt idx="4">
                  <c:v>0.12919759675539927</c:v>
                </c:pt>
                <c:pt idx="5">
                  <c:v>5.9398302219234068E-3</c:v>
                </c:pt>
                <c:pt idx="6">
                  <c:v>0.42337780030357741</c:v>
                </c:pt>
                <c:pt idx="7">
                  <c:v>1.865990772517371</c:v>
                </c:pt>
                <c:pt idx="8">
                  <c:v>2.8340510885295118E-6</c:v>
                </c:pt>
                <c:pt idx="9">
                  <c:v>3.3424294376453116</c:v>
                </c:pt>
                <c:pt idx="10">
                  <c:v>0.51315829357722298</c:v>
                </c:pt>
                <c:pt idx="11">
                  <c:v>2.2981147890881671E-2</c:v>
                </c:pt>
                <c:pt idx="12">
                  <c:v>1.1011636458905816E-2</c:v>
                </c:pt>
                <c:pt idx="13">
                  <c:v>1.8248398073474791E-2</c:v>
                </c:pt>
                <c:pt idx="14">
                  <c:v>0.3158692872487171</c:v>
                </c:pt>
                <c:pt idx="15">
                  <c:v>6.2376082969804805E-2</c:v>
                </c:pt>
                <c:pt idx="16">
                  <c:v>2.6195734909818178</c:v>
                </c:pt>
                <c:pt idx="17">
                  <c:v>1.0469033187490908E-3</c:v>
                </c:pt>
                <c:pt idx="18">
                  <c:v>1.121768096012</c:v>
                </c:pt>
                <c:pt idx="19">
                  <c:v>4.876431431436</c:v>
                </c:pt>
              </c:numCache>
            </c:numRef>
          </c:val>
          <c:extLst>
            <c:ext xmlns:c16="http://schemas.microsoft.com/office/drawing/2014/chart" uri="{C3380CC4-5D6E-409C-BE32-E72D297353CC}">
              <c16:uniqueId val="{00000000-30C0-4DC7-AEF7-8C325808D65F}"/>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4F-40CD-8682-BC5ED0A031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4F-40CD-8682-BC5ED0A031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4F-40CD-8682-BC5ED0A031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C4F-40CD-8682-BC5ED0A0315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C4F-40CD-8682-BC5ED0A0315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C4F-40CD-8682-BC5ED0A0315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C4F-40CD-8682-BC5ED0A0315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C4F-40CD-8682-BC5ED0A0315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C4F-40CD-8682-BC5ED0A0315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C4F-40CD-8682-BC5ED0A0315F}"/>
              </c:ext>
            </c:extLst>
          </c:dPt>
          <c:cat>
            <c:strRef>
              <c:f>results!$A$22:$A$31</c:f>
              <c:strCache>
                <c:ptCount val="10"/>
                <c:pt idx="0">
                  <c:v>UV/O₃ cleaning</c:v>
                </c:pt>
                <c:pt idx="1">
                  <c:v>ETL slot-die coating</c:v>
                </c:pt>
                <c:pt idx="2">
                  <c:v>ETL annealing</c:v>
                </c:pt>
                <c:pt idx="3">
                  <c:v>PL 1st-step slot-die coating</c:v>
                </c:pt>
                <c:pt idx="4">
                  <c:v>PL annealing</c:v>
                </c:pt>
                <c:pt idx="5">
                  <c:v>PL 2nd-step slot-die coating</c:v>
                </c:pt>
                <c:pt idx="6">
                  <c:v>PL post-annealing</c:v>
                </c:pt>
                <c:pt idx="7">
                  <c:v>HTL slot-die coating</c:v>
                </c:pt>
                <c:pt idx="8">
                  <c:v>Electrode sputtering</c:v>
                </c:pt>
                <c:pt idx="9">
                  <c:v>Lamination</c:v>
                </c:pt>
              </c:strCache>
            </c:strRef>
          </c:cat>
          <c:val>
            <c:numRef>
              <c:f>results!$C$22:$C$31</c:f>
              <c:numCache>
                <c:formatCode>General</c:formatCode>
                <c:ptCount val="10"/>
                <c:pt idx="0">
                  <c:v>0.28730686288644547</c:v>
                </c:pt>
                <c:pt idx="1">
                  <c:v>0.2602417236290267</c:v>
                </c:pt>
                <c:pt idx="2">
                  <c:v>80.303160434099667</c:v>
                </c:pt>
                <c:pt idx="3">
                  <c:v>0.37177389089860957</c:v>
                </c:pt>
                <c:pt idx="4">
                  <c:v>1.2491602734193281</c:v>
                </c:pt>
                <c:pt idx="5">
                  <c:v>0.37177389089860957</c:v>
                </c:pt>
                <c:pt idx="6">
                  <c:v>40.151580217049833</c:v>
                </c:pt>
                <c:pt idx="7">
                  <c:v>1.7349448241935115</c:v>
                </c:pt>
                <c:pt idx="8">
                  <c:v>79.113483983224114</c:v>
                </c:pt>
                <c:pt idx="9">
                  <c:v>0.15614503417741601</c:v>
                </c:pt>
              </c:numCache>
            </c:numRef>
          </c:val>
          <c:extLst>
            <c:ext xmlns:c16="http://schemas.microsoft.com/office/drawing/2014/chart" uri="{C3380CC4-5D6E-409C-BE32-E72D297353CC}">
              <c16:uniqueId val="{00000000-BF90-43F5-9496-825A84BFD08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62-47EC-A8A1-862016F9BB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62-47EC-A8A1-862016F9BB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62-47EC-A8A1-862016F9BB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62-47EC-A8A1-862016F9BB0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A62-47EC-A8A1-862016F9BB0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A62-47EC-A8A1-862016F9BB0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A62-47EC-A8A1-862016F9BB0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A62-47EC-A8A1-862016F9BB0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A62-47EC-A8A1-862016F9BB0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A62-47EC-A8A1-862016F9BB0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A62-47EC-A8A1-862016F9BB0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A62-47EC-A8A1-862016F9BB0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A62-47EC-A8A1-862016F9BB0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A62-47EC-A8A1-862016F9BB0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A62-47EC-A8A1-862016F9BB0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1A62-47EC-A8A1-862016F9BB03}"/>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1A62-47EC-A8A1-862016F9BB03}"/>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1A62-47EC-A8A1-862016F9BB03}"/>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03DF-40A3-BB8C-E7E20CECFA75}"/>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03DF-40A3-BB8C-E7E20CECFA75}"/>
              </c:ext>
            </c:extLst>
          </c:dPt>
          <c:cat>
            <c:strRef>
              <c:f>results!$A$2:$A$21</c:f>
              <c:strCache>
                <c:ptCount val="20"/>
                <c:pt idx="0">
                  <c:v>ITO glass</c:v>
                </c:pt>
                <c:pt idx="1">
                  <c:v>SnO₂</c:v>
                </c:pt>
                <c:pt idx="2">
                  <c:v>H₂O</c:v>
                </c:pt>
                <c:pt idx="3">
                  <c:v>PbI₂</c:v>
                </c:pt>
                <c:pt idx="4">
                  <c:v>DMF</c:v>
                </c:pt>
                <c:pt idx="5">
                  <c:v>DMSO</c:v>
                </c:pt>
                <c:pt idx="6">
                  <c:v>FAI</c:v>
                </c:pt>
                <c:pt idx="7">
                  <c:v>MABr</c:v>
                </c:pt>
                <c:pt idx="8">
                  <c:v>MACl</c:v>
                </c:pt>
                <c:pt idx="9">
                  <c:v>Isopropanol</c:v>
                </c:pt>
                <c:pt idx="10">
                  <c:v>Spiro-OMeTAD</c:v>
                </c:pt>
                <c:pt idx="11">
                  <c:v>LiTFSI</c:v>
                </c:pt>
                <c:pt idx="12">
                  <c:v>Acetonitrile</c:v>
                </c:pt>
                <c:pt idx="13">
                  <c:v>4-tert Butylpyridine</c:v>
                </c:pt>
                <c:pt idx="14">
                  <c:v>Chlorobenzene</c:v>
                </c:pt>
                <c:pt idx="15">
                  <c:v>Cu</c:v>
                </c:pt>
                <c:pt idx="16">
                  <c:v>Ar</c:v>
                </c:pt>
                <c:pt idx="17">
                  <c:v>O₂</c:v>
                </c:pt>
                <c:pt idx="18">
                  <c:v>Adhesive</c:v>
                </c:pt>
                <c:pt idx="19">
                  <c:v>PET</c:v>
                </c:pt>
              </c:strCache>
            </c:strRef>
          </c:cat>
          <c:val>
            <c:numRef>
              <c:f>results!$B$2:$B$21</c:f>
              <c:numCache>
                <c:formatCode>General</c:formatCode>
                <c:ptCount val="20"/>
                <c:pt idx="0">
                  <c:v>16.837863429999999</c:v>
                </c:pt>
                <c:pt idx="1">
                  <c:v>2.4568249999999997E-3</c:v>
                </c:pt>
                <c:pt idx="2">
                  <c:v>8.8302478460674152E-6</c:v>
                </c:pt>
                <c:pt idx="3">
                  <c:v>5.0422090564514258E-3</c:v>
                </c:pt>
                <c:pt idx="4">
                  <c:v>4.7500373710823293E-3</c:v>
                </c:pt>
                <c:pt idx="5">
                  <c:v>1.2872013029725408E-4</c:v>
                </c:pt>
                <c:pt idx="6">
                  <c:v>2.3900391307546311E-2</c:v>
                </c:pt>
                <c:pt idx="7">
                  <c:v>0.10592670348814012</c:v>
                </c:pt>
                <c:pt idx="8">
                  <c:v>1.5715091537824337E-7</c:v>
                </c:pt>
                <c:pt idx="9">
                  <c:v>0.10111823698954497</c:v>
                </c:pt>
                <c:pt idx="10">
                  <c:v>3.1854997688690531E-2</c:v>
                </c:pt>
                <c:pt idx="11">
                  <c:v>1.4649900522011319E-3</c:v>
                </c:pt>
                <c:pt idx="12">
                  <c:v>4.0681139631535285E-4</c:v>
                </c:pt>
                <c:pt idx="13">
                  <c:v>1.1128396373775934E-3</c:v>
                </c:pt>
                <c:pt idx="14">
                  <c:v>1.3047440743568469E-2</c:v>
                </c:pt>
                <c:pt idx="15">
                  <c:v>4.3377008640000008E-3</c:v>
                </c:pt>
                <c:pt idx="16">
                  <c:v>0.17435194181818181</c:v>
                </c:pt>
                <c:pt idx="17">
                  <c:v>7.6841745454545455E-5</c:v>
                </c:pt>
                <c:pt idx="18">
                  <c:v>5.8513339999999997E-2</c:v>
                </c:pt>
                <c:pt idx="19">
                  <c:v>0.19433649</c:v>
                </c:pt>
              </c:numCache>
            </c:numRef>
          </c:val>
          <c:extLst>
            <c:ext xmlns:c16="http://schemas.microsoft.com/office/drawing/2014/chart" uri="{C3380CC4-5D6E-409C-BE32-E72D297353CC}">
              <c16:uniqueId val="{00000000-F6B3-4960-9D50-346C9CB0D0CB}"/>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71909667541557"/>
          <c:y val="2.7777777777777801E-2"/>
        </c:manualLayout>
      </c:layout>
      <c:overlay val="0"/>
      <c:spPr>
        <a:noFill/>
        <a:ln>
          <a:noFill/>
        </a:ln>
        <a:effectLst/>
      </c:spPr>
      <c:txPr>
        <a:bodyPr rot="0" spcFirstLastPara="1" vertOverflow="ellipsis" vert="horz" wrap="square" anchor="ctr" anchorCtr="1"/>
        <a:lstStyle/>
        <a:p>
          <a:pPr>
            <a:defRPr lang="zh-CN"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tx>
            <c:strRef>
              <c:f>uncertainty!$R$1</c:f>
              <c:strCache>
                <c:ptCount val="1"/>
                <c:pt idx="0">
                  <c:v>EPBT</c:v>
                </c:pt>
              </c:strCache>
            </c:strRef>
          </c:tx>
          <c:spPr>
            <a:solidFill>
              <a:schemeClr val="accent1"/>
            </a:solidFill>
            <a:ln>
              <a:noFill/>
            </a:ln>
            <a:effectLst/>
          </c:spPr>
          <c:invertIfNegative val="0"/>
          <c:dLbls>
            <c:dLbl>
              <c:idx val="3"/>
              <c:layout>
                <c:manualLayout>
                  <c:x val="-4.517278144287905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956-4072-99A9-47D796ED321F}"/>
                </c:ext>
              </c:extLst>
            </c:dLbl>
            <c:spPr>
              <a:noFill/>
              <a:ln>
                <a:noFill/>
              </a:ln>
              <a:effectLst/>
            </c:spPr>
            <c:txPr>
              <a:bodyPr rot="0" spcFirstLastPara="1" vertOverflow="ellipsis" vert="horz" wrap="square" lIns="38100" tIns="19050" rIns="38100" bIns="19050" anchor="ctr" anchorCtr="1">
                <a:spAutoFit/>
              </a:bodyPr>
              <a:lstStyle/>
              <a:p>
                <a:pPr>
                  <a:defRPr lang="zh-CN"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uncertainty!$Q$2:$Q$5</c:f>
              <c:strCache>
                <c:ptCount val="4"/>
                <c:pt idx="0">
                  <c:v>Insolation</c:v>
                </c:pt>
                <c:pt idx="1">
                  <c:v>Module efficiency</c:v>
                </c:pt>
                <c:pt idx="2">
                  <c:v>Primary energy consumption</c:v>
                </c:pt>
                <c:pt idx="3">
                  <c:v>Performance ratio</c:v>
                </c:pt>
              </c:strCache>
            </c:strRef>
          </c:cat>
          <c:val>
            <c:numRef>
              <c:f>uncertainty!$R$2:$R$5</c:f>
              <c:numCache>
                <c:formatCode>0.000%</c:formatCode>
                <c:ptCount val="4"/>
                <c:pt idx="0">
                  <c:v>-1.8859999999999998E-2</c:v>
                </c:pt>
                <c:pt idx="1">
                  <c:v>-3.959E-2</c:v>
                </c:pt>
                <c:pt idx="2" formatCode="0.00%">
                  <c:v>0.1845</c:v>
                </c:pt>
                <c:pt idx="3" formatCode="0.00%">
                  <c:v>-0.7571</c:v>
                </c:pt>
              </c:numCache>
            </c:numRef>
          </c:val>
          <c:extLst>
            <c:ext xmlns:c16="http://schemas.microsoft.com/office/drawing/2014/chart" uri="{C3380CC4-5D6E-409C-BE32-E72D297353CC}">
              <c16:uniqueId val="{00000001-9956-4072-99A9-47D796ED321F}"/>
            </c:ext>
          </c:extLst>
        </c:ser>
        <c:dLbls>
          <c:showLegendKey val="0"/>
          <c:showVal val="1"/>
          <c:showCatName val="0"/>
          <c:showSerName val="0"/>
          <c:showPercent val="0"/>
          <c:showBubbleSize val="0"/>
        </c:dLbls>
        <c:gapWidth val="182"/>
        <c:axId val="1206799183"/>
        <c:axId val="1159558863"/>
      </c:barChart>
      <c:catAx>
        <c:axId val="1206799183"/>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lang="zh-CN"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59558863"/>
        <c:crosses val="autoZero"/>
        <c:auto val="1"/>
        <c:lblAlgn val="ctr"/>
        <c:lblOffset val="100"/>
        <c:noMultiLvlLbl val="0"/>
      </c:catAx>
      <c:valAx>
        <c:axId val="1159558863"/>
        <c:scaling>
          <c:orientation val="minMax"/>
        </c:scaling>
        <c:delete val="0"/>
        <c:axPos val="b"/>
        <c:majorGridlines>
          <c:spPr>
            <a:ln w="9525" cap="flat" cmpd="sng" algn="ctr">
              <a:solidFill>
                <a:schemeClr val="bg1"/>
              </a:solidFill>
              <a:round/>
            </a:ln>
            <a:effectLst/>
          </c:spPr>
        </c:majorGridlines>
        <c:numFmt formatCode="0%" sourceLinked="0"/>
        <c:majorTickMark val="in"/>
        <c:minorTickMark val="none"/>
        <c:tickLblPos val="low"/>
        <c:spPr>
          <a:noFill/>
          <a:ln>
            <a:solidFill>
              <a:schemeClr val="tx1"/>
            </a:solidFill>
          </a:ln>
          <a:effectLst/>
        </c:spPr>
        <c:txPr>
          <a:bodyPr rot="-60000000" spcFirstLastPara="1" vertOverflow="ellipsis" vert="horz" wrap="square" anchor="ctr" anchorCtr="1"/>
          <a:lstStyle/>
          <a:p>
            <a:pPr>
              <a:defRPr lang="zh-CN"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20679918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zh-CN"/>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tx>
            <c:strRef>
              <c:f>uncertainty!$T$1</c:f>
              <c:strCache>
                <c:ptCount val="1"/>
                <c:pt idx="0">
                  <c:v>GHG emission factor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uncertainty!$S$2:$S$6</c:f>
              <c:strCache>
                <c:ptCount val="5"/>
                <c:pt idx="0">
                  <c:v>Insolation</c:v>
                </c:pt>
                <c:pt idx="1">
                  <c:v>Module efficiency</c:v>
                </c:pt>
                <c:pt idx="2">
                  <c:v>Carbon footprint</c:v>
                </c:pt>
                <c:pt idx="3">
                  <c:v>Lifetime</c:v>
                </c:pt>
                <c:pt idx="4">
                  <c:v>Performance ratio</c:v>
                </c:pt>
              </c:strCache>
            </c:strRef>
          </c:cat>
          <c:val>
            <c:numRef>
              <c:f>uncertainty!$T$2:$T$6</c:f>
              <c:numCache>
                <c:formatCode>0.000%</c:formatCode>
                <c:ptCount val="5"/>
                <c:pt idx="0">
                  <c:v>-1.482E-2</c:v>
                </c:pt>
                <c:pt idx="1">
                  <c:v>-2.954E-2</c:v>
                </c:pt>
                <c:pt idx="2" formatCode="0.00%">
                  <c:v>0.1368</c:v>
                </c:pt>
                <c:pt idx="3" formatCode="0.00%">
                  <c:v>-0.25009999999999999</c:v>
                </c:pt>
                <c:pt idx="4" formatCode="0.00%">
                  <c:v>-0.56879999999999997</c:v>
                </c:pt>
              </c:numCache>
            </c:numRef>
          </c:val>
          <c:extLst>
            <c:ext xmlns:c16="http://schemas.microsoft.com/office/drawing/2014/chart" uri="{C3380CC4-5D6E-409C-BE32-E72D297353CC}">
              <c16:uniqueId val="{00000000-C9E8-4917-8581-7F29B316520D}"/>
            </c:ext>
          </c:extLst>
        </c:ser>
        <c:dLbls>
          <c:showLegendKey val="0"/>
          <c:showVal val="1"/>
          <c:showCatName val="0"/>
          <c:showSerName val="0"/>
          <c:showPercent val="0"/>
          <c:showBubbleSize val="0"/>
        </c:dLbls>
        <c:gapWidth val="182"/>
        <c:axId val="1244643519"/>
        <c:axId val="1319694255"/>
      </c:barChart>
      <c:catAx>
        <c:axId val="1244643519"/>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lang="zh-CN"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319694255"/>
        <c:crosses val="autoZero"/>
        <c:auto val="1"/>
        <c:lblAlgn val="ctr"/>
        <c:lblOffset val="100"/>
        <c:noMultiLvlLbl val="0"/>
      </c:catAx>
      <c:valAx>
        <c:axId val="1319694255"/>
        <c:scaling>
          <c:orientation val="minMax"/>
          <c:min val="-0.8"/>
        </c:scaling>
        <c:delete val="0"/>
        <c:axPos val="b"/>
        <c:majorGridlines>
          <c:spPr>
            <a:ln w="9525" cap="flat" cmpd="sng" algn="ctr">
              <a:solidFill>
                <a:schemeClr val="bg1"/>
              </a:solidFill>
              <a:round/>
            </a:ln>
            <a:effectLst/>
          </c:spPr>
        </c:majorGridlines>
        <c:numFmt formatCode="0%" sourceLinked="0"/>
        <c:majorTickMark val="in"/>
        <c:minorTickMark val="none"/>
        <c:tickLblPos val="nextTo"/>
        <c:spPr>
          <a:noFill/>
          <a:ln>
            <a:solidFill>
              <a:schemeClr val="tx1"/>
            </a:solidFill>
          </a:ln>
          <a:effectLst/>
        </c:spPr>
        <c:txPr>
          <a:bodyPr rot="-60000000" spcFirstLastPara="1" vertOverflow="ellipsis" vert="horz" wrap="square" anchor="ctr" anchorCtr="1"/>
          <a:lstStyle/>
          <a:p>
            <a:pPr>
              <a:defRPr lang="zh-CN"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24464351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zh-CN"/>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44-42FF-B009-875EBE7F49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44-42FF-B009-875EBE7F49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44-42FF-B009-875EBE7F496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E44-42FF-B009-875EBE7F496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E44-42FF-B009-875EBE7F496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E44-42FF-B009-875EBE7F496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E44-42FF-B009-875EBE7F496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E44-42FF-B009-875EBE7F496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E44-42FF-B009-875EBE7F496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E44-42FF-B009-875EBE7F496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E44-42FF-B009-875EBE7F496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E44-42FF-B009-875EBE7F496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E44-42FF-B009-875EBE7F496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E44-42FF-B009-875EBE7F496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E44-42FF-B009-875EBE7F496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E44-42FF-B009-875EBE7F496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E44-42FF-B009-875EBE7F496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E44-42FF-B009-875EBE7F496B}"/>
              </c:ext>
            </c:extLst>
          </c:dPt>
          <c:cat>
            <c:strRef>
              <c:f>'recycling level-pec'!$A$3:$A$20</c:f>
              <c:strCache>
                <c:ptCount val="18"/>
                <c:pt idx="0">
                  <c:v>ITO glass</c:v>
                </c:pt>
                <c:pt idx="1">
                  <c:v>SnO₂</c:v>
                </c:pt>
                <c:pt idx="2">
                  <c:v>H₂O</c:v>
                </c:pt>
                <c:pt idx="3">
                  <c:v>PbI₂</c:v>
                </c:pt>
                <c:pt idx="4">
                  <c:v>DMF</c:v>
                </c:pt>
                <c:pt idx="5">
                  <c:v>DMSO</c:v>
                </c:pt>
                <c:pt idx="6">
                  <c:v>FAI</c:v>
                </c:pt>
                <c:pt idx="7">
                  <c:v>MABr</c:v>
                </c:pt>
                <c:pt idx="8">
                  <c:v>MACl</c:v>
                </c:pt>
                <c:pt idx="9">
                  <c:v>Isopropanol</c:v>
                </c:pt>
                <c:pt idx="10">
                  <c:v>Spiro-OMeTAD</c:v>
                </c:pt>
                <c:pt idx="11">
                  <c:v>LiTFSI</c:v>
                </c:pt>
                <c:pt idx="12">
                  <c:v>Acetonitrile</c:v>
                </c:pt>
                <c:pt idx="13">
                  <c:v>4-tert Butylpyridine</c:v>
                </c:pt>
                <c:pt idx="14">
                  <c:v>Chlorobenzene</c:v>
                </c:pt>
                <c:pt idx="15">
                  <c:v>Cu</c:v>
                </c:pt>
                <c:pt idx="16">
                  <c:v>Ar</c:v>
                </c:pt>
                <c:pt idx="17">
                  <c:v>O₂</c:v>
                </c:pt>
              </c:strCache>
            </c:strRef>
          </c:cat>
          <c:val>
            <c:numRef>
              <c:f>'recycling level-pec'!$C$3:$C$20</c:f>
              <c:numCache>
                <c:formatCode>General</c:formatCode>
                <c:ptCount val="18"/>
                <c:pt idx="0">
                  <c:v>0</c:v>
                </c:pt>
                <c:pt idx="1">
                  <c:v>0</c:v>
                </c:pt>
                <c:pt idx="2">
                  <c:v>0</c:v>
                </c:pt>
                <c:pt idx="3">
                  <c:v>5.9957782482828542E-2</c:v>
                </c:pt>
                <c:pt idx="4">
                  <c:v>0.12919759675539927</c:v>
                </c:pt>
                <c:pt idx="5">
                  <c:v>5.9398302219234068E-3</c:v>
                </c:pt>
                <c:pt idx="6">
                  <c:v>0.42337780030357741</c:v>
                </c:pt>
                <c:pt idx="7">
                  <c:v>1.865990772517371</c:v>
                </c:pt>
                <c:pt idx="8">
                  <c:v>2.8340510885295118E-6</c:v>
                </c:pt>
                <c:pt idx="9">
                  <c:v>3.3424294376453116</c:v>
                </c:pt>
                <c:pt idx="10">
                  <c:v>0.51315829357722298</c:v>
                </c:pt>
                <c:pt idx="11">
                  <c:v>2.2981147890881671E-2</c:v>
                </c:pt>
                <c:pt idx="12">
                  <c:v>1.1011636458905816E-2</c:v>
                </c:pt>
                <c:pt idx="13">
                  <c:v>1.8248398073474791E-2</c:v>
                </c:pt>
                <c:pt idx="14">
                  <c:v>0.3158692872487171</c:v>
                </c:pt>
                <c:pt idx="15">
                  <c:v>0</c:v>
                </c:pt>
                <c:pt idx="16">
                  <c:v>2.6195734909818178</c:v>
                </c:pt>
                <c:pt idx="17">
                  <c:v>1.0469033187490908E-3</c:v>
                </c:pt>
              </c:numCache>
            </c:numRef>
          </c:val>
          <c:extLst>
            <c:ext xmlns:c16="http://schemas.microsoft.com/office/drawing/2014/chart" uri="{C3380CC4-5D6E-409C-BE32-E72D297353CC}">
              <c16:uniqueId val="{00000000-9F4B-427A-BBBA-CD8372636DE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81-4DE5-AAA8-DB1B768B9D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81-4DE5-AAA8-DB1B768B9D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381-4DE5-AAA8-DB1B768B9D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381-4DE5-AAA8-DB1B768B9D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381-4DE5-AAA8-DB1B768B9D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381-4DE5-AAA8-DB1B768B9DC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381-4DE5-AAA8-DB1B768B9DC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381-4DE5-AAA8-DB1B768B9DC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381-4DE5-AAA8-DB1B768B9DC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381-4DE5-AAA8-DB1B768B9DC2}"/>
              </c:ext>
            </c:extLst>
          </c:dPt>
          <c:cat>
            <c:strRef>
              <c:f>'recycling level-pec'!$A$23:$A$32</c:f>
              <c:strCache>
                <c:ptCount val="10"/>
                <c:pt idx="0">
                  <c:v>ETL slot-die coating</c:v>
                </c:pt>
                <c:pt idx="1">
                  <c:v>ETL annealing</c:v>
                </c:pt>
                <c:pt idx="2">
                  <c:v>PL 1st-step slot-die coating</c:v>
                </c:pt>
                <c:pt idx="3">
                  <c:v>PL annealing</c:v>
                </c:pt>
                <c:pt idx="4">
                  <c:v>PL 2nd-step slot-die coating</c:v>
                </c:pt>
                <c:pt idx="5">
                  <c:v>PL post-annealing</c:v>
                </c:pt>
                <c:pt idx="6">
                  <c:v>HTL slot-die coating</c:v>
                </c:pt>
                <c:pt idx="7">
                  <c:v>Electrode sputtering</c:v>
                </c:pt>
                <c:pt idx="8">
                  <c:v>Lamination</c:v>
                </c:pt>
                <c:pt idx="9">
                  <c:v>UV/O₃ cleaning</c:v>
                </c:pt>
              </c:strCache>
            </c:strRef>
          </c:cat>
          <c:val>
            <c:numRef>
              <c:f>'recycling level-pec'!$C$23:$C$32</c:f>
              <c:numCache>
                <c:formatCode>General</c:formatCode>
                <c:ptCount val="10"/>
                <c:pt idx="0">
                  <c:v>0</c:v>
                </c:pt>
                <c:pt idx="1">
                  <c:v>0</c:v>
                </c:pt>
                <c:pt idx="2">
                  <c:v>0.37177389089860957</c:v>
                </c:pt>
                <c:pt idx="3">
                  <c:v>1.2491602734193281</c:v>
                </c:pt>
                <c:pt idx="4">
                  <c:v>0.37177389089860957</c:v>
                </c:pt>
                <c:pt idx="5">
                  <c:v>40.151580217049833</c:v>
                </c:pt>
                <c:pt idx="6">
                  <c:v>1.7349448241935115</c:v>
                </c:pt>
                <c:pt idx="7">
                  <c:v>79.113483983224114</c:v>
                </c:pt>
                <c:pt idx="8">
                  <c:v>0.15614503417741601</c:v>
                </c:pt>
                <c:pt idx="9">
                  <c:v>0.28730686288644547</c:v>
                </c:pt>
              </c:numCache>
            </c:numRef>
          </c:val>
          <c:extLst>
            <c:ext xmlns:c16="http://schemas.microsoft.com/office/drawing/2014/chart" uri="{C3380CC4-5D6E-409C-BE32-E72D297353CC}">
              <c16:uniqueId val="{00000000-DE8B-4082-910C-23D4C7FE9E2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'results (2)'!$A$2</c:f>
              <c:strCache>
                <c:ptCount val="1"/>
                <c:pt idx="0">
                  <c:v>ITO glass</c:v>
                </c:pt>
              </c:strCache>
            </c:strRef>
          </c:tx>
          <c:spPr>
            <a:solidFill>
              <a:schemeClr val="accent1"/>
            </a:solidFill>
            <a:ln>
              <a:noFill/>
            </a:ln>
            <a:effectLst/>
          </c:spPr>
          <c:invertIfNegative val="0"/>
          <c:cat>
            <c:strRef>
              <c:f>'results (2)'!$D$1:$X$1</c:f>
              <c:strCache>
                <c:ptCount val="5"/>
                <c:pt idx="3">
                  <c:v>Carbon footprint</c:v>
                </c:pt>
                <c:pt idx="4">
                  <c:v>Primary energy consumption</c:v>
                </c:pt>
              </c:strCache>
            </c:strRef>
          </c:cat>
          <c:val>
            <c:numRef>
              <c:f>'results (2)'!$D$2:$X$2</c:f>
              <c:numCache>
                <c:formatCode>0.00E+00</c:formatCode>
                <c:ptCount val="21"/>
                <c:pt idx="3">
                  <c:v>1.6837863429999995</c:v>
                </c:pt>
                <c:pt idx="4">
                  <c:v>29.222870408888099</c:v>
                </c:pt>
              </c:numCache>
            </c:numRef>
          </c:val>
          <c:extLst>
            <c:ext xmlns:c16="http://schemas.microsoft.com/office/drawing/2014/chart" uri="{C3380CC4-5D6E-409C-BE32-E72D297353CC}">
              <c16:uniqueId val="{00000000-C94F-4841-B309-958F9C0AE6C9}"/>
            </c:ext>
          </c:extLst>
        </c:ser>
        <c:ser>
          <c:idx val="1"/>
          <c:order val="1"/>
          <c:tx>
            <c:strRef>
              <c:f>'results (2)'!$A$3</c:f>
              <c:strCache>
                <c:ptCount val="1"/>
                <c:pt idx="0">
                  <c:v>SnO₂</c:v>
                </c:pt>
              </c:strCache>
            </c:strRef>
          </c:tx>
          <c:spPr>
            <a:solidFill>
              <a:schemeClr val="accent2"/>
            </a:solidFill>
            <a:ln>
              <a:noFill/>
            </a:ln>
            <a:effectLst/>
          </c:spPr>
          <c:invertIfNegative val="0"/>
          <c:cat>
            <c:strRef>
              <c:f>'results (2)'!$D$1:$X$1</c:f>
              <c:strCache>
                <c:ptCount val="5"/>
                <c:pt idx="3">
                  <c:v>Carbon footprint</c:v>
                </c:pt>
                <c:pt idx="4">
                  <c:v>Primary energy consumption</c:v>
                </c:pt>
              </c:strCache>
            </c:strRef>
          </c:cat>
          <c:val>
            <c:numRef>
              <c:f>'results (2)'!$D$3:$X$3</c:f>
              <c:numCache>
                <c:formatCode>General</c:formatCode>
                <c:ptCount val="21"/>
                <c:pt idx="3" formatCode="0.00E+00">
                  <c:v>2.4568249999999997E-3</c:v>
                </c:pt>
                <c:pt idx="4" formatCode="0.00E+00">
                  <c:v>3.7774549302499995E-2</c:v>
                </c:pt>
              </c:numCache>
            </c:numRef>
          </c:val>
          <c:extLst>
            <c:ext xmlns:c16="http://schemas.microsoft.com/office/drawing/2014/chart" uri="{C3380CC4-5D6E-409C-BE32-E72D297353CC}">
              <c16:uniqueId val="{00000001-C94F-4841-B309-958F9C0AE6C9}"/>
            </c:ext>
          </c:extLst>
        </c:ser>
        <c:ser>
          <c:idx val="2"/>
          <c:order val="2"/>
          <c:tx>
            <c:strRef>
              <c:f>'results (2)'!$A$4</c:f>
              <c:strCache>
                <c:ptCount val="1"/>
                <c:pt idx="0">
                  <c:v>H₂O</c:v>
                </c:pt>
              </c:strCache>
            </c:strRef>
          </c:tx>
          <c:spPr>
            <a:solidFill>
              <a:schemeClr val="accent3"/>
            </a:solidFill>
            <a:ln>
              <a:noFill/>
            </a:ln>
            <a:effectLst/>
          </c:spPr>
          <c:invertIfNegative val="0"/>
          <c:cat>
            <c:strRef>
              <c:f>'results (2)'!$D$1:$X$1</c:f>
              <c:strCache>
                <c:ptCount val="5"/>
                <c:pt idx="3">
                  <c:v>Carbon footprint</c:v>
                </c:pt>
                <c:pt idx="4">
                  <c:v>Primary energy consumption</c:v>
                </c:pt>
              </c:strCache>
            </c:strRef>
          </c:cat>
          <c:val>
            <c:numRef>
              <c:f>'results (2)'!$D$4:$X$4</c:f>
              <c:numCache>
                <c:formatCode>General</c:formatCode>
                <c:ptCount val="21"/>
                <c:pt idx="3" formatCode="0.00E+00">
                  <c:v>8.8302478460674152E-6</c:v>
                </c:pt>
                <c:pt idx="4" formatCode="0.00E+00">
                  <c:v>1.2149445721202592E-4</c:v>
                </c:pt>
              </c:numCache>
            </c:numRef>
          </c:val>
          <c:extLst>
            <c:ext xmlns:c16="http://schemas.microsoft.com/office/drawing/2014/chart" uri="{C3380CC4-5D6E-409C-BE32-E72D297353CC}">
              <c16:uniqueId val="{00000002-C94F-4841-B309-958F9C0AE6C9}"/>
            </c:ext>
          </c:extLst>
        </c:ser>
        <c:ser>
          <c:idx val="3"/>
          <c:order val="3"/>
          <c:tx>
            <c:strRef>
              <c:f>'results (2)'!$A$5</c:f>
              <c:strCache>
                <c:ptCount val="1"/>
                <c:pt idx="0">
                  <c:v>PbI₂</c:v>
                </c:pt>
              </c:strCache>
            </c:strRef>
          </c:tx>
          <c:spPr>
            <a:solidFill>
              <a:schemeClr val="accent4"/>
            </a:solidFill>
            <a:ln>
              <a:noFill/>
            </a:ln>
            <a:effectLst/>
          </c:spPr>
          <c:invertIfNegative val="0"/>
          <c:cat>
            <c:strRef>
              <c:f>'results (2)'!$D$1:$X$1</c:f>
              <c:strCache>
                <c:ptCount val="5"/>
                <c:pt idx="3">
                  <c:v>Carbon footprint</c:v>
                </c:pt>
                <c:pt idx="4">
                  <c:v>Primary energy consumption</c:v>
                </c:pt>
              </c:strCache>
            </c:strRef>
          </c:cat>
          <c:val>
            <c:numRef>
              <c:f>'results (2)'!$D$5:$X$5</c:f>
              <c:numCache>
                <c:formatCode>General</c:formatCode>
                <c:ptCount val="21"/>
                <c:pt idx="3" formatCode="0.00E+00">
                  <c:v>5.0422090564514258E-3</c:v>
                </c:pt>
                <c:pt idx="4" formatCode="0.00E+00">
                  <c:v>5.9957782482828542E-2</c:v>
                </c:pt>
              </c:numCache>
            </c:numRef>
          </c:val>
          <c:extLst>
            <c:ext xmlns:c16="http://schemas.microsoft.com/office/drawing/2014/chart" uri="{C3380CC4-5D6E-409C-BE32-E72D297353CC}">
              <c16:uniqueId val="{00000003-C94F-4841-B309-958F9C0AE6C9}"/>
            </c:ext>
          </c:extLst>
        </c:ser>
        <c:ser>
          <c:idx val="4"/>
          <c:order val="4"/>
          <c:tx>
            <c:strRef>
              <c:f>'results (2)'!$A$6</c:f>
              <c:strCache>
                <c:ptCount val="1"/>
                <c:pt idx="0">
                  <c:v>DMF</c:v>
                </c:pt>
              </c:strCache>
            </c:strRef>
          </c:tx>
          <c:spPr>
            <a:solidFill>
              <a:schemeClr val="accent5"/>
            </a:solidFill>
            <a:ln>
              <a:noFill/>
            </a:ln>
            <a:effectLst/>
          </c:spPr>
          <c:invertIfNegative val="0"/>
          <c:cat>
            <c:strRef>
              <c:f>'results (2)'!$D$1:$X$1</c:f>
              <c:strCache>
                <c:ptCount val="5"/>
                <c:pt idx="3">
                  <c:v>Carbon footprint</c:v>
                </c:pt>
                <c:pt idx="4">
                  <c:v>Primary energy consumption</c:v>
                </c:pt>
              </c:strCache>
            </c:strRef>
          </c:cat>
          <c:val>
            <c:numRef>
              <c:f>'results (2)'!$D$6:$X$6</c:f>
              <c:numCache>
                <c:formatCode>General</c:formatCode>
                <c:ptCount val="21"/>
                <c:pt idx="3" formatCode="0.00E+00">
                  <c:v>4.7500373710823293E-3</c:v>
                </c:pt>
                <c:pt idx="4" formatCode="0.00E+00">
                  <c:v>0.12919759675539927</c:v>
                </c:pt>
              </c:numCache>
            </c:numRef>
          </c:val>
          <c:extLst>
            <c:ext xmlns:c16="http://schemas.microsoft.com/office/drawing/2014/chart" uri="{C3380CC4-5D6E-409C-BE32-E72D297353CC}">
              <c16:uniqueId val="{00000004-C94F-4841-B309-958F9C0AE6C9}"/>
            </c:ext>
          </c:extLst>
        </c:ser>
        <c:ser>
          <c:idx val="5"/>
          <c:order val="5"/>
          <c:tx>
            <c:strRef>
              <c:f>'results (2)'!$A$7</c:f>
              <c:strCache>
                <c:ptCount val="1"/>
                <c:pt idx="0">
                  <c:v>DMSO</c:v>
                </c:pt>
              </c:strCache>
            </c:strRef>
          </c:tx>
          <c:spPr>
            <a:solidFill>
              <a:schemeClr val="accent6"/>
            </a:solidFill>
            <a:ln>
              <a:noFill/>
            </a:ln>
            <a:effectLst/>
          </c:spPr>
          <c:invertIfNegative val="0"/>
          <c:cat>
            <c:strRef>
              <c:f>'results (2)'!$D$1:$X$1</c:f>
              <c:strCache>
                <c:ptCount val="5"/>
                <c:pt idx="3">
                  <c:v>Carbon footprint</c:v>
                </c:pt>
                <c:pt idx="4">
                  <c:v>Primary energy consumption</c:v>
                </c:pt>
              </c:strCache>
            </c:strRef>
          </c:cat>
          <c:val>
            <c:numRef>
              <c:f>'results (2)'!$D$7:$X$7</c:f>
              <c:numCache>
                <c:formatCode>General</c:formatCode>
                <c:ptCount val="21"/>
                <c:pt idx="3" formatCode="0.00E+00">
                  <c:v>1.2872013029725408E-4</c:v>
                </c:pt>
                <c:pt idx="4" formatCode="0.00E+00">
                  <c:v>5.9398302219234068E-3</c:v>
                </c:pt>
              </c:numCache>
            </c:numRef>
          </c:val>
          <c:extLst>
            <c:ext xmlns:c16="http://schemas.microsoft.com/office/drawing/2014/chart" uri="{C3380CC4-5D6E-409C-BE32-E72D297353CC}">
              <c16:uniqueId val="{00000005-C94F-4841-B309-958F9C0AE6C9}"/>
            </c:ext>
          </c:extLst>
        </c:ser>
        <c:ser>
          <c:idx val="6"/>
          <c:order val="6"/>
          <c:tx>
            <c:strRef>
              <c:f>'results (2)'!$A$8</c:f>
              <c:strCache>
                <c:ptCount val="1"/>
                <c:pt idx="0">
                  <c:v>FAI</c:v>
                </c:pt>
              </c:strCache>
            </c:strRef>
          </c:tx>
          <c:spPr>
            <a:solidFill>
              <a:schemeClr val="accent1">
                <a:lumMod val="60000"/>
              </a:schemeClr>
            </a:solidFill>
            <a:ln>
              <a:noFill/>
            </a:ln>
            <a:effectLst/>
          </c:spPr>
          <c:invertIfNegative val="0"/>
          <c:cat>
            <c:strRef>
              <c:f>'results (2)'!$D$1:$X$1</c:f>
              <c:strCache>
                <c:ptCount val="5"/>
                <c:pt idx="3">
                  <c:v>Carbon footprint</c:v>
                </c:pt>
                <c:pt idx="4">
                  <c:v>Primary energy consumption</c:v>
                </c:pt>
              </c:strCache>
            </c:strRef>
          </c:cat>
          <c:val>
            <c:numRef>
              <c:f>'results (2)'!$D$8:$X$8</c:f>
              <c:numCache>
                <c:formatCode>General</c:formatCode>
                <c:ptCount val="21"/>
                <c:pt idx="3" formatCode="0.00E+00">
                  <c:v>2.3900391307546311E-2</c:v>
                </c:pt>
                <c:pt idx="4" formatCode="0.00E+00">
                  <c:v>0.42337780030357741</c:v>
                </c:pt>
              </c:numCache>
            </c:numRef>
          </c:val>
          <c:extLst>
            <c:ext xmlns:c16="http://schemas.microsoft.com/office/drawing/2014/chart" uri="{C3380CC4-5D6E-409C-BE32-E72D297353CC}">
              <c16:uniqueId val="{00000006-C94F-4841-B309-958F9C0AE6C9}"/>
            </c:ext>
          </c:extLst>
        </c:ser>
        <c:ser>
          <c:idx val="7"/>
          <c:order val="7"/>
          <c:tx>
            <c:strRef>
              <c:f>'results (2)'!$A$9</c:f>
              <c:strCache>
                <c:ptCount val="1"/>
                <c:pt idx="0">
                  <c:v>MABr</c:v>
                </c:pt>
              </c:strCache>
            </c:strRef>
          </c:tx>
          <c:spPr>
            <a:solidFill>
              <a:schemeClr val="accent2">
                <a:lumMod val="60000"/>
              </a:schemeClr>
            </a:solidFill>
            <a:ln>
              <a:noFill/>
            </a:ln>
            <a:effectLst/>
          </c:spPr>
          <c:invertIfNegative val="0"/>
          <c:cat>
            <c:strRef>
              <c:f>'results (2)'!$D$1:$X$1</c:f>
              <c:strCache>
                <c:ptCount val="5"/>
                <c:pt idx="3">
                  <c:v>Carbon footprint</c:v>
                </c:pt>
                <c:pt idx="4">
                  <c:v>Primary energy consumption</c:v>
                </c:pt>
              </c:strCache>
            </c:strRef>
          </c:cat>
          <c:val>
            <c:numRef>
              <c:f>'results (2)'!$D$9:$X$9</c:f>
              <c:numCache>
                <c:formatCode>General</c:formatCode>
                <c:ptCount val="21"/>
                <c:pt idx="3" formatCode="0.00E+00">
                  <c:v>0.10592670348814012</c:v>
                </c:pt>
                <c:pt idx="4" formatCode="0.00E+00">
                  <c:v>1.865990772517371</c:v>
                </c:pt>
              </c:numCache>
            </c:numRef>
          </c:val>
          <c:extLst>
            <c:ext xmlns:c16="http://schemas.microsoft.com/office/drawing/2014/chart" uri="{C3380CC4-5D6E-409C-BE32-E72D297353CC}">
              <c16:uniqueId val="{00000007-C94F-4841-B309-958F9C0AE6C9}"/>
            </c:ext>
          </c:extLst>
        </c:ser>
        <c:ser>
          <c:idx val="8"/>
          <c:order val="8"/>
          <c:tx>
            <c:strRef>
              <c:f>'results (2)'!$A$10</c:f>
              <c:strCache>
                <c:ptCount val="1"/>
                <c:pt idx="0">
                  <c:v>MACl</c:v>
                </c:pt>
              </c:strCache>
            </c:strRef>
          </c:tx>
          <c:spPr>
            <a:solidFill>
              <a:schemeClr val="accent3">
                <a:lumMod val="60000"/>
              </a:schemeClr>
            </a:solidFill>
            <a:ln>
              <a:noFill/>
            </a:ln>
            <a:effectLst/>
          </c:spPr>
          <c:invertIfNegative val="0"/>
          <c:cat>
            <c:strRef>
              <c:f>'results (2)'!$D$1:$X$1</c:f>
              <c:strCache>
                <c:ptCount val="5"/>
                <c:pt idx="3">
                  <c:v>Carbon footprint</c:v>
                </c:pt>
                <c:pt idx="4">
                  <c:v>Primary energy consumption</c:v>
                </c:pt>
              </c:strCache>
            </c:strRef>
          </c:cat>
          <c:val>
            <c:numRef>
              <c:f>'results (2)'!$D$10:$X$10</c:f>
              <c:numCache>
                <c:formatCode>General</c:formatCode>
                <c:ptCount val="21"/>
                <c:pt idx="3" formatCode="0.00E+00">
                  <c:v>1.5715091537824337E-7</c:v>
                </c:pt>
                <c:pt idx="4" formatCode="0.00E+00">
                  <c:v>2.8340510885295118E-6</c:v>
                </c:pt>
              </c:numCache>
            </c:numRef>
          </c:val>
          <c:extLst>
            <c:ext xmlns:c16="http://schemas.microsoft.com/office/drawing/2014/chart" uri="{C3380CC4-5D6E-409C-BE32-E72D297353CC}">
              <c16:uniqueId val="{00000008-C94F-4841-B309-958F9C0AE6C9}"/>
            </c:ext>
          </c:extLst>
        </c:ser>
        <c:ser>
          <c:idx val="9"/>
          <c:order val="9"/>
          <c:tx>
            <c:strRef>
              <c:f>'results (2)'!$A$11</c:f>
              <c:strCache>
                <c:ptCount val="1"/>
                <c:pt idx="0">
                  <c:v>Isopropanol</c:v>
                </c:pt>
              </c:strCache>
            </c:strRef>
          </c:tx>
          <c:spPr>
            <a:solidFill>
              <a:schemeClr val="accent4">
                <a:lumMod val="60000"/>
              </a:schemeClr>
            </a:solidFill>
            <a:ln>
              <a:noFill/>
            </a:ln>
            <a:effectLst/>
          </c:spPr>
          <c:invertIfNegative val="0"/>
          <c:cat>
            <c:strRef>
              <c:f>'results (2)'!$D$1:$X$1</c:f>
              <c:strCache>
                <c:ptCount val="5"/>
                <c:pt idx="3">
                  <c:v>Carbon footprint</c:v>
                </c:pt>
                <c:pt idx="4">
                  <c:v>Primary energy consumption</c:v>
                </c:pt>
              </c:strCache>
            </c:strRef>
          </c:cat>
          <c:val>
            <c:numRef>
              <c:f>'results (2)'!$D$11:$X$11</c:f>
              <c:numCache>
                <c:formatCode>General</c:formatCode>
                <c:ptCount val="21"/>
                <c:pt idx="3" formatCode="0.00E+00">
                  <c:v>0.10111823698954497</c:v>
                </c:pt>
                <c:pt idx="4" formatCode="0.00E+00">
                  <c:v>3.3424294376453116</c:v>
                </c:pt>
              </c:numCache>
            </c:numRef>
          </c:val>
          <c:extLst>
            <c:ext xmlns:c16="http://schemas.microsoft.com/office/drawing/2014/chart" uri="{C3380CC4-5D6E-409C-BE32-E72D297353CC}">
              <c16:uniqueId val="{00000009-C94F-4841-B309-958F9C0AE6C9}"/>
            </c:ext>
          </c:extLst>
        </c:ser>
        <c:ser>
          <c:idx val="10"/>
          <c:order val="10"/>
          <c:tx>
            <c:strRef>
              <c:f>'results (2)'!$A$12</c:f>
              <c:strCache>
                <c:ptCount val="1"/>
                <c:pt idx="0">
                  <c:v>Spiro-OMeTAD</c:v>
                </c:pt>
              </c:strCache>
            </c:strRef>
          </c:tx>
          <c:spPr>
            <a:solidFill>
              <a:schemeClr val="accent5">
                <a:lumMod val="60000"/>
              </a:schemeClr>
            </a:solidFill>
            <a:ln>
              <a:noFill/>
            </a:ln>
            <a:effectLst/>
          </c:spPr>
          <c:invertIfNegative val="0"/>
          <c:cat>
            <c:strRef>
              <c:f>'results (2)'!$D$1:$X$1</c:f>
              <c:strCache>
                <c:ptCount val="5"/>
                <c:pt idx="3">
                  <c:v>Carbon footprint</c:v>
                </c:pt>
                <c:pt idx="4">
                  <c:v>Primary energy consumption</c:v>
                </c:pt>
              </c:strCache>
            </c:strRef>
          </c:cat>
          <c:val>
            <c:numRef>
              <c:f>'results (2)'!$D$12:$X$12</c:f>
              <c:numCache>
                <c:formatCode>General</c:formatCode>
                <c:ptCount val="21"/>
                <c:pt idx="3" formatCode="0.00E+00">
                  <c:v>3.1854997688690531E-2</c:v>
                </c:pt>
                <c:pt idx="4" formatCode="0.00E+00">
                  <c:v>0.51315829357722298</c:v>
                </c:pt>
              </c:numCache>
            </c:numRef>
          </c:val>
          <c:extLst>
            <c:ext xmlns:c16="http://schemas.microsoft.com/office/drawing/2014/chart" uri="{C3380CC4-5D6E-409C-BE32-E72D297353CC}">
              <c16:uniqueId val="{0000000A-C94F-4841-B309-958F9C0AE6C9}"/>
            </c:ext>
          </c:extLst>
        </c:ser>
        <c:ser>
          <c:idx val="11"/>
          <c:order val="11"/>
          <c:tx>
            <c:strRef>
              <c:f>'results (2)'!$A$13</c:f>
              <c:strCache>
                <c:ptCount val="1"/>
                <c:pt idx="0">
                  <c:v>LiTFSI</c:v>
                </c:pt>
              </c:strCache>
            </c:strRef>
          </c:tx>
          <c:spPr>
            <a:solidFill>
              <a:schemeClr val="accent6">
                <a:lumMod val="60000"/>
              </a:schemeClr>
            </a:solidFill>
            <a:ln>
              <a:noFill/>
            </a:ln>
            <a:effectLst/>
          </c:spPr>
          <c:invertIfNegative val="0"/>
          <c:cat>
            <c:strRef>
              <c:f>'results (2)'!$D$1:$X$1</c:f>
              <c:strCache>
                <c:ptCount val="5"/>
                <c:pt idx="3">
                  <c:v>Carbon footprint</c:v>
                </c:pt>
                <c:pt idx="4">
                  <c:v>Primary energy consumption</c:v>
                </c:pt>
              </c:strCache>
            </c:strRef>
          </c:cat>
          <c:val>
            <c:numRef>
              <c:f>'results (2)'!$D$13:$X$13</c:f>
              <c:numCache>
                <c:formatCode>General</c:formatCode>
                <c:ptCount val="21"/>
                <c:pt idx="3" formatCode="0.00E+00">
                  <c:v>1.4649900522011319E-3</c:v>
                </c:pt>
                <c:pt idx="4" formatCode="0.00E+00">
                  <c:v>2.2981147890881671E-2</c:v>
                </c:pt>
              </c:numCache>
            </c:numRef>
          </c:val>
          <c:extLst>
            <c:ext xmlns:c16="http://schemas.microsoft.com/office/drawing/2014/chart" uri="{C3380CC4-5D6E-409C-BE32-E72D297353CC}">
              <c16:uniqueId val="{0000000B-C94F-4841-B309-958F9C0AE6C9}"/>
            </c:ext>
          </c:extLst>
        </c:ser>
        <c:ser>
          <c:idx val="12"/>
          <c:order val="12"/>
          <c:tx>
            <c:strRef>
              <c:f>'results (2)'!$A$14</c:f>
              <c:strCache>
                <c:ptCount val="1"/>
                <c:pt idx="0">
                  <c:v>Acetonitrile</c:v>
                </c:pt>
              </c:strCache>
            </c:strRef>
          </c:tx>
          <c:spPr>
            <a:solidFill>
              <a:schemeClr val="accent1">
                <a:lumMod val="80000"/>
                <a:lumOff val="20000"/>
              </a:schemeClr>
            </a:solidFill>
            <a:ln>
              <a:noFill/>
            </a:ln>
            <a:effectLst/>
          </c:spPr>
          <c:invertIfNegative val="0"/>
          <c:cat>
            <c:strRef>
              <c:f>'results (2)'!$D$1:$X$1</c:f>
              <c:strCache>
                <c:ptCount val="5"/>
                <c:pt idx="3">
                  <c:v>Carbon footprint</c:v>
                </c:pt>
                <c:pt idx="4">
                  <c:v>Primary energy consumption</c:v>
                </c:pt>
              </c:strCache>
            </c:strRef>
          </c:cat>
          <c:val>
            <c:numRef>
              <c:f>'results (2)'!$D$14:$X$14</c:f>
              <c:numCache>
                <c:formatCode>General</c:formatCode>
                <c:ptCount val="21"/>
                <c:pt idx="3" formatCode="0.00E+00">
                  <c:v>4.0681139631535285E-4</c:v>
                </c:pt>
                <c:pt idx="4" formatCode="0.00E+00">
                  <c:v>1.1011636458905816E-2</c:v>
                </c:pt>
              </c:numCache>
            </c:numRef>
          </c:val>
          <c:extLst>
            <c:ext xmlns:c16="http://schemas.microsoft.com/office/drawing/2014/chart" uri="{C3380CC4-5D6E-409C-BE32-E72D297353CC}">
              <c16:uniqueId val="{0000000C-C94F-4841-B309-958F9C0AE6C9}"/>
            </c:ext>
          </c:extLst>
        </c:ser>
        <c:ser>
          <c:idx val="13"/>
          <c:order val="13"/>
          <c:tx>
            <c:strRef>
              <c:f>'results (2)'!$A$15</c:f>
              <c:strCache>
                <c:ptCount val="1"/>
                <c:pt idx="0">
                  <c:v>4-tert Butylpyridine</c:v>
                </c:pt>
              </c:strCache>
            </c:strRef>
          </c:tx>
          <c:spPr>
            <a:solidFill>
              <a:schemeClr val="accent2">
                <a:lumMod val="80000"/>
                <a:lumOff val="20000"/>
              </a:schemeClr>
            </a:solidFill>
            <a:ln>
              <a:noFill/>
            </a:ln>
            <a:effectLst/>
          </c:spPr>
          <c:invertIfNegative val="0"/>
          <c:cat>
            <c:strRef>
              <c:f>'results (2)'!$D$1:$X$1</c:f>
              <c:strCache>
                <c:ptCount val="5"/>
                <c:pt idx="3">
                  <c:v>Carbon footprint</c:v>
                </c:pt>
                <c:pt idx="4">
                  <c:v>Primary energy consumption</c:v>
                </c:pt>
              </c:strCache>
            </c:strRef>
          </c:cat>
          <c:val>
            <c:numRef>
              <c:f>'results (2)'!$D$15:$X$15</c:f>
              <c:numCache>
                <c:formatCode>General</c:formatCode>
                <c:ptCount val="21"/>
                <c:pt idx="3" formatCode="0.00E+00">
                  <c:v>1.1128396373775934E-3</c:v>
                </c:pt>
                <c:pt idx="4" formatCode="0.00E+00">
                  <c:v>1.8248398073474791E-2</c:v>
                </c:pt>
              </c:numCache>
            </c:numRef>
          </c:val>
          <c:extLst>
            <c:ext xmlns:c16="http://schemas.microsoft.com/office/drawing/2014/chart" uri="{C3380CC4-5D6E-409C-BE32-E72D297353CC}">
              <c16:uniqueId val="{0000000D-C94F-4841-B309-958F9C0AE6C9}"/>
            </c:ext>
          </c:extLst>
        </c:ser>
        <c:ser>
          <c:idx val="14"/>
          <c:order val="14"/>
          <c:tx>
            <c:strRef>
              <c:f>'results (2)'!$A$16</c:f>
              <c:strCache>
                <c:ptCount val="1"/>
                <c:pt idx="0">
                  <c:v>Chlorobenzene</c:v>
                </c:pt>
              </c:strCache>
            </c:strRef>
          </c:tx>
          <c:spPr>
            <a:solidFill>
              <a:schemeClr val="accent3">
                <a:lumMod val="80000"/>
                <a:lumOff val="20000"/>
              </a:schemeClr>
            </a:solidFill>
            <a:ln>
              <a:noFill/>
            </a:ln>
            <a:effectLst/>
          </c:spPr>
          <c:invertIfNegative val="0"/>
          <c:cat>
            <c:strRef>
              <c:f>'results (2)'!$D$1:$X$1</c:f>
              <c:strCache>
                <c:ptCount val="5"/>
                <c:pt idx="3">
                  <c:v>Carbon footprint</c:v>
                </c:pt>
                <c:pt idx="4">
                  <c:v>Primary energy consumption</c:v>
                </c:pt>
              </c:strCache>
            </c:strRef>
          </c:cat>
          <c:val>
            <c:numRef>
              <c:f>'results (2)'!$D$16:$X$16</c:f>
              <c:numCache>
                <c:formatCode>General</c:formatCode>
                <c:ptCount val="21"/>
                <c:pt idx="3" formatCode="0.00E+00">
                  <c:v>1.3047440743568469E-2</c:v>
                </c:pt>
                <c:pt idx="4" formatCode="0.00E+00">
                  <c:v>0.3158692872487171</c:v>
                </c:pt>
              </c:numCache>
            </c:numRef>
          </c:val>
          <c:extLst>
            <c:ext xmlns:c16="http://schemas.microsoft.com/office/drawing/2014/chart" uri="{C3380CC4-5D6E-409C-BE32-E72D297353CC}">
              <c16:uniqueId val="{0000000E-C94F-4841-B309-958F9C0AE6C9}"/>
            </c:ext>
          </c:extLst>
        </c:ser>
        <c:ser>
          <c:idx val="15"/>
          <c:order val="15"/>
          <c:tx>
            <c:strRef>
              <c:f>'results (2)'!$A$17</c:f>
              <c:strCache>
                <c:ptCount val="1"/>
                <c:pt idx="0">
                  <c:v>Cu</c:v>
                </c:pt>
              </c:strCache>
            </c:strRef>
          </c:tx>
          <c:spPr>
            <a:solidFill>
              <a:schemeClr val="accent4">
                <a:lumMod val="80000"/>
                <a:lumOff val="20000"/>
              </a:schemeClr>
            </a:solidFill>
            <a:ln>
              <a:noFill/>
            </a:ln>
            <a:effectLst/>
          </c:spPr>
          <c:invertIfNegative val="0"/>
          <c:cat>
            <c:strRef>
              <c:f>'results (2)'!$D$1:$X$1</c:f>
              <c:strCache>
                <c:ptCount val="5"/>
                <c:pt idx="3">
                  <c:v>Carbon footprint</c:v>
                </c:pt>
                <c:pt idx="4">
                  <c:v>Primary energy consumption</c:v>
                </c:pt>
              </c:strCache>
            </c:strRef>
          </c:cat>
          <c:val>
            <c:numRef>
              <c:f>'results (2)'!$D$17:$X$17</c:f>
              <c:numCache>
                <c:formatCode>General</c:formatCode>
                <c:ptCount val="21"/>
                <c:pt idx="3" formatCode="0.00E+00">
                  <c:v>2.2772929536000004E-3</c:v>
                </c:pt>
                <c:pt idx="4" formatCode="0.00E+00">
                  <c:v>3.2747443559147528E-2</c:v>
                </c:pt>
              </c:numCache>
            </c:numRef>
          </c:val>
          <c:extLst>
            <c:ext xmlns:c16="http://schemas.microsoft.com/office/drawing/2014/chart" uri="{C3380CC4-5D6E-409C-BE32-E72D297353CC}">
              <c16:uniqueId val="{0000000F-C94F-4841-B309-958F9C0AE6C9}"/>
            </c:ext>
          </c:extLst>
        </c:ser>
        <c:ser>
          <c:idx val="16"/>
          <c:order val="16"/>
          <c:tx>
            <c:strRef>
              <c:f>'results (2)'!$A$18</c:f>
              <c:strCache>
                <c:ptCount val="1"/>
                <c:pt idx="0">
                  <c:v>Ar</c:v>
                </c:pt>
              </c:strCache>
            </c:strRef>
          </c:tx>
          <c:spPr>
            <a:solidFill>
              <a:schemeClr val="accent5">
                <a:lumMod val="80000"/>
                <a:lumOff val="20000"/>
              </a:schemeClr>
            </a:solidFill>
            <a:ln>
              <a:noFill/>
            </a:ln>
            <a:effectLst/>
          </c:spPr>
          <c:invertIfNegative val="0"/>
          <c:cat>
            <c:strRef>
              <c:f>'results (2)'!$D$1:$X$1</c:f>
              <c:strCache>
                <c:ptCount val="5"/>
                <c:pt idx="3">
                  <c:v>Carbon footprint</c:v>
                </c:pt>
                <c:pt idx="4">
                  <c:v>Primary energy consumption</c:v>
                </c:pt>
              </c:strCache>
            </c:strRef>
          </c:cat>
          <c:val>
            <c:numRef>
              <c:f>'results (2)'!$D$18:$X$18</c:f>
              <c:numCache>
                <c:formatCode>General</c:formatCode>
                <c:ptCount val="21"/>
                <c:pt idx="3" formatCode="0.00E+00">
                  <c:v>0.17435194181818181</c:v>
                </c:pt>
                <c:pt idx="4" formatCode="0.00E+00">
                  <c:v>2.6195734909818178</c:v>
                </c:pt>
              </c:numCache>
            </c:numRef>
          </c:val>
          <c:extLst>
            <c:ext xmlns:c16="http://schemas.microsoft.com/office/drawing/2014/chart" uri="{C3380CC4-5D6E-409C-BE32-E72D297353CC}">
              <c16:uniqueId val="{00000010-C94F-4841-B309-958F9C0AE6C9}"/>
            </c:ext>
          </c:extLst>
        </c:ser>
        <c:ser>
          <c:idx val="17"/>
          <c:order val="17"/>
          <c:tx>
            <c:strRef>
              <c:f>'results (2)'!$A$19</c:f>
              <c:strCache>
                <c:ptCount val="1"/>
                <c:pt idx="0">
                  <c:v>O₂</c:v>
                </c:pt>
              </c:strCache>
            </c:strRef>
          </c:tx>
          <c:spPr>
            <a:solidFill>
              <a:schemeClr val="accent6">
                <a:lumMod val="80000"/>
                <a:lumOff val="20000"/>
              </a:schemeClr>
            </a:solidFill>
            <a:ln>
              <a:noFill/>
            </a:ln>
            <a:effectLst/>
          </c:spPr>
          <c:invertIfNegative val="0"/>
          <c:cat>
            <c:strRef>
              <c:f>'results (2)'!$D$1:$X$1</c:f>
              <c:strCache>
                <c:ptCount val="5"/>
                <c:pt idx="3">
                  <c:v>Carbon footprint</c:v>
                </c:pt>
                <c:pt idx="4">
                  <c:v>Primary energy consumption</c:v>
                </c:pt>
              </c:strCache>
            </c:strRef>
          </c:cat>
          <c:val>
            <c:numRef>
              <c:f>'results (2)'!$D$19:$X$19</c:f>
              <c:numCache>
                <c:formatCode>General</c:formatCode>
                <c:ptCount val="21"/>
                <c:pt idx="3" formatCode="0.00E+00">
                  <c:v>7.6841745454545455E-5</c:v>
                </c:pt>
                <c:pt idx="4" formatCode="0.00E+00">
                  <c:v>1.0469033187490908E-3</c:v>
                </c:pt>
              </c:numCache>
            </c:numRef>
          </c:val>
          <c:extLst>
            <c:ext xmlns:c16="http://schemas.microsoft.com/office/drawing/2014/chart" uri="{C3380CC4-5D6E-409C-BE32-E72D297353CC}">
              <c16:uniqueId val="{00000011-C94F-4841-B309-958F9C0AE6C9}"/>
            </c:ext>
          </c:extLst>
        </c:ser>
        <c:ser>
          <c:idx val="18"/>
          <c:order val="18"/>
          <c:tx>
            <c:strRef>
              <c:f>'results (2)'!$A$20</c:f>
              <c:strCache>
                <c:ptCount val="1"/>
                <c:pt idx="0">
                  <c:v>Adhesive</c:v>
                </c:pt>
              </c:strCache>
            </c:strRef>
          </c:tx>
          <c:spPr>
            <a:solidFill>
              <a:schemeClr val="accent1">
                <a:lumMod val="80000"/>
              </a:schemeClr>
            </a:solidFill>
            <a:ln>
              <a:noFill/>
            </a:ln>
            <a:effectLst/>
          </c:spPr>
          <c:invertIfNegative val="0"/>
          <c:cat>
            <c:strRef>
              <c:f>'results (2)'!$D$1:$X$1</c:f>
              <c:strCache>
                <c:ptCount val="5"/>
                <c:pt idx="3">
                  <c:v>Carbon footprint</c:v>
                </c:pt>
                <c:pt idx="4">
                  <c:v>Primary energy consumption</c:v>
                </c:pt>
              </c:strCache>
            </c:strRef>
          </c:cat>
          <c:val>
            <c:numRef>
              <c:f>'results (2)'!$D$20:$X$20</c:f>
              <c:numCache>
                <c:formatCode>General</c:formatCode>
                <c:ptCount val="21"/>
                <c:pt idx="3" formatCode="0.00E+00">
                  <c:v>5.8513339999999997E-2</c:v>
                </c:pt>
                <c:pt idx="4" formatCode="0.00E+00">
                  <c:v>1.121768096012</c:v>
                </c:pt>
              </c:numCache>
            </c:numRef>
          </c:val>
          <c:extLst>
            <c:ext xmlns:c16="http://schemas.microsoft.com/office/drawing/2014/chart" uri="{C3380CC4-5D6E-409C-BE32-E72D297353CC}">
              <c16:uniqueId val="{00000012-C94F-4841-B309-958F9C0AE6C9}"/>
            </c:ext>
          </c:extLst>
        </c:ser>
        <c:ser>
          <c:idx val="19"/>
          <c:order val="19"/>
          <c:tx>
            <c:strRef>
              <c:f>'results (2)'!$A$21</c:f>
              <c:strCache>
                <c:ptCount val="1"/>
                <c:pt idx="0">
                  <c:v>PET</c:v>
                </c:pt>
              </c:strCache>
            </c:strRef>
          </c:tx>
          <c:spPr>
            <a:solidFill>
              <a:schemeClr val="accent2">
                <a:lumMod val="80000"/>
              </a:schemeClr>
            </a:solidFill>
            <a:ln>
              <a:noFill/>
            </a:ln>
            <a:effectLst/>
          </c:spPr>
          <c:invertIfNegative val="0"/>
          <c:cat>
            <c:strRef>
              <c:f>'results (2)'!$D$1:$X$1</c:f>
              <c:strCache>
                <c:ptCount val="5"/>
                <c:pt idx="3">
                  <c:v>Carbon footprint</c:v>
                </c:pt>
                <c:pt idx="4">
                  <c:v>Primary energy consumption</c:v>
                </c:pt>
              </c:strCache>
            </c:strRef>
          </c:cat>
          <c:val>
            <c:numRef>
              <c:f>'results (2)'!$D$21:$X$21</c:f>
              <c:numCache>
                <c:formatCode>General</c:formatCode>
                <c:ptCount val="21"/>
                <c:pt idx="3" formatCode="0.00E+00">
                  <c:v>0.19433649</c:v>
                </c:pt>
                <c:pt idx="4" formatCode="0.00E+00">
                  <c:v>4.876431431436</c:v>
                </c:pt>
              </c:numCache>
            </c:numRef>
          </c:val>
          <c:extLst>
            <c:ext xmlns:c16="http://schemas.microsoft.com/office/drawing/2014/chart" uri="{C3380CC4-5D6E-409C-BE32-E72D297353CC}">
              <c16:uniqueId val="{00000013-C94F-4841-B309-958F9C0AE6C9}"/>
            </c:ext>
          </c:extLst>
        </c:ser>
        <c:ser>
          <c:idx val="20"/>
          <c:order val="20"/>
          <c:tx>
            <c:strRef>
              <c:f>'results (2)'!$A$22</c:f>
              <c:strCache>
                <c:ptCount val="1"/>
                <c:pt idx="0">
                  <c:v>UV/O₃ cleaning</c:v>
                </c:pt>
              </c:strCache>
            </c:strRef>
          </c:tx>
          <c:spPr>
            <a:solidFill>
              <a:schemeClr val="accent3">
                <a:lumMod val="80000"/>
              </a:schemeClr>
            </a:solidFill>
            <a:ln>
              <a:noFill/>
            </a:ln>
            <a:effectLst/>
          </c:spPr>
          <c:invertIfNegative val="0"/>
          <c:cat>
            <c:strRef>
              <c:f>'results (2)'!$D$1:$X$1</c:f>
              <c:strCache>
                <c:ptCount val="5"/>
                <c:pt idx="3">
                  <c:v>Carbon footprint</c:v>
                </c:pt>
                <c:pt idx="4">
                  <c:v>Primary energy consumption</c:v>
                </c:pt>
              </c:strCache>
            </c:strRef>
          </c:cat>
          <c:val>
            <c:numRef>
              <c:f>'results (2)'!$D$22:$X$22</c:f>
              <c:numCache>
                <c:formatCode>General</c:formatCode>
                <c:ptCount val="21"/>
                <c:pt idx="3" formatCode="0.00E+00">
                  <c:v>1.6328160013062525E-2</c:v>
                </c:pt>
                <c:pt idx="4" formatCode="0.00E+00">
                  <c:v>0.28730686288644547</c:v>
                </c:pt>
              </c:numCache>
            </c:numRef>
          </c:val>
          <c:extLst>
            <c:ext xmlns:c16="http://schemas.microsoft.com/office/drawing/2014/chart" uri="{C3380CC4-5D6E-409C-BE32-E72D297353CC}">
              <c16:uniqueId val="{00000014-C94F-4841-B309-958F9C0AE6C9}"/>
            </c:ext>
          </c:extLst>
        </c:ser>
        <c:ser>
          <c:idx val="21"/>
          <c:order val="21"/>
          <c:tx>
            <c:strRef>
              <c:f>'results (2)'!$A$23</c:f>
              <c:strCache>
                <c:ptCount val="1"/>
                <c:pt idx="0">
                  <c:v>ETL slot-die coating</c:v>
                </c:pt>
              </c:strCache>
            </c:strRef>
          </c:tx>
          <c:spPr>
            <a:solidFill>
              <a:schemeClr val="accent4">
                <a:lumMod val="80000"/>
              </a:schemeClr>
            </a:solidFill>
            <a:ln>
              <a:noFill/>
            </a:ln>
            <a:effectLst/>
          </c:spPr>
          <c:invertIfNegative val="0"/>
          <c:cat>
            <c:strRef>
              <c:f>'results (2)'!$D$1:$X$1</c:f>
              <c:strCache>
                <c:ptCount val="5"/>
                <c:pt idx="3">
                  <c:v>Carbon footprint</c:v>
                </c:pt>
                <c:pt idx="4">
                  <c:v>Primary energy consumption</c:v>
                </c:pt>
              </c:strCache>
            </c:strRef>
          </c:cat>
          <c:val>
            <c:numRef>
              <c:f>'results (2)'!$D$23:$X$23</c:f>
              <c:numCache>
                <c:formatCode>General</c:formatCode>
                <c:ptCount val="21"/>
                <c:pt idx="3" formatCode="0.00E+00">
                  <c:v>1.4790000011831998E-2</c:v>
                </c:pt>
                <c:pt idx="4" formatCode="0.00E+00">
                  <c:v>0.2602417236290267</c:v>
                </c:pt>
              </c:numCache>
            </c:numRef>
          </c:val>
          <c:extLst>
            <c:ext xmlns:c16="http://schemas.microsoft.com/office/drawing/2014/chart" uri="{C3380CC4-5D6E-409C-BE32-E72D297353CC}">
              <c16:uniqueId val="{00000015-C94F-4841-B309-958F9C0AE6C9}"/>
            </c:ext>
          </c:extLst>
        </c:ser>
        <c:ser>
          <c:idx val="22"/>
          <c:order val="22"/>
          <c:tx>
            <c:strRef>
              <c:f>'results (2)'!$A$24</c:f>
              <c:strCache>
                <c:ptCount val="1"/>
                <c:pt idx="0">
                  <c:v>ETL annealing</c:v>
                </c:pt>
              </c:strCache>
            </c:strRef>
          </c:tx>
          <c:spPr>
            <a:solidFill>
              <a:schemeClr val="accent5">
                <a:lumMod val="80000"/>
              </a:schemeClr>
            </a:solidFill>
            <a:ln>
              <a:noFill/>
            </a:ln>
            <a:effectLst/>
          </c:spPr>
          <c:invertIfNegative val="0"/>
          <c:cat>
            <c:strRef>
              <c:f>'results (2)'!$D$1:$X$1</c:f>
              <c:strCache>
                <c:ptCount val="5"/>
                <c:pt idx="3">
                  <c:v>Carbon footprint</c:v>
                </c:pt>
                <c:pt idx="4">
                  <c:v>Primary energy consumption</c:v>
                </c:pt>
              </c:strCache>
            </c:strRef>
          </c:cat>
          <c:val>
            <c:numRef>
              <c:f>'results (2)'!$D$24:$X$24</c:f>
              <c:numCache>
                <c:formatCode>General</c:formatCode>
                <c:ptCount val="21"/>
                <c:pt idx="3" formatCode="0.00E+00">
                  <c:v>4.5637714322224454</c:v>
                </c:pt>
                <c:pt idx="4" formatCode="0.00E+00">
                  <c:v>80.303160434099667</c:v>
                </c:pt>
              </c:numCache>
            </c:numRef>
          </c:val>
          <c:extLst>
            <c:ext xmlns:c16="http://schemas.microsoft.com/office/drawing/2014/chart" uri="{C3380CC4-5D6E-409C-BE32-E72D297353CC}">
              <c16:uniqueId val="{00000016-C94F-4841-B309-958F9C0AE6C9}"/>
            </c:ext>
          </c:extLst>
        </c:ser>
        <c:ser>
          <c:idx val="23"/>
          <c:order val="23"/>
          <c:tx>
            <c:strRef>
              <c:f>'results (2)'!$A$25</c:f>
              <c:strCache>
                <c:ptCount val="1"/>
                <c:pt idx="0">
                  <c:v>PL 1st-step slot-die coating</c:v>
                </c:pt>
              </c:strCache>
            </c:strRef>
          </c:tx>
          <c:spPr>
            <a:solidFill>
              <a:schemeClr val="accent6">
                <a:lumMod val="80000"/>
              </a:schemeClr>
            </a:solidFill>
            <a:ln>
              <a:noFill/>
            </a:ln>
            <a:effectLst/>
          </c:spPr>
          <c:invertIfNegative val="0"/>
          <c:cat>
            <c:strRef>
              <c:f>'results (2)'!$D$1:$X$1</c:f>
              <c:strCache>
                <c:ptCount val="5"/>
                <c:pt idx="3">
                  <c:v>Carbon footprint</c:v>
                </c:pt>
                <c:pt idx="4">
                  <c:v>Primary energy consumption</c:v>
                </c:pt>
              </c:strCache>
            </c:strRef>
          </c:cat>
          <c:val>
            <c:numRef>
              <c:f>'results (2)'!$D$25:$X$25</c:f>
              <c:numCache>
                <c:formatCode>General</c:formatCode>
                <c:ptCount val="21"/>
                <c:pt idx="3" formatCode="0.00E+00">
                  <c:v>2.1128571445474281E-2</c:v>
                </c:pt>
                <c:pt idx="4" formatCode="0.00E+00">
                  <c:v>0.37177389089860957</c:v>
                </c:pt>
              </c:numCache>
            </c:numRef>
          </c:val>
          <c:extLst>
            <c:ext xmlns:c16="http://schemas.microsoft.com/office/drawing/2014/chart" uri="{C3380CC4-5D6E-409C-BE32-E72D297353CC}">
              <c16:uniqueId val="{00000017-C94F-4841-B309-958F9C0AE6C9}"/>
            </c:ext>
          </c:extLst>
        </c:ser>
        <c:ser>
          <c:idx val="24"/>
          <c:order val="24"/>
          <c:tx>
            <c:strRef>
              <c:f>'results (2)'!$A$26</c:f>
              <c:strCache>
                <c:ptCount val="1"/>
                <c:pt idx="0">
                  <c:v>PL annealing</c:v>
                </c:pt>
              </c:strCache>
            </c:strRef>
          </c:tx>
          <c:spPr>
            <a:solidFill>
              <a:schemeClr val="accent1">
                <a:lumMod val="60000"/>
                <a:lumOff val="40000"/>
              </a:schemeClr>
            </a:solidFill>
            <a:ln>
              <a:noFill/>
            </a:ln>
            <a:effectLst/>
          </c:spPr>
          <c:invertIfNegative val="0"/>
          <c:cat>
            <c:strRef>
              <c:f>'results (2)'!$D$1:$X$1</c:f>
              <c:strCache>
                <c:ptCount val="5"/>
                <c:pt idx="3">
                  <c:v>Carbon footprint</c:v>
                </c:pt>
                <c:pt idx="4">
                  <c:v>Primary energy consumption</c:v>
                </c:pt>
              </c:strCache>
            </c:strRef>
          </c:cat>
          <c:val>
            <c:numRef>
              <c:f>'results (2)'!$D$26:$X$26</c:f>
              <c:numCache>
                <c:formatCode>General</c:formatCode>
                <c:ptCount val="21"/>
                <c:pt idx="3" formatCode="0.00E+00">
                  <c:v>7.0992000056793583E-2</c:v>
                </c:pt>
                <c:pt idx="4" formatCode="0.00E+00">
                  <c:v>1.2491602734193281</c:v>
                </c:pt>
              </c:numCache>
            </c:numRef>
          </c:val>
          <c:extLst>
            <c:ext xmlns:c16="http://schemas.microsoft.com/office/drawing/2014/chart" uri="{C3380CC4-5D6E-409C-BE32-E72D297353CC}">
              <c16:uniqueId val="{00000018-C94F-4841-B309-958F9C0AE6C9}"/>
            </c:ext>
          </c:extLst>
        </c:ser>
        <c:ser>
          <c:idx val="25"/>
          <c:order val="25"/>
          <c:tx>
            <c:strRef>
              <c:f>'results (2)'!$A$27</c:f>
              <c:strCache>
                <c:ptCount val="1"/>
                <c:pt idx="0">
                  <c:v>PL 2nd-step slot-die coating</c:v>
                </c:pt>
              </c:strCache>
            </c:strRef>
          </c:tx>
          <c:spPr>
            <a:solidFill>
              <a:schemeClr val="accent2">
                <a:lumMod val="60000"/>
                <a:lumOff val="40000"/>
              </a:schemeClr>
            </a:solidFill>
            <a:ln>
              <a:noFill/>
            </a:ln>
            <a:effectLst/>
          </c:spPr>
          <c:invertIfNegative val="0"/>
          <c:cat>
            <c:strRef>
              <c:f>'results (2)'!$D$1:$X$1</c:f>
              <c:strCache>
                <c:ptCount val="5"/>
                <c:pt idx="3">
                  <c:v>Carbon footprint</c:v>
                </c:pt>
                <c:pt idx="4">
                  <c:v>Primary energy consumption</c:v>
                </c:pt>
              </c:strCache>
            </c:strRef>
          </c:cat>
          <c:val>
            <c:numRef>
              <c:f>'results (2)'!$D$27:$X$27</c:f>
              <c:numCache>
                <c:formatCode>General</c:formatCode>
                <c:ptCount val="21"/>
                <c:pt idx="3" formatCode="0.00E+00">
                  <c:v>2.1128571445474281E-2</c:v>
                </c:pt>
                <c:pt idx="4" formatCode="0.00E+00">
                  <c:v>0.37177389089860957</c:v>
                </c:pt>
              </c:numCache>
            </c:numRef>
          </c:val>
          <c:extLst>
            <c:ext xmlns:c16="http://schemas.microsoft.com/office/drawing/2014/chart" uri="{C3380CC4-5D6E-409C-BE32-E72D297353CC}">
              <c16:uniqueId val="{00000019-C94F-4841-B309-958F9C0AE6C9}"/>
            </c:ext>
          </c:extLst>
        </c:ser>
        <c:ser>
          <c:idx val="26"/>
          <c:order val="26"/>
          <c:tx>
            <c:strRef>
              <c:f>'results (2)'!$A$28</c:f>
              <c:strCache>
                <c:ptCount val="1"/>
                <c:pt idx="0">
                  <c:v>PL post-annealing</c:v>
                </c:pt>
              </c:strCache>
            </c:strRef>
          </c:tx>
          <c:spPr>
            <a:solidFill>
              <a:schemeClr val="accent3">
                <a:lumMod val="60000"/>
                <a:lumOff val="40000"/>
              </a:schemeClr>
            </a:solidFill>
            <a:ln>
              <a:noFill/>
            </a:ln>
            <a:effectLst/>
          </c:spPr>
          <c:invertIfNegative val="0"/>
          <c:cat>
            <c:strRef>
              <c:f>'results (2)'!$D$1:$X$1</c:f>
              <c:strCache>
                <c:ptCount val="5"/>
                <c:pt idx="3">
                  <c:v>Carbon footprint</c:v>
                </c:pt>
                <c:pt idx="4">
                  <c:v>Primary energy consumption</c:v>
                </c:pt>
              </c:strCache>
            </c:strRef>
          </c:cat>
          <c:val>
            <c:numRef>
              <c:f>'results (2)'!$D$28:$X$28</c:f>
              <c:numCache>
                <c:formatCode>General</c:formatCode>
                <c:ptCount val="21"/>
                <c:pt idx="3" formatCode="0.00E+00">
                  <c:v>2.2818857161112227</c:v>
                </c:pt>
                <c:pt idx="4" formatCode="0.00E+00">
                  <c:v>40.151580217049833</c:v>
                </c:pt>
              </c:numCache>
            </c:numRef>
          </c:val>
          <c:extLst>
            <c:ext xmlns:c16="http://schemas.microsoft.com/office/drawing/2014/chart" uri="{C3380CC4-5D6E-409C-BE32-E72D297353CC}">
              <c16:uniqueId val="{0000001A-C94F-4841-B309-958F9C0AE6C9}"/>
            </c:ext>
          </c:extLst>
        </c:ser>
        <c:ser>
          <c:idx val="27"/>
          <c:order val="27"/>
          <c:tx>
            <c:strRef>
              <c:f>'results (2)'!$A$29</c:f>
              <c:strCache>
                <c:ptCount val="1"/>
                <c:pt idx="0">
                  <c:v>HTL slot-die coating</c:v>
                </c:pt>
              </c:strCache>
            </c:strRef>
          </c:tx>
          <c:spPr>
            <a:solidFill>
              <a:schemeClr val="accent4">
                <a:lumMod val="60000"/>
                <a:lumOff val="40000"/>
              </a:schemeClr>
            </a:solidFill>
            <a:ln>
              <a:noFill/>
            </a:ln>
            <a:effectLst/>
          </c:spPr>
          <c:invertIfNegative val="0"/>
          <c:cat>
            <c:strRef>
              <c:f>'results (2)'!$D$1:$X$1</c:f>
              <c:strCache>
                <c:ptCount val="5"/>
                <c:pt idx="3">
                  <c:v>Carbon footprint</c:v>
                </c:pt>
                <c:pt idx="4">
                  <c:v>Primary energy consumption</c:v>
                </c:pt>
              </c:strCache>
            </c:strRef>
          </c:cat>
          <c:val>
            <c:numRef>
              <c:f>'results (2)'!$D$29:$X$29</c:f>
              <c:numCache>
                <c:formatCode>General</c:formatCode>
                <c:ptCount val="21"/>
                <c:pt idx="3" formatCode="0.00E+00">
                  <c:v>9.8600000078879993E-2</c:v>
                </c:pt>
                <c:pt idx="4" formatCode="0.00E+00">
                  <c:v>1.7349448241935115</c:v>
                </c:pt>
              </c:numCache>
            </c:numRef>
          </c:val>
          <c:extLst>
            <c:ext xmlns:c16="http://schemas.microsoft.com/office/drawing/2014/chart" uri="{C3380CC4-5D6E-409C-BE32-E72D297353CC}">
              <c16:uniqueId val="{0000001B-C94F-4841-B309-958F9C0AE6C9}"/>
            </c:ext>
          </c:extLst>
        </c:ser>
        <c:ser>
          <c:idx val="28"/>
          <c:order val="28"/>
          <c:tx>
            <c:strRef>
              <c:f>'results (2)'!$A$30</c:f>
              <c:strCache>
                <c:ptCount val="1"/>
                <c:pt idx="0">
                  <c:v>Electrode sputtering</c:v>
                </c:pt>
              </c:strCache>
            </c:strRef>
          </c:tx>
          <c:spPr>
            <a:solidFill>
              <a:schemeClr val="accent5">
                <a:lumMod val="60000"/>
                <a:lumOff val="40000"/>
              </a:schemeClr>
            </a:solidFill>
            <a:ln>
              <a:noFill/>
            </a:ln>
            <a:effectLst/>
          </c:spPr>
          <c:invertIfNegative val="0"/>
          <c:cat>
            <c:strRef>
              <c:f>'results (2)'!$D$1:$X$1</c:f>
              <c:strCache>
                <c:ptCount val="5"/>
                <c:pt idx="3">
                  <c:v>Carbon footprint</c:v>
                </c:pt>
                <c:pt idx="4">
                  <c:v>Primary energy consumption</c:v>
                </c:pt>
              </c:strCache>
            </c:strRef>
          </c:cat>
          <c:val>
            <c:numRef>
              <c:f>'results (2)'!$D$30:$X$30</c:f>
              <c:numCache>
                <c:formatCode>General</c:formatCode>
                <c:ptCount val="21"/>
                <c:pt idx="3" formatCode="0.00E+00">
                  <c:v>4.4961600035969278</c:v>
                </c:pt>
                <c:pt idx="4" formatCode="0.00E+00">
                  <c:v>79.113483983224114</c:v>
                </c:pt>
              </c:numCache>
            </c:numRef>
          </c:val>
          <c:extLst>
            <c:ext xmlns:c16="http://schemas.microsoft.com/office/drawing/2014/chart" uri="{C3380CC4-5D6E-409C-BE32-E72D297353CC}">
              <c16:uniqueId val="{0000001C-C94F-4841-B309-958F9C0AE6C9}"/>
            </c:ext>
          </c:extLst>
        </c:ser>
        <c:ser>
          <c:idx val="29"/>
          <c:order val="29"/>
          <c:tx>
            <c:strRef>
              <c:f>'results (2)'!$A$31</c:f>
              <c:strCache>
                <c:ptCount val="1"/>
                <c:pt idx="0">
                  <c:v>Lamination</c:v>
                </c:pt>
              </c:strCache>
            </c:strRef>
          </c:tx>
          <c:spPr>
            <a:solidFill>
              <a:schemeClr val="accent6">
                <a:lumMod val="60000"/>
                <a:lumOff val="40000"/>
              </a:schemeClr>
            </a:solidFill>
            <a:ln>
              <a:noFill/>
            </a:ln>
            <a:effectLst/>
          </c:spPr>
          <c:invertIfNegative val="0"/>
          <c:cat>
            <c:strRef>
              <c:f>'results (2)'!$D$1:$X$1</c:f>
              <c:strCache>
                <c:ptCount val="5"/>
                <c:pt idx="3">
                  <c:v>Carbon footprint</c:v>
                </c:pt>
                <c:pt idx="4">
                  <c:v>Primary energy consumption</c:v>
                </c:pt>
              </c:strCache>
            </c:strRef>
          </c:cat>
          <c:val>
            <c:numRef>
              <c:f>'results (2)'!$D$31:$X$31</c:f>
              <c:numCache>
                <c:formatCode>General</c:formatCode>
                <c:ptCount val="21"/>
                <c:pt idx="3" formatCode="0.00E+00">
                  <c:v>8.8740000070991979E-3</c:v>
                </c:pt>
                <c:pt idx="4" formatCode="0.00E+00">
                  <c:v>0.15614503417741601</c:v>
                </c:pt>
              </c:numCache>
            </c:numRef>
          </c:val>
          <c:extLst>
            <c:ext xmlns:c16="http://schemas.microsoft.com/office/drawing/2014/chart" uri="{C3380CC4-5D6E-409C-BE32-E72D297353CC}">
              <c16:uniqueId val="{0000001D-C94F-4841-B309-958F9C0AE6C9}"/>
            </c:ext>
          </c:extLst>
        </c:ser>
        <c:ser>
          <c:idx val="30"/>
          <c:order val="30"/>
          <c:tx>
            <c:strRef>
              <c:f>'results (2)'!$A$32</c:f>
              <c:strCache>
                <c:ptCount val="1"/>
                <c:pt idx="0">
                  <c:v>Direct emissions</c:v>
                </c:pt>
              </c:strCache>
            </c:strRef>
          </c:tx>
          <c:spPr>
            <a:solidFill>
              <a:schemeClr val="accent1">
                <a:lumMod val="50000"/>
              </a:schemeClr>
            </a:solidFill>
            <a:ln>
              <a:noFill/>
            </a:ln>
            <a:effectLst/>
          </c:spPr>
          <c:invertIfNegative val="0"/>
          <c:cat>
            <c:strRef>
              <c:f>'results (2)'!$D$1:$X$1</c:f>
              <c:strCache>
                <c:ptCount val="5"/>
                <c:pt idx="3">
                  <c:v>Carbon footprint</c:v>
                </c:pt>
                <c:pt idx="4">
                  <c:v>Primary energy consumption</c:v>
                </c:pt>
              </c:strCache>
            </c:strRef>
          </c:cat>
          <c:val>
            <c:numRef>
              <c:f>'results (2)'!$D$32:$X$32</c:f>
              <c:numCache>
                <c:formatCode>0.00E+00</c:formatCode>
                <c:ptCount val="21"/>
                <c:pt idx="3">
                  <c:v>0</c:v>
                </c:pt>
                <c:pt idx="4">
                  <c:v>0</c:v>
                </c:pt>
              </c:numCache>
            </c:numRef>
          </c:val>
          <c:extLst>
            <c:ext xmlns:c16="http://schemas.microsoft.com/office/drawing/2014/chart" uri="{C3380CC4-5D6E-409C-BE32-E72D297353CC}">
              <c16:uniqueId val="{0000001E-C94F-4841-B309-958F9C0AE6C9}"/>
            </c:ext>
          </c:extLst>
        </c:ser>
        <c:ser>
          <c:idx val="31"/>
          <c:order val="31"/>
          <c:tx>
            <c:strRef>
              <c:f>'results (2)'!$A$33</c:f>
              <c:strCache>
                <c:ptCount val="1"/>
                <c:pt idx="0">
                  <c:v>Treatment</c:v>
                </c:pt>
              </c:strCache>
            </c:strRef>
          </c:tx>
          <c:spPr>
            <a:solidFill>
              <a:schemeClr val="accent2">
                <a:lumMod val="50000"/>
              </a:schemeClr>
            </a:solidFill>
            <a:ln>
              <a:noFill/>
            </a:ln>
            <a:effectLst/>
          </c:spPr>
          <c:invertIfNegative val="0"/>
          <c:cat>
            <c:strRef>
              <c:f>'results (2)'!$D$1:$X$1</c:f>
              <c:strCache>
                <c:ptCount val="5"/>
                <c:pt idx="3">
                  <c:v>Carbon footprint</c:v>
                </c:pt>
                <c:pt idx="4">
                  <c:v>Primary energy consumption</c:v>
                </c:pt>
              </c:strCache>
            </c:strRef>
          </c:cat>
          <c:val>
            <c:numRef>
              <c:f>'results (2)'!$D$33:$X$33</c:f>
              <c:numCache>
                <c:formatCode>0.00E+00</c:formatCode>
                <c:ptCount val="21"/>
                <c:pt idx="3">
                  <c:v>1.2757696199999999E-4</c:v>
                </c:pt>
                <c:pt idx="4">
                  <c:v>1.0661210680980003E-3</c:v>
                </c:pt>
              </c:numCache>
            </c:numRef>
          </c:val>
          <c:extLst>
            <c:ext xmlns:c16="http://schemas.microsoft.com/office/drawing/2014/chart" uri="{C3380CC4-5D6E-409C-BE32-E72D297353CC}">
              <c16:uniqueId val="{0000001F-C94F-4841-B309-958F9C0AE6C9}"/>
            </c:ext>
          </c:extLst>
        </c:ser>
        <c:ser>
          <c:idx val="32"/>
          <c:order val="32"/>
          <c:tx>
            <c:strRef>
              <c:f>'results (2)'!$A$34</c:f>
              <c:strCache>
                <c:ptCount val="1"/>
                <c:pt idx="0">
                  <c:v>End of life</c:v>
                </c:pt>
              </c:strCache>
            </c:strRef>
          </c:tx>
          <c:spPr>
            <a:solidFill>
              <a:schemeClr val="accent3">
                <a:lumMod val="50000"/>
              </a:schemeClr>
            </a:solidFill>
            <a:ln>
              <a:noFill/>
            </a:ln>
            <a:effectLst/>
          </c:spPr>
          <c:invertIfNegative val="0"/>
          <c:cat>
            <c:strRef>
              <c:f>'results (2)'!$D$1:$X$1</c:f>
              <c:strCache>
                <c:ptCount val="5"/>
                <c:pt idx="3">
                  <c:v>Carbon footprint</c:v>
                </c:pt>
                <c:pt idx="4">
                  <c:v>Primary energy consumption</c:v>
                </c:pt>
              </c:strCache>
            </c:strRef>
          </c:cat>
          <c:val>
            <c:numRef>
              <c:f>'results (2)'!$D$34:$X$34</c:f>
              <c:numCache>
                <c:formatCode>0.00</c:formatCode>
                <c:ptCount val="21"/>
                <c:pt idx="3">
                  <c:v>0.15919788064941176</c:v>
                </c:pt>
                <c:pt idx="4">
                  <c:v>2.7861990010039213</c:v>
                </c:pt>
              </c:numCache>
            </c:numRef>
          </c:val>
          <c:extLst>
            <c:ext xmlns:c16="http://schemas.microsoft.com/office/drawing/2014/chart" uri="{C3380CC4-5D6E-409C-BE32-E72D297353CC}">
              <c16:uniqueId val="{00000020-C94F-4841-B309-958F9C0AE6C9}"/>
            </c:ext>
          </c:extLst>
        </c:ser>
        <c:dLbls>
          <c:showLegendKey val="0"/>
          <c:showVal val="0"/>
          <c:showCatName val="0"/>
          <c:showSerName val="0"/>
          <c:showPercent val="0"/>
          <c:showBubbleSize val="0"/>
        </c:dLbls>
        <c:gapWidth val="150"/>
        <c:overlap val="100"/>
        <c:axId val="1899062895"/>
        <c:axId val="1909776639"/>
      </c:barChart>
      <c:catAx>
        <c:axId val="189906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776639"/>
        <c:crosses val="autoZero"/>
        <c:auto val="1"/>
        <c:lblAlgn val="ctr"/>
        <c:lblOffset val="100"/>
        <c:noMultiLvlLbl val="0"/>
      </c:catAx>
      <c:valAx>
        <c:axId val="190977663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062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171450</xdr:colOff>
      <xdr:row>43</xdr:row>
      <xdr:rowOff>95250</xdr:rowOff>
    </xdr:from>
    <xdr:to>
      <xdr:col>13</xdr:col>
      <xdr:colOff>381000</xdr:colOff>
      <xdr:row>73</xdr:row>
      <xdr:rowOff>57150</xdr:rowOff>
    </xdr:to>
    <xdr:graphicFrame macro="">
      <xdr:nvGraphicFramePr>
        <xdr:cNvPr id="2" name="Chart 1">
          <a:extLst>
            <a:ext uri="{FF2B5EF4-FFF2-40B4-BE49-F238E27FC236}">
              <a16:creationId xmlns:a16="http://schemas.microsoft.com/office/drawing/2014/main" id="{34F9D504-0630-41F6-BC40-402E285B0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581025</xdr:colOff>
      <xdr:row>38</xdr:row>
      <xdr:rowOff>104775</xdr:rowOff>
    </xdr:from>
    <xdr:to>
      <xdr:col>18</xdr:col>
      <xdr:colOff>228600</xdr:colOff>
      <xdr:row>49</xdr:row>
      <xdr:rowOff>147637</xdr:rowOff>
    </xdr:to>
    <xdr:graphicFrame macro="">
      <xdr:nvGraphicFramePr>
        <xdr:cNvPr id="3" name="Chart 2">
          <a:extLst>
            <a:ext uri="{FF2B5EF4-FFF2-40B4-BE49-F238E27FC236}">
              <a16:creationId xmlns:a16="http://schemas.microsoft.com/office/drawing/2014/main" id="{066310C4-5076-487A-B7C0-D7D8CA4738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666750</xdr:colOff>
      <xdr:row>50</xdr:row>
      <xdr:rowOff>152400</xdr:rowOff>
    </xdr:from>
    <xdr:to>
      <xdr:col>18</xdr:col>
      <xdr:colOff>314325</xdr:colOff>
      <xdr:row>62</xdr:row>
      <xdr:rowOff>4762</xdr:rowOff>
    </xdr:to>
    <xdr:graphicFrame macro="">
      <xdr:nvGraphicFramePr>
        <xdr:cNvPr id="4" name="Chart 3">
          <a:extLst>
            <a:ext uri="{FF2B5EF4-FFF2-40B4-BE49-F238E27FC236}">
              <a16:creationId xmlns:a16="http://schemas.microsoft.com/office/drawing/2014/main" id="{7749D521-1AE4-426A-A73F-476718696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457200</xdr:colOff>
      <xdr:row>38</xdr:row>
      <xdr:rowOff>171450</xdr:rowOff>
    </xdr:from>
    <xdr:to>
      <xdr:col>22</xdr:col>
      <xdr:colOff>285750</xdr:colOff>
      <xdr:row>50</xdr:row>
      <xdr:rowOff>23812</xdr:rowOff>
    </xdr:to>
    <xdr:graphicFrame macro="">
      <xdr:nvGraphicFramePr>
        <xdr:cNvPr id="5" name="Chart 4">
          <a:extLst>
            <a:ext uri="{FF2B5EF4-FFF2-40B4-BE49-F238E27FC236}">
              <a16:creationId xmlns:a16="http://schemas.microsoft.com/office/drawing/2014/main" id="{CD5ADF4B-DE2C-4C81-B476-0A51BCA83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514350</xdr:colOff>
      <xdr:row>1</xdr:row>
      <xdr:rowOff>9525</xdr:rowOff>
    </xdr:from>
    <xdr:to>
      <xdr:col>29</xdr:col>
      <xdr:colOff>135834</xdr:colOff>
      <xdr:row>15</xdr:row>
      <xdr:rowOff>85725</xdr:rowOff>
    </xdr:to>
    <xdr:graphicFrame macro="">
      <xdr:nvGraphicFramePr>
        <xdr:cNvPr id="4" name="Chart 3">
          <a:extLst>
            <a:ext uri="{FF2B5EF4-FFF2-40B4-BE49-F238E27FC236}">
              <a16:creationId xmlns:a16="http://schemas.microsoft.com/office/drawing/2014/main" id="{7CE4EABC-9BB5-4101-B4CC-1C8F83CDD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128587</xdr:colOff>
      <xdr:row>18</xdr:row>
      <xdr:rowOff>9525</xdr:rowOff>
    </xdr:from>
    <xdr:to>
      <xdr:col>29</xdr:col>
      <xdr:colOff>384519</xdr:colOff>
      <xdr:row>32</xdr:row>
      <xdr:rowOff>85725</xdr:rowOff>
    </xdr:to>
    <xdr:graphicFrame macro="">
      <xdr:nvGraphicFramePr>
        <xdr:cNvPr id="5" name="Chart 4">
          <a:extLst>
            <a:ext uri="{FF2B5EF4-FFF2-40B4-BE49-F238E27FC236}">
              <a16:creationId xmlns:a16="http://schemas.microsoft.com/office/drawing/2014/main" id="{71388D2F-E3C3-4B5A-89FC-45056F203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14</xdr:row>
      <xdr:rowOff>0</xdr:rowOff>
    </xdr:from>
    <xdr:to>
      <xdr:col>10</xdr:col>
      <xdr:colOff>494476</xdr:colOff>
      <xdr:row>35</xdr:row>
      <xdr:rowOff>47119</xdr:rowOff>
    </xdr:to>
    <xdr:pic>
      <xdr:nvPicPr>
        <xdr:cNvPr id="6" name="Picture 5">
          <a:extLst>
            <a:ext uri="{FF2B5EF4-FFF2-40B4-BE49-F238E27FC236}">
              <a16:creationId xmlns:a16="http://schemas.microsoft.com/office/drawing/2014/main" id="{A43C0DCD-3D75-46AF-9260-D8D033B7E13D}"/>
            </a:ext>
          </a:extLst>
        </xdr:cNvPr>
        <xdr:cNvPicPr>
          <a:picLocks noChangeAspect="1"/>
        </xdr:cNvPicPr>
      </xdr:nvPicPr>
      <xdr:blipFill>
        <a:blip xmlns:r="http://schemas.openxmlformats.org/officeDocument/2006/relationships" r:embed="rId3"/>
        <a:stretch>
          <a:fillRect/>
        </a:stretch>
      </xdr:blipFill>
      <xdr:spPr>
        <a:xfrm>
          <a:off x="0" y="2667000"/>
          <a:ext cx="6590476" cy="4047619"/>
        </a:xfrm>
        <a:prstGeom prst="rect">
          <a:avLst/>
        </a:prstGeom>
      </xdr:spPr>
    </xdr:pic>
    <xdr:clientData/>
  </xdr:twoCellAnchor>
  <xdr:twoCellAnchor editAs="oneCell">
    <xdr:from>
      <xdr:col>11</xdr:col>
      <xdr:colOff>0</xdr:colOff>
      <xdr:row>14</xdr:row>
      <xdr:rowOff>0</xdr:rowOff>
    </xdr:from>
    <xdr:to>
      <xdr:col>21</xdr:col>
      <xdr:colOff>494476</xdr:colOff>
      <xdr:row>35</xdr:row>
      <xdr:rowOff>47119</xdr:rowOff>
    </xdr:to>
    <xdr:pic>
      <xdr:nvPicPr>
        <xdr:cNvPr id="7" name="Picture 6">
          <a:extLst>
            <a:ext uri="{FF2B5EF4-FFF2-40B4-BE49-F238E27FC236}">
              <a16:creationId xmlns:a16="http://schemas.microsoft.com/office/drawing/2014/main" id="{1EE67040-0B82-447A-AECD-0E1462D83AF1}"/>
            </a:ext>
          </a:extLst>
        </xdr:cNvPr>
        <xdr:cNvPicPr>
          <a:picLocks noChangeAspect="1"/>
        </xdr:cNvPicPr>
      </xdr:nvPicPr>
      <xdr:blipFill>
        <a:blip xmlns:r="http://schemas.openxmlformats.org/officeDocument/2006/relationships" r:embed="rId4"/>
        <a:stretch>
          <a:fillRect/>
        </a:stretch>
      </xdr:blipFill>
      <xdr:spPr>
        <a:xfrm>
          <a:off x="6705600" y="2667000"/>
          <a:ext cx="6590476" cy="40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1162050</xdr:colOff>
      <xdr:row>44</xdr:row>
      <xdr:rowOff>14287</xdr:rowOff>
    </xdr:from>
    <xdr:to>
      <xdr:col>8</xdr:col>
      <xdr:colOff>552450</xdr:colOff>
      <xdr:row>58</xdr:row>
      <xdr:rowOff>90487</xdr:rowOff>
    </xdr:to>
    <xdr:graphicFrame macro="">
      <xdr:nvGraphicFramePr>
        <xdr:cNvPr id="2" name="Chart 1">
          <a:extLst>
            <a:ext uri="{FF2B5EF4-FFF2-40B4-BE49-F238E27FC236}">
              <a16:creationId xmlns:a16="http://schemas.microsoft.com/office/drawing/2014/main" id="{628D720B-B042-41D6-8BB8-8F26F7B88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47625</xdr:colOff>
      <xdr:row>44</xdr:row>
      <xdr:rowOff>14287</xdr:rowOff>
    </xdr:from>
    <xdr:to>
      <xdr:col>16</xdr:col>
      <xdr:colOff>352425</xdr:colOff>
      <xdr:row>58</xdr:row>
      <xdr:rowOff>90487</xdr:rowOff>
    </xdr:to>
    <xdr:graphicFrame macro="">
      <xdr:nvGraphicFramePr>
        <xdr:cNvPr id="3" name="Chart 2">
          <a:extLst>
            <a:ext uri="{FF2B5EF4-FFF2-40B4-BE49-F238E27FC236}">
              <a16:creationId xmlns:a16="http://schemas.microsoft.com/office/drawing/2014/main" id="{E2EF5361-FC40-43BE-B821-8C028D8B06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171450</xdr:colOff>
      <xdr:row>43</xdr:row>
      <xdr:rowOff>95250</xdr:rowOff>
    </xdr:from>
    <xdr:to>
      <xdr:col>13</xdr:col>
      <xdr:colOff>381000</xdr:colOff>
      <xdr:row>73</xdr:row>
      <xdr:rowOff>57150</xdr:rowOff>
    </xdr:to>
    <xdr:graphicFrame macro="">
      <xdr:nvGraphicFramePr>
        <xdr:cNvPr id="2" name="Chart 1">
          <a:extLst>
            <a:ext uri="{FF2B5EF4-FFF2-40B4-BE49-F238E27FC236}">
              <a16:creationId xmlns:a16="http://schemas.microsoft.com/office/drawing/2014/main" id="{29E6C260-4FCA-4123-B239-3DDC9B1E8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581025</xdr:colOff>
      <xdr:row>38</xdr:row>
      <xdr:rowOff>104775</xdr:rowOff>
    </xdr:from>
    <xdr:to>
      <xdr:col>18</xdr:col>
      <xdr:colOff>228600</xdr:colOff>
      <xdr:row>49</xdr:row>
      <xdr:rowOff>147637</xdr:rowOff>
    </xdr:to>
    <xdr:graphicFrame macro="">
      <xdr:nvGraphicFramePr>
        <xdr:cNvPr id="3" name="Chart 2">
          <a:extLst>
            <a:ext uri="{FF2B5EF4-FFF2-40B4-BE49-F238E27FC236}">
              <a16:creationId xmlns:a16="http://schemas.microsoft.com/office/drawing/2014/main" id="{2B6F948D-6BC1-4949-8701-795267993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666750</xdr:colOff>
      <xdr:row>50</xdr:row>
      <xdr:rowOff>152400</xdr:rowOff>
    </xdr:from>
    <xdr:to>
      <xdr:col>18</xdr:col>
      <xdr:colOff>314325</xdr:colOff>
      <xdr:row>62</xdr:row>
      <xdr:rowOff>4762</xdr:rowOff>
    </xdr:to>
    <xdr:graphicFrame macro="">
      <xdr:nvGraphicFramePr>
        <xdr:cNvPr id="4" name="Chart 3">
          <a:extLst>
            <a:ext uri="{FF2B5EF4-FFF2-40B4-BE49-F238E27FC236}">
              <a16:creationId xmlns:a16="http://schemas.microsoft.com/office/drawing/2014/main" id="{9AA05A01-93D4-4205-97FD-90FE844CD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457200</xdr:colOff>
      <xdr:row>38</xdr:row>
      <xdr:rowOff>171450</xdr:rowOff>
    </xdr:from>
    <xdr:to>
      <xdr:col>22</xdr:col>
      <xdr:colOff>285750</xdr:colOff>
      <xdr:row>50</xdr:row>
      <xdr:rowOff>23812</xdr:rowOff>
    </xdr:to>
    <xdr:graphicFrame macro="">
      <xdr:nvGraphicFramePr>
        <xdr:cNvPr id="5" name="Chart 4">
          <a:extLst>
            <a:ext uri="{FF2B5EF4-FFF2-40B4-BE49-F238E27FC236}">
              <a16:creationId xmlns:a16="http://schemas.microsoft.com/office/drawing/2014/main" id="{E475D829-CAF7-4C15-BCD5-7B3285306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ther%20inventor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_Raw%20materia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6_FAI%20pr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7_MAB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_Raw%20materials-updated.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_LiTFSI.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Inventory%20for%20recycling.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Recycling/Macro-enable/Module_6_recycl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bI2"/>
      <sheetName val="CH3NH3I"/>
      <sheetName val="FTO glass"/>
      <sheetName val="ITO glass"/>
      <sheetName val="BL-TiO2 ink"/>
      <sheetName val="spiro-OMeTAD"/>
      <sheetName val="C60"/>
      <sheetName val="PCBM_old"/>
      <sheetName val="PCBM_new"/>
      <sheetName val="PCBM"/>
      <sheetName val="Thiophene"/>
      <sheetName val="PEDOT PSS"/>
    </sheetNames>
    <sheetDataSet>
      <sheetData sheetId="0">
        <row r="18">
          <cell r="D18">
            <v>4.5641478346943822</v>
          </cell>
          <cell r="E18">
            <v>0</v>
          </cell>
          <cell r="F18">
            <v>0</v>
          </cell>
          <cell r="G18">
            <v>0</v>
          </cell>
          <cell r="H18">
            <v>0</v>
          </cell>
          <cell r="I18">
            <v>0</v>
          </cell>
          <cell r="J18">
            <v>0</v>
          </cell>
          <cell r="K18">
            <v>0</v>
          </cell>
          <cell r="L18">
            <v>0</v>
          </cell>
          <cell r="M18">
            <v>54.273073573167295</v>
          </cell>
          <cell r="N18">
            <v>1.0468647769178421</v>
          </cell>
          <cell r="O18">
            <v>3.8979307535263539</v>
          </cell>
          <cell r="P18">
            <v>1.0346162212323682</v>
          </cell>
          <cell r="Q18">
            <v>7.1263336550358825E-2</v>
          </cell>
          <cell r="R18">
            <v>1.9784839253897545E-3</v>
          </cell>
          <cell r="S18">
            <v>155.93446269487751</v>
          </cell>
          <cell r="T18">
            <v>0.19160131588715665</v>
          </cell>
          <cell r="U18">
            <v>78.202403056174219</v>
          </cell>
          <cell r="V18">
            <v>5.15849037985647E-3</v>
          </cell>
          <cell r="W18">
            <v>0.63220118225686706</v>
          </cell>
          <cell r="X18">
            <v>6.6310885300668149E-4</v>
          </cell>
          <cell r="Y18">
            <v>4.462579856471171E-7</v>
          </cell>
          <cell r="Z18">
            <v>1.1047205555555552E-2</v>
          </cell>
          <cell r="AA18">
            <v>1.554942625587726E-2</v>
          </cell>
          <cell r="AB18">
            <v>3.125296795347686E-2</v>
          </cell>
          <cell r="AC18">
            <v>5.3766239785944065E-3</v>
          </cell>
          <cell r="AD18">
            <v>4.0204006328878987E-2</v>
          </cell>
          <cell r="AE18">
            <v>1.1739803605543183E-2</v>
          </cell>
          <cell r="AF18">
            <v>0.19118482430091563</v>
          </cell>
          <cell r="AG18">
            <v>1.2205381316505814</v>
          </cell>
          <cell r="AH18">
            <v>0.15340474263796092</v>
          </cell>
        </row>
      </sheetData>
      <sheetData sheetId="1">
        <row r="17">
          <cell r="D17">
            <v>161.5361359123435</v>
          </cell>
        </row>
      </sheetData>
      <sheetData sheetId="2">
        <row r="41">
          <cell r="D41">
            <v>0.6900927939999999</v>
          </cell>
        </row>
      </sheetData>
      <sheetData sheetId="3">
        <row r="14">
          <cell r="D14">
            <v>16.837863429999999</v>
          </cell>
          <cell r="E14">
            <v>0</v>
          </cell>
          <cell r="F14">
            <v>0</v>
          </cell>
          <cell r="G14">
            <v>0</v>
          </cell>
          <cell r="H14">
            <v>0</v>
          </cell>
          <cell r="I14">
            <v>0</v>
          </cell>
          <cell r="J14">
            <v>0</v>
          </cell>
          <cell r="K14">
            <v>0</v>
          </cell>
          <cell r="L14">
            <v>0</v>
          </cell>
          <cell r="M14">
            <v>292.22870408888105</v>
          </cell>
          <cell r="N14">
            <v>5.4035999599999995E-2</v>
          </cell>
          <cell r="O14">
            <v>15.863857979999999</v>
          </cell>
          <cell r="P14">
            <v>6.8711502629999996</v>
          </cell>
          <cell r="Q14">
            <v>8.2522552700000001E-2</v>
          </cell>
          <cell r="R14">
            <v>1.0550032339999998E-3</v>
          </cell>
          <cell r="S14">
            <v>165.51815009999999</v>
          </cell>
          <cell r="T14">
            <v>0.16734019</v>
          </cell>
          <cell r="U14">
            <v>66.525372399999995</v>
          </cell>
          <cell r="V14">
            <v>1.5045233709999998E-2</v>
          </cell>
          <cell r="W14">
            <v>0.64124742970000004</v>
          </cell>
          <cell r="X14">
            <v>2.6055490222000001E-3</v>
          </cell>
          <cell r="Y14">
            <v>1.3754312987000001E-6</v>
          </cell>
          <cell r="Z14">
            <v>1.994535221E-2</v>
          </cell>
          <cell r="AA14">
            <v>4.8864307230000001E-2</v>
          </cell>
          <cell r="AB14">
            <v>7.2168691110000002E-2</v>
          </cell>
          <cell r="AC14">
            <v>7.877002793E-3</v>
          </cell>
          <cell r="AD14">
            <v>1.5844954200000001E-2</v>
          </cell>
          <cell r="AE14">
            <v>1.0150023860000001E-2</v>
          </cell>
          <cell r="AF14">
            <v>0.48907124690000003</v>
          </cell>
          <cell r="AG14">
            <v>1.723918898</v>
          </cell>
          <cell r="AH14">
            <v>0.8537033906</v>
          </cell>
        </row>
      </sheetData>
      <sheetData sheetId="4">
        <row r="14">
          <cell r="D14">
            <v>1.816623717028</v>
          </cell>
        </row>
      </sheetData>
      <sheetData sheetId="5">
        <row r="33">
          <cell r="D33">
            <v>121.5468471027569</v>
          </cell>
          <cell r="E33">
            <v>0</v>
          </cell>
          <cell r="F33">
            <v>0</v>
          </cell>
          <cell r="G33">
            <v>0</v>
          </cell>
          <cell r="H33">
            <v>0</v>
          </cell>
          <cell r="I33">
            <v>0</v>
          </cell>
          <cell r="J33">
            <v>0</v>
          </cell>
          <cell r="K33">
            <v>0</v>
          </cell>
          <cell r="L33">
            <v>0</v>
          </cell>
          <cell r="M33">
            <v>1958.021571952163</v>
          </cell>
          <cell r="N33">
            <v>29.767093973383464</v>
          </cell>
          <cell r="O33">
            <v>109.87499824561404</v>
          </cell>
          <cell r="P33">
            <v>35.465421288220554</v>
          </cell>
          <cell r="Q33">
            <v>7.4221536900250635</v>
          </cell>
          <cell r="R33">
            <v>0.12792126052481204</v>
          </cell>
          <cell r="S33">
            <v>6548.1155303258156</v>
          </cell>
          <cell r="T33">
            <v>11.179426375939849</v>
          </cell>
          <cell r="U33">
            <v>5537.7356836591489</v>
          </cell>
          <cell r="V33">
            <v>0.12301502522305767</v>
          </cell>
          <cell r="W33">
            <v>5.0502886230576465</v>
          </cell>
          <cell r="X33">
            <v>9.585345859649123E-3</v>
          </cell>
          <cell r="Y33">
            <v>1.0339000486716796E-5</v>
          </cell>
          <cell r="Z33">
            <v>0.62014124886215527</v>
          </cell>
          <cell r="AA33">
            <v>0.43767035669172932</v>
          </cell>
          <cell r="AB33">
            <v>0.59866097528822071</v>
          </cell>
          <cell r="AC33">
            <v>0.12409401888220552</v>
          </cell>
          <cell r="AD33">
            <v>1.6249439223558895</v>
          </cell>
          <cell r="AE33">
            <v>0.36095372982456142</v>
          </cell>
          <cell r="AF33">
            <v>6.3790381538847116</v>
          </cell>
          <cell r="AG33">
            <v>49.986884340350883</v>
          </cell>
          <cell r="AH33">
            <v>4.4870217719298244</v>
          </cell>
        </row>
      </sheetData>
      <sheetData sheetId="6"/>
      <sheetData sheetId="7"/>
      <sheetData sheetId="8">
        <row r="16">
          <cell r="D16">
            <v>681.91697298744145</v>
          </cell>
        </row>
      </sheetData>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sheetName val="production-alphabetical"/>
      <sheetName val="production-alphabetical (2)"/>
      <sheetName val="production-alphabetical (3)"/>
      <sheetName val="direct emissions"/>
      <sheetName val="Jian's"/>
    </sheetNames>
    <sheetDataSet>
      <sheetData sheetId="0">
        <row r="3">
          <cell r="D3">
            <v>2.4752999999999998</v>
          </cell>
        </row>
        <row r="7">
          <cell r="D7">
            <v>0.70992</v>
          </cell>
          <cell r="E7">
            <v>5.7651999999999998E-3</v>
          </cell>
          <cell r="F7">
            <v>12.423999999999999</v>
          </cell>
          <cell r="G7">
            <v>4.0747E-4</v>
          </cell>
          <cell r="H7">
            <v>4.2870999999999999E-2</v>
          </cell>
          <cell r="I7">
            <v>4.6647999999999998E-5</v>
          </cell>
          <cell r="J7">
            <v>2.8061999999999999E-6</v>
          </cell>
          <cell r="K7">
            <v>1.6684999999999998E-2</v>
          </cell>
          <cell r="L7">
            <v>1.8246E-3</v>
          </cell>
          <cell r="M7">
            <v>12.491602724200002</v>
          </cell>
          <cell r="N7">
            <v>8.1276999999999999E-4</v>
          </cell>
          <cell r="O7">
            <v>0.66998999999999997</v>
          </cell>
          <cell r="P7">
            <v>0.2959</v>
          </cell>
          <cell r="Q7">
            <v>2.5509999999999999E-3</v>
          </cell>
          <cell r="R7">
            <v>1.2449000000000001E-5</v>
          </cell>
          <cell r="S7">
            <v>5.2184999999999997</v>
          </cell>
          <cell r="T7">
            <v>4.2230000000000002E-3</v>
          </cell>
          <cell r="U7">
            <v>1.5693999999999999</v>
          </cell>
          <cell r="V7">
            <v>6.1474999999999995E-4</v>
          </cell>
          <cell r="W7">
            <v>2.9989999999999999E-3</v>
          </cell>
          <cell r="X7">
            <v>1.1035E-4</v>
          </cell>
          <cell r="Y7">
            <v>5.9294000000000001E-8</v>
          </cell>
          <cell r="Z7">
            <v>7.4861999999999997E-4</v>
          </cell>
          <cell r="AA7">
            <v>2.0135999999999999E-3</v>
          </cell>
          <cell r="AB7">
            <v>2.8999999999999998E-3</v>
          </cell>
          <cell r="AC7">
            <v>5.1903000000000001E-5</v>
          </cell>
          <cell r="AD7">
            <v>3.2011000000000002E-4</v>
          </cell>
          <cell r="AE7">
            <v>8.0185999999999994E-5</v>
          </cell>
          <cell r="AF7">
            <v>1.9613999999999999E-2</v>
          </cell>
          <cell r="AG7">
            <v>6.0482000000000001E-2</v>
          </cell>
          <cell r="AH7">
            <v>3.5621E-2</v>
          </cell>
        </row>
        <row r="34">
          <cell r="D34">
            <v>3.2427000000000001</v>
          </cell>
          <cell r="E34">
            <v>0.82776000000000005</v>
          </cell>
          <cell r="F34">
            <v>72.725999999999999</v>
          </cell>
          <cell r="G34">
            <v>3.2899999999999999E-2</v>
          </cell>
          <cell r="H34">
            <v>3.5541</v>
          </cell>
          <cell r="I34">
            <v>3.4236000000000002E-3</v>
          </cell>
          <cell r="J34">
            <v>8.2370000000000002E-4</v>
          </cell>
          <cell r="K34">
            <v>1.2222</v>
          </cell>
          <cell r="L34">
            <v>0.13625999999999999</v>
          </cell>
          <cell r="M34">
            <v>78.503467299999997</v>
          </cell>
          <cell r="N34">
            <v>0.11455</v>
          </cell>
          <cell r="O34">
            <v>2.7587000000000002</v>
          </cell>
          <cell r="P34">
            <v>1.7338</v>
          </cell>
          <cell r="Q34">
            <v>0.10091</v>
          </cell>
          <cell r="R34">
            <v>1.325E-3</v>
          </cell>
          <cell r="S34">
            <v>50.4</v>
          </cell>
          <cell r="T34">
            <v>0.1552</v>
          </cell>
          <cell r="U34">
            <v>41.045000000000002</v>
          </cell>
          <cell r="V34">
            <v>2.7309999999999999E-3</v>
          </cell>
          <cell r="W34">
            <v>0.13256000000000001</v>
          </cell>
          <cell r="X34">
            <v>2.5385000000000002E-4</v>
          </cell>
          <cell r="Y34">
            <v>7.1116999999999998E-7</v>
          </cell>
          <cell r="Z34">
            <v>8.2673999999999994E-3</v>
          </cell>
          <cell r="AA34">
            <v>2.1946E-2</v>
          </cell>
          <cell r="AB34">
            <v>1.4785E-2</v>
          </cell>
          <cell r="AC34">
            <v>1.9043E-3</v>
          </cell>
          <cell r="AD34">
            <v>2.7025E-2</v>
          </cell>
          <cell r="AE34">
            <v>8.4682999999999998E-3</v>
          </cell>
          <cell r="AF34">
            <v>0.12331</v>
          </cell>
          <cell r="AG34">
            <v>0.46032000000000001</v>
          </cell>
          <cell r="AH34">
            <v>0.21404999999999999</v>
          </cell>
        </row>
        <row r="71">
          <cell r="D71">
            <v>4.0795000000000003</v>
          </cell>
          <cell r="E71">
            <v>0.53337999999999997</v>
          </cell>
          <cell r="F71">
            <v>106.55</v>
          </cell>
          <cell r="G71">
            <v>1.0839E-2</v>
          </cell>
          <cell r="H71">
            <v>2.7650999999999999</v>
          </cell>
          <cell r="I71">
            <v>1.3423E-3</v>
          </cell>
          <cell r="J71">
            <v>1.4137000000000001E-4</v>
          </cell>
          <cell r="K71">
            <v>0.52132000000000001</v>
          </cell>
          <cell r="L71">
            <v>4.2441E-2</v>
          </cell>
          <cell r="M71">
            <v>110.42456367</v>
          </cell>
          <cell r="N71">
            <v>6.1492999999999999E-2</v>
          </cell>
          <cell r="O71">
            <v>3.6772999999999998</v>
          </cell>
          <cell r="P71">
            <v>2.5369000000000002</v>
          </cell>
          <cell r="Q71">
            <v>1.7544000000000001E-2</v>
          </cell>
          <cell r="R71">
            <v>4.2855999999999998E-4</v>
          </cell>
          <cell r="S71">
            <v>28.675000000000001</v>
          </cell>
          <cell r="T71">
            <v>8.8314000000000004E-2</v>
          </cell>
          <cell r="U71">
            <v>22.437999999999999</v>
          </cell>
          <cell r="V71">
            <v>1.6815E-2</v>
          </cell>
          <cell r="W71">
            <v>0.10779</v>
          </cell>
          <cell r="X71">
            <v>4.1534999999999999E-4</v>
          </cell>
          <cell r="Y71">
            <v>1.9926E-7</v>
          </cell>
          <cell r="Z71">
            <v>6.2411000000000003E-3</v>
          </cell>
          <cell r="AA71">
            <v>9.4280000000000006E-3</v>
          </cell>
          <cell r="AB71">
            <v>2.6443999999999999E-2</v>
          </cell>
          <cell r="AC71">
            <v>2.4615000000000001E-3</v>
          </cell>
          <cell r="AD71">
            <v>9.8277999999999994E-3</v>
          </cell>
          <cell r="AE71">
            <v>9.4646999999999995E-3</v>
          </cell>
          <cell r="AF71">
            <v>0.12259</v>
          </cell>
          <cell r="AG71">
            <v>0.33853</v>
          </cell>
          <cell r="AH71">
            <v>0.30918000000000001</v>
          </cell>
        </row>
        <row r="72">
          <cell r="D72">
            <v>11.087</v>
          </cell>
          <cell r="E72">
            <v>4.1803999999999997</v>
          </cell>
          <cell r="F72">
            <v>156.47</v>
          </cell>
          <cell r="G72">
            <v>0.18246000000000001</v>
          </cell>
          <cell r="H72">
            <v>13.781000000000001</v>
          </cell>
          <cell r="I72">
            <v>1.8915999999999999E-2</v>
          </cell>
          <cell r="J72">
            <v>1.505E-3</v>
          </cell>
          <cell r="K72">
            <v>6.4127999999999998</v>
          </cell>
          <cell r="L72">
            <v>0.75807999999999998</v>
          </cell>
          <cell r="M72">
            <v>181.805161</v>
          </cell>
          <cell r="N72">
            <v>0.61707999999999996</v>
          </cell>
          <cell r="O72">
            <v>10.166</v>
          </cell>
          <cell r="P72">
            <v>3.73</v>
          </cell>
          <cell r="Q72">
            <v>0.14452999999999999</v>
          </cell>
          <cell r="R72">
            <v>4.7632000000000004E-3</v>
          </cell>
          <cell r="S72">
            <v>215.25</v>
          </cell>
          <cell r="T72">
            <v>0.89961000000000002</v>
          </cell>
          <cell r="U72">
            <v>169.91</v>
          </cell>
          <cell r="V72">
            <v>1.2493000000000001E-2</v>
          </cell>
          <cell r="W72">
            <v>0.67508000000000001</v>
          </cell>
          <cell r="X72">
            <v>1.4947000000000001E-3</v>
          </cell>
          <cell r="Y72">
            <v>2.8059999999999999E-6</v>
          </cell>
          <cell r="Z72">
            <v>2.8736000000000001E-2</v>
          </cell>
          <cell r="AA72">
            <v>3.1737000000000001E-2</v>
          </cell>
          <cell r="AB72">
            <v>5.6224999999999997E-2</v>
          </cell>
          <cell r="AC72">
            <v>1.0362E-2</v>
          </cell>
          <cell r="AD72">
            <v>9.0798000000000004E-2</v>
          </cell>
          <cell r="AE72">
            <v>3.2612000000000002E-2</v>
          </cell>
          <cell r="AF72">
            <v>0.45911000000000002</v>
          </cell>
          <cell r="AG72">
            <v>1.8869</v>
          </cell>
          <cell r="AH72">
            <v>0.47855999999999999</v>
          </cell>
        </row>
        <row r="74">
          <cell r="D74">
            <v>1.7427E-3</v>
          </cell>
          <cell r="E74">
            <v>5.5787999999999996E-4</v>
          </cell>
          <cell r="F74">
            <v>1.9323E-2</v>
          </cell>
          <cell r="G74">
            <v>4.1117E-5</v>
          </cell>
          <cell r="H74">
            <v>2.5214E-3</v>
          </cell>
          <cell r="I74">
            <v>4.0446999999999996E-6</v>
          </cell>
          <cell r="J74">
            <v>8.8545999999999999E-7</v>
          </cell>
          <cell r="K74">
            <v>1.3761999999999999E-3</v>
          </cell>
          <cell r="L74">
            <v>1.5310000000000001E-4</v>
          </cell>
          <cell r="M74">
            <v>2.3977627160000001E-2</v>
          </cell>
          <cell r="N74">
            <v>8.0226000000000001E-5</v>
          </cell>
          <cell r="O74">
            <v>1.603E-3</v>
          </cell>
          <cell r="P74">
            <v>4.6108999999999999E-4</v>
          </cell>
          <cell r="Q74">
            <v>2.4029E-5</v>
          </cell>
          <cell r="R74">
            <v>8.5155000000000003E-7</v>
          </cell>
          <cell r="S74">
            <v>3.1862000000000001E-2</v>
          </cell>
          <cell r="T74">
            <v>1.739E-4</v>
          </cell>
          <cell r="U74">
            <v>2.7362999999999998E-2</v>
          </cell>
          <cell r="V74">
            <v>1.7167E-6</v>
          </cell>
          <cell r="W74">
            <v>1.1456E-4</v>
          </cell>
          <cell r="X74">
            <v>2.2113E-7</v>
          </cell>
          <cell r="Y74">
            <v>7.3037000000000003E-10</v>
          </cell>
          <cell r="Z74">
            <v>5.7030000000000003E-6</v>
          </cell>
          <cell r="AA74">
            <v>4.9044E-6</v>
          </cell>
          <cell r="AB74">
            <v>8.8248000000000006E-6</v>
          </cell>
          <cell r="AC74">
            <v>1.4250999999999999E-6</v>
          </cell>
          <cell r="AD74">
            <v>1.5262000000000001E-5</v>
          </cell>
          <cell r="AE74">
            <v>1.3097E-3</v>
          </cell>
          <cell r="AF74">
            <v>7.5106999999999998E-5</v>
          </cell>
          <cell r="AG74">
            <v>2.8687E-4</v>
          </cell>
          <cell r="AH74">
            <v>6.0606000000000002E-5</v>
          </cell>
        </row>
        <row r="75">
          <cell r="D75">
            <v>2.8612000000000002</v>
          </cell>
          <cell r="E75">
            <v>0.77027999999999996</v>
          </cell>
          <cell r="F75">
            <v>73.102999999999994</v>
          </cell>
          <cell r="G75">
            <v>3.4793999999999999E-2</v>
          </cell>
          <cell r="H75">
            <v>2.5186999999999999</v>
          </cell>
          <cell r="I75">
            <v>3.7307999999999998E-3</v>
          </cell>
          <cell r="J75">
            <v>3.5531000000000001E-4</v>
          </cell>
          <cell r="K75">
            <v>1.2466999999999999</v>
          </cell>
          <cell r="L75">
            <v>0.14502000000000001</v>
          </cell>
          <cell r="M75">
            <v>77.822580110000004</v>
          </cell>
          <cell r="N75">
            <v>0.11645</v>
          </cell>
          <cell r="O75">
            <v>2.5897999999999999</v>
          </cell>
          <cell r="P75">
            <v>1.7415</v>
          </cell>
          <cell r="Q75">
            <v>3.6441000000000001E-2</v>
          </cell>
          <cell r="R75">
            <v>9.8305000000000007E-4</v>
          </cell>
          <cell r="S75">
            <v>59.360999999999997</v>
          </cell>
          <cell r="T75">
            <v>0.25631999999999999</v>
          </cell>
          <cell r="U75">
            <v>38.563000000000002</v>
          </cell>
          <cell r="V75">
            <v>1.2496999999999999E-2</v>
          </cell>
          <cell r="W75">
            <v>0.16675999999999999</v>
          </cell>
          <cell r="X75">
            <v>1.0935000000000001E-3</v>
          </cell>
          <cell r="Y75">
            <v>5.2045000000000003E-7</v>
          </cell>
          <cell r="Z75">
            <v>7.2179000000000002E-3</v>
          </cell>
          <cell r="AA75">
            <v>8.7553000000000006E-3</v>
          </cell>
          <cell r="AB75">
            <v>1.839E-2</v>
          </cell>
          <cell r="AC75">
            <v>1.839E-2</v>
          </cell>
          <cell r="AD75">
            <v>2.2100999999999999E-2</v>
          </cell>
          <cell r="AE75">
            <v>7.7352999999999996E-3</v>
          </cell>
          <cell r="AF75">
            <v>0.11523</v>
          </cell>
          <cell r="AG75">
            <v>0.51175000000000004</v>
          </cell>
          <cell r="AH75">
            <v>0.21654000000000001</v>
          </cell>
        </row>
        <row r="104">
          <cell r="D104">
            <v>1.2696000000000001</v>
          </cell>
          <cell r="E104">
            <v>0.35569000000000001</v>
          </cell>
          <cell r="F104">
            <v>54.732999999999997</v>
          </cell>
          <cell r="G104">
            <v>1.5937E-2</v>
          </cell>
          <cell r="H104">
            <v>2.7120000000000002</v>
          </cell>
          <cell r="I104">
            <v>6.4032E-4</v>
          </cell>
          <cell r="J104">
            <v>6.8732999999999999E-4</v>
          </cell>
          <cell r="K104">
            <v>0.57882999999999996</v>
          </cell>
          <cell r="L104">
            <v>0.1893</v>
          </cell>
          <cell r="M104">
            <v>58.586084650000004</v>
          </cell>
          <cell r="N104">
            <v>5.4158999999999999E-2</v>
          </cell>
          <cell r="O104">
            <v>1.0815999999999999</v>
          </cell>
          <cell r="P104">
            <v>1.3033999999999999</v>
          </cell>
          <cell r="Q104">
            <v>2.2741000000000001E-2</v>
          </cell>
          <cell r="R104">
            <v>5.0582999999999997E-4</v>
          </cell>
          <cell r="S104">
            <v>33.625</v>
          </cell>
          <cell r="T104">
            <v>0.18521000000000001</v>
          </cell>
          <cell r="U104">
            <v>19.648</v>
          </cell>
          <cell r="V104">
            <v>9.9444000000000008E-4</v>
          </cell>
          <cell r="W104">
            <v>0.10894</v>
          </cell>
          <cell r="X104">
            <v>5.6817E-4</v>
          </cell>
          <cell r="Y104">
            <v>3.1627000000000001E-7</v>
          </cell>
          <cell r="Z104">
            <v>1.7206000000000001E-3</v>
          </cell>
          <cell r="AA104">
            <v>3.9411999999999997E-3</v>
          </cell>
          <cell r="AB104">
            <v>5.1390999999999997E-3</v>
          </cell>
          <cell r="AC104">
            <v>9.7420000000000004E-4</v>
          </cell>
          <cell r="AD104">
            <v>9.5762E-3</v>
          </cell>
          <cell r="AE104">
            <v>3.8428999999999998E-3</v>
          </cell>
          <cell r="AF104">
            <v>4.9723000000000003E-2</v>
          </cell>
          <cell r="AG104">
            <v>0.27034000000000002</v>
          </cell>
          <cell r="AH104">
            <v>0.16134000000000001</v>
          </cell>
        </row>
        <row r="105">
          <cell r="D105">
            <v>17.675000000000001</v>
          </cell>
          <cell r="E105">
            <v>4.3173000000000004</v>
          </cell>
          <cell r="F105">
            <v>210.01</v>
          </cell>
          <cell r="G105">
            <v>0.42392000000000002</v>
          </cell>
          <cell r="H105">
            <v>40.491999999999997</v>
          </cell>
          <cell r="I105">
            <v>1.4853999999999999E-2</v>
          </cell>
          <cell r="J105">
            <v>2.1735000000000001E-3</v>
          </cell>
          <cell r="K105">
            <v>13.398999999999999</v>
          </cell>
          <cell r="L105">
            <v>3.1000999999999999</v>
          </cell>
          <cell r="M105">
            <v>271.75934749999999</v>
          </cell>
          <cell r="N105">
            <v>0.60296000000000005</v>
          </cell>
          <cell r="O105">
            <v>16.562000000000001</v>
          </cell>
          <cell r="P105">
            <v>5.0073999999999996</v>
          </cell>
          <cell r="Q105">
            <v>0.21548</v>
          </cell>
          <cell r="R105">
            <v>8.2880000000000002E-3</v>
          </cell>
          <cell r="S105">
            <v>299.39999999999998</v>
          </cell>
          <cell r="T105">
            <v>2.7065000000000001</v>
          </cell>
          <cell r="U105">
            <v>249.1</v>
          </cell>
          <cell r="V105">
            <v>4.9102E-2</v>
          </cell>
          <cell r="W105">
            <v>1233.7</v>
          </cell>
          <cell r="X105">
            <v>7.1390999999999996E-2</v>
          </cell>
          <cell r="Y105">
            <v>1.3421E-6</v>
          </cell>
          <cell r="Z105">
            <v>0.25572</v>
          </cell>
          <cell r="AA105">
            <v>0.15961</v>
          </cell>
          <cell r="AB105">
            <v>0.38733000000000001</v>
          </cell>
          <cell r="AC105">
            <v>8.9911000000000001E-3</v>
          </cell>
          <cell r="AD105">
            <v>1.0895999999999999</v>
          </cell>
          <cell r="AE105">
            <v>5.8762000000000002E-2</v>
          </cell>
          <cell r="AF105">
            <v>6.0895999999999999</v>
          </cell>
          <cell r="AG105">
            <v>3.2263999999999999</v>
          </cell>
          <cell r="AH105">
            <v>57.878999999999998</v>
          </cell>
        </row>
        <row r="112">
          <cell r="D112">
            <v>3.1497000000000002</v>
          </cell>
          <cell r="E112">
            <v>0.75241999999999998</v>
          </cell>
          <cell r="F112">
            <v>73.204999999999998</v>
          </cell>
          <cell r="G112">
            <v>3.0286E-2</v>
          </cell>
          <cell r="H112">
            <v>3.8195000000000001</v>
          </cell>
          <cell r="I112">
            <v>8.0902999999999997E-4</v>
          </cell>
          <cell r="J112">
            <v>6.2005000000000003E-4</v>
          </cell>
          <cell r="K112">
            <v>1.0359</v>
          </cell>
          <cell r="L112">
            <v>0.19001000000000001</v>
          </cell>
          <cell r="M112">
            <v>79.034545080000001</v>
          </cell>
          <cell r="N112">
            <v>0.10041</v>
          </cell>
          <cell r="O112">
            <v>2.8180999999999998</v>
          </cell>
          <cell r="P112">
            <v>1.7437</v>
          </cell>
          <cell r="Q112">
            <v>2.7425000000000001E-2</v>
          </cell>
          <cell r="R112">
            <v>8.6828000000000003E-4</v>
          </cell>
          <cell r="S112">
            <v>42.161999999999999</v>
          </cell>
          <cell r="T112">
            <v>0.17729</v>
          </cell>
          <cell r="U112">
            <v>33.457999999999998</v>
          </cell>
          <cell r="V112">
            <v>2.5214999999999999E-3</v>
          </cell>
          <cell r="W112">
            <v>0.14166999999999999</v>
          </cell>
          <cell r="X112">
            <v>3.0549E-4</v>
          </cell>
          <cell r="Y112">
            <v>1.4420999999999999E-7</v>
          </cell>
          <cell r="Z112">
            <v>5.0603999999999996E-3</v>
          </cell>
          <cell r="AA112">
            <v>9.4725999999999994E-3</v>
          </cell>
          <cell r="AB112">
            <v>1.1995E-2</v>
          </cell>
          <cell r="AC112">
            <v>3.0942999999999999E-3</v>
          </cell>
          <cell r="AD112">
            <v>2.1552999999999999E-2</v>
          </cell>
          <cell r="AE112">
            <v>5.7200999999999997E-3</v>
          </cell>
          <cell r="AF112">
            <v>0.11194</v>
          </cell>
          <cell r="AG112">
            <v>0.39295000000000002</v>
          </cell>
          <cell r="AH112">
            <v>0.21565999999999999</v>
          </cell>
        </row>
        <row r="113">
          <cell r="D113">
            <v>2.8967000000000001</v>
          </cell>
          <cell r="E113">
            <v>0.63032999999999995</v>
          </cell>
          <cell r="F113">
            <v>50.231000000000002</v>
          </cell>
          <cell r="G113">
            <v>3.0981000000000002E-2</v>
          </cell>
          <cell r="H113">
            <v>3.3083</v>
          </cell>
          <cell r="I113">
            <v>8.5800000000000004E-4</v>
          </cell>
          <cell r="J113">
            <v>7.9505999999999999E-4</v>
          </cell>
          <cell r="K113">
            <v>1.1404000000000001</v>
          </cell>
          <cell r="L113">
            <v>0.19041</v>
          </cell>
          <cell r="M113">
            <v>55.533074060000004</v>
          </cell>
          <cell r="N113">
            <v>9.6782000000000007E-2</v>
          </cell>
          <cell r="O113">
            <v>2.637</v>
          </cell>
          <cell r="P113">
            <v>1.1969000000000001</v>
          </cell>
          <cell r="Q113">
            <v>2.9916999999999999E-2</v>
          </cell>
          <cell r="R113">
            <v>9.6234999999999995E-4</v>
          </cell>
          <cell r="S113">
            <v>44.603000000000002</v>
          </cell>
          <cell r="T113">
            <v>0.17635999999999999</v>
          </cell>
          <cell r="U113">
            <v>34.201000000000001</v>
          </cell>
          <cell r="V113">
            <v>2.3305999999999999E-3</v>
          </cell>
          <cell r="W113">
            <v>0.17008999999999999</v>
          </cell>
          <cell r="X113">
            <v>3.0334999999999997E-4</v>
          </cell>
          <cell r="Y113">
            <v>2.8648000000000001E-7</v>
          </cell>
          <cell r="Z113">
            <v>5.0324000000000002E-3</v>
          </cell>
          <cell r="AA113">
            <v>1.0166E-2</v>
          </cell>
          <cell r="AB113">
            <v>1.0345E-2</v>
          </cell>
          <cell r="AC113">
            <v>2.421E-3</v>
          </cell>
          <cell r="AD113">
            <v>2.5739000000000001E-2</v>
          </cell>
          <cell r="AE113">
            <v>8.3884000000000007E-3</v>
          </cell>
          <cell r="AF113">
            <v>0.11176</v>
          </cell>
          <cell r="AG113">
            <v>0.40386</v>
          </cell>
          <cell r="AH113">
            <v>0.15140999999999999</v>
          </cell>
        </row>
        <row r="114">
          <cell r="D114">
            <v>5.3696999999999998E-3</v>
          </cell>
          <cell r="E114">
            <v>2.9020000000000001E-3</v>
          </cell>
          <cell r="F114">
            <v>8.2667000000000004E-2</v>
          </cell>
          <cell r="G114">
            <v>6.8054999999999998E-5</v>
          </cell>
          <cell r="H114">
            <v>7.4021E-3</v>
          </cell>
          <cell r="I114">
            <v>1.8044E-6</v>
          </cell>
          <cell r="J114">
            <v>1.3793000000000001E-6</v>
          </cell>
          <cell r="K114">
            <v>3.3205999999999999E-3</v>
          </cell>
          <cell r="L114">
            <v>4.7394000000000001E-4</v>
          </cell>
          <cell r="M114">
            <v>9.6836878700000018E-2</v>
          </cell>
          <cell r="N114">
            <v>4.0443E-4</v>
          </cell>
          <cell r="O114">
            <v>4.9018000000000004E-3</v>
          </cell>
          <cell r="P114">
            <v>1.9697999999999998E-3</v>
          </cell>
          <cell r="Q114">
            <v>5.5868000000000001E-5</v>
          </cell>
          <cell r="R114">
            <v>1.6809000000000001E-6</v>
          </cell>
          <cell r="S114">
            <v>7.5234999999999996E-2</v>
          </cell>
          <cell r="T114">
            <v>4.0692000000000001E-4</v>
          </cell>
          <cell r="U114">
            <v>7.1874999999999994E-2</v>
          </cell>
          <cell r="V114">
            <v>1.0933E-5</v>
          </cell>
          <cell r="W114">
            <v>3.4812999999999999E-4</v>
          </cell>
          <cell r="X114">
            <v>7.5572000000000005E-7</v>
          </cell>
          <cell r="Y114">
            <v>3.6745000000000001E-9</v>
          </cell>
          <cell r="Z114">
            <v>1.0411000000000001E-5</v>
          </cell>
          <cell r="AA114">
            <v>1.5994999999999998E-5</v>
          </cell>
          <cell r="AB114">
            <v>2.4057999999999999E-5</v>
          </cell>
          <cell r="AC114">
            <v>6.8387000000000003E-6</v>
          </cell>
          <cell r="AD114">
            <v>4.6765999999999999E-5</v>
          </cell>
          <cell r="AE114">
            <v>1.5444999999999999E-5</v>
          </cell>
          <cell r="AF114">
            <v>2.0976999999999999E-4</v>
          </cell>
          <cell r="AG114">
            <v>7.0273999999999998E-4</v>
          </cell>
          <cell r="AH114">
            <v>2.5232999999999999E-4</v>
          </cell>
        </row>
      </sheetData>
      <sheetData sheetId="1"/>
      <sheetData sheetId="2"/>
      <sheetData sheetId="3"/>
      <sheetData sheetId="4">
        <row r="15">
          <cell r="D15">
            <v>0</v>
          </cell>
        </row>
        <row r="24">
          <cell r="D24">
            <v>0</v>
          </cell>
          <cell r="E24"/>
          <cell r="F24"/>
          <cell r="G24"/>
          <cell r="H24"/>
          <cell r="I24"/>
          <cell r="J24"/>
          <cell r="K24"/>
          <cell r="L24"/>
          <cell r="M24">
            <v>0</v>
          </cell>
          <cell r="N24"/>
          <cell r="O24"/>
          <cell r="P24"/>
          <cell r="Q24"/>
          <cell r="R24"/>
          <cell r="S24"/>
          <cell r="T24"/>
          <cell r="U24"/>
          <cell r="V24"/>
          <cell r="W24"/>
          <cell r="X24"/>
          <cell r="Y24"/>
          <cell r="Z24"/>
          <cell r="AA24">
            <v>0.3175675675675676</v>
          </cell>
          <cell r="AB24"/>
          <cell r="AC24"/>
          <cell r="AD24"/>
          <cell r="AE24"/>
          <cell r="AF24"/>
          <cell r="AG24">
            <v>1.20830586684E-4</v>
          </cell>
          <cell r="AH24"/>
        </row>
        <row r="28">
          <cell r="D28">
            <v>0</v>
          </cell>
          <cell r="E28"/>
          <cell r="F28"/>
          <cell r="G28"/>
          <cell r="H28"/>
          <cell r="I28"/>
          <cell r="J28"/>
          <cell r="K28"/>
          <cell r="L28"/>
          <cell r="M28">
            <v>0</v>
          </cell>
          <cell r="N28"/>
          <cell r="O28"/>
          <cell r="P28"/>
          <cell r="Q28"/>
          <cell r="R28"/>
          <cell r="S28"/>
          <cell r="T28"/>
          <cell r="U28"/>
          <cell r="V28"/>
          <cell r="W28"/>
          <cell r="X28"/>
          <cell r="Y28"/>
          <cell r="Z28"/>
          <cell r="AA28"/>
          <cell r="AB28"/>
          <cell r="AC28"/>
          <cell r="AD28"/>
          <cell r="AE28"/>
          <cell r="AF28"/>
          <cell r="AG28"/>
          <cell r="AH28"/>
        </row>
        <row r="30">
          <cell r="D30">
            <v>0</v>
          </cell>
          <cell r="E30"/>
          <cell r="F30"/>
          <cell r="G30"/>
          <cell r="H30"/>
          <cell r="I30"/>
          <cell r="J30"/>
          <cell r="K30"/>
          <cell r="L30"/>
          <cell r="M30">
            <v>0</v>
          </cell>
          <cell r="N30"/>
          <cell r="O30"/>
          <cell r="P30"/>
          <cell r="Q30">
            <v>1.7003303175320737E-4</v>
          </cell>
          <cell r="R30"/>
          <cell r="S30">
            <v>0.47081152258220021</v>
          </cell>
          <cell r="T30"/>
          <cell r="U30">
            <v>1.7402003843569559E-3</v>
          </cell>
          <cell r="V30"/>
          <cell r="W30"/>
          <cell r="X30"/>
          <cell r="Y30"/>
          <cell r="Z30"/>
          <cell r="AA30"/>
          <cell r="AB30"/>
          <cell r="AC30">
            <v>3.7040677832114982E-4</v>
          </cell>
          <cell r="AD30"/>
          <cell r="AE30"/>
          <cell r="AF30">
            <v>8.1790920700099996E-5</v>
          </cell>
          <cell r="AG30">
            <v>3.2152982030000002E-3</v>
          </cell>
          <cell r="AH30"/>
        </row>
        <row r="35">
          <cell r="D35">
            <v>0</v>
          </cell>
          <cell r="E35"/>
          <cell r="F35"/>
          <cell r="G35"/>
          <cell r="H35"/>
          <cell r="I35"/>
          <cell r="J35"/>
          <cell r="K35"/>
          <cell r="L35"/>
          <cell r="M35">
            <v>0</v>
          </cell>
          <cell r="N35"/>
          <cell r="O35"/>
          <cell r="P35"/>
          <cell r="Q35">
            <v>4.4887017216547792E-4</v>
          </cell>
          <cell r="R35"/>
          <cell r="S35">
            <v>1.8847523912927164</v>
          </cell>
          <cell r="T35"/>
          <cell r="U35">
            <v>3.9361598549663111E-2</v>
          </cell>
          <cell r="V35"/>
          <cell r="W35"/>
          <cell r="X35"/>
          <cell r="Y35"/>
          <cell r="Z35"/>
          <cell r="AA35"/>
          <cell r="AB35"/>
          <cell r="AC35">
            <v>1.1297585628802071E-3</v>
          </cell>
          <cell r="AD35"/>
          <cell r="AE35"/>
          <cell r="AF35"/>
          <cell r="AG35"/>
          <cell r="AH35"/>
        </row>
        <row r="38">
          <cell r="D38">
            <v>0</v>
          </cell>
          <cell r="E38"/>
          <cell r="F38"/>
          <cell r="G38"/>
          <cell r="H38"/>
          <cell r="I38"/>
          <cell r="J38"/>
          <cell r="K38"/>
          <cell r="L38"/>
          <cell r="M38">
            <v>0</v>
          </cell>
          <cell r="N38"/>
          <cell r="O38"/>
          <cell r="P38"/>
          <cell r="Q38"/>
          <cell r="R38"/>
          <cell r="S38"/>
          <cell r="T38"/>
          <cell r="U38"/>
          <cell r="V38"/>
          <cell r="W38"/>
          <cell r="X38"/>
          <cell r="Y38"/>
          <cell r="Z38"/>
          <cell r="AA38"/>
          <cell r="AB38"/>
          <cell r="AC38"/>
          <cell r="AD38"/>
          <cell r="AE38"/>
          <cell r="AF38"/>
          <cell r="AG38"/>
          <cell r="AH38"/>
        </row>
      </sheetData>
      <sheetData sheetId="5">
        <row r="4">
          <cell r="D4">
            <v>4.5641478346943822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6">
          <cell r="P26">
            <v>81.665404808643643</v>
          </cell>
          <cell r="Q26">
            <v>27.676817037128387</v>
          </cell>
          <cell r="R26">
            <v>1409.1351837066718</v>
          </cell>
          <cell r="S26">
            <v>6.9524411510408293E-2</v>
          </cell>
          <cell r="T26">
            <v>6.7844299377899553</v>
          </cell>
          <cell r="U26">
            <v>5.1293538309712824E-2</v>
          </cell>
          <cell r="V26">
            <v>3.4618425290784483E-3</v>
          </cell>
          <cell r="W26">
            <v>2.6059575292966133</v>
          </cell>
          <cell r="X26">
            <v>0.31573227695970851</v>
          </cell>
          <cell r="Y26">
            <v>1446.6424002801964</v>
          </cell>
          <cell r="Z26">
            <v>1.3692179816810384</v>
          </cell>
          <cell r="AA26">
            <v>76.707040101384948</v>
          </cell>
          <cell r="AB26">
            <v>33.561721051357537</v>
          </cell>
          <cell r="AC26">
            <v>0.35568752372530332</v>
          </cell>
          <cell r="AD26">
            <v>2.704475601813779E-3</v>
          </cell>
          <cell r="AE26">
            <v>639.67448101392915</v>
          </cell>
          <cell r="AF26">
            <v>0.62446710490474078</v>
          </cell>
          <cell r="AG26">
            <v>219.82436527476648</v>
          </cell>
          <cell r="AH26">
            <v>7.5598486052884772E-2</v>
          </cell>
          <cell r="AI26">
            <v>0.43165765893700175</v>
          </cell>
          <cell r="AJ26">
            <v>1.3488754734245786E-2</v>
          </cell>
          <cell r="AK26">
            <v>1.4781877491518088E-4</v>
          </cell>
          <cell r="AL26">
            <v>8.9622580502144666E-2</v>
          </cell>
          <cell r="AM26">
            <v>0.28199200856559198</v>
          </cell>
          <cell r="AN26">
            <v>0.34025771519464187</v>
          </cell>
          <cell r="AO26">
            <v>1.5191694739669524E-2</v>
          </cell>
          <cell r="AP26">
            <v>0.10671875893842762</v>
          </cell>
          <cell r="AQ26">
            <v>0.38963274453124486</v>
          </cell>
          <cell r="AR26">
            <v>2.5744651778326957</v>
          </cell>
          <cell r="AS26">
            <v>7.2256215288857444</v>
          </cell>
          <cell r="AT26">
            <v>4.0444655893107164</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0">
          <cell r="K20">
            <v>3619.4165229724927</v>
          </cell>
          <cell r="L20">
            <v>232.00593925280981</v>
          </cell>
          <cell r="M20">
            <v>63184.777411237141</v>
          </cell>
          <cell r="N20">
            <v>2.3119233446328034</v>
          </cell>
          <cell r="O20">
            <v>235.84742475612452</v>
          </cell>
          <cell r="P20">
            <v>0.28563261225655856</v>
          </cell>
          <cell r="Q20">
            <v>2.6562966700206178E-2</v>
          </cell>
          <cell r="R20">
            <v>93.54976128235684</v>
          </cell>
          <cell r="S20">
            <v>10.357211789066135</v>
          </cell>
          <cell r="T20">
            <v>63759.161867241099</v>
          </cell>
          <cell r="U20">
            <v>31.840377212503398</v>
          </cell>
          <cell r="V20">
            <v>3415.5341252106105</v>
          </cell>
          <cell r="W20">
            <v>1504.8676850939303</v>
          </cell>
          <cell r="X20">
            <v>14.971837215344118</v>
          </cell>
          <cell r="Y20">
            <v>9.9188951698497854E-2</v>
          </cell>
          <cell r="Z20">
            <v>28479.24452442132</v>
          </cell>
          <cell r="AA20">
            <v>23.242815202118681</v>
          </cell>
          <cell r="AB20">
            <v>9591.6896222264804</v>
          </cell>
          <cell r="AC20">
            <v>3.1379267584118589</v>
          </cell>
          <cell r="AD20">
            <v>16.202766300404043</v>
          </cell>
          <cell r="AE20">
            <v>0.56292328992403973</v>
          </cell>
          <cell r="AF20">
            <v>3.0438648131477213E-4</v>
          </cell>
          <cell r="AG20">
            <v>3.851403574106639</v>
          </cell>
          <cell r="AH20">
            <v>10.26482617192319</v>
          </cell>
          <cell r="AI20">
            <v>14.816150072128218</v>
          </cell>
          <cell r="AJ20">
            <v>0.32738281630246646</v>
          </cell>
          <cell r="AK20">
            <v>2.1808609132535546</v>
          </cell>
          <cell r="AL20">
            <v>0.49193378894652123</v>
          </cell>
          <cell r="AM20">
            <v>101.31825938616946</v>
          </cell>
          <cell r="AN20">
            <v>321.15289678402326</v>
          </cell>
          <cell r="AO20">
            <v>181.20280974080879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sheetName val="production-alphabetical"/>
      <sheetName val="production-alphabetical (2)"/>
      <sheetName val="production-alphabetical (3)"/>
      <sheetName val="direct emissions"/>
      <sheetName val="Jian's"/>
    </sheetNames>
    <sheetDataSet>
      <sheetData sheetId="0">
        <row r="3">
          <cell r="D3">
            <v>2.4752999999999998</v>
          </cell>
          <cell r="E3">
            <v>0.60845000000000005</v>
          </cell>
          <cell r="F3">
            <v>16.413</v>
          </cell>
          <cell r="G3">
            <v>3.0283999999999998E-2</v>
          </cell>
          <cell r="H3">
            <v>2.3748</v>
          </cell>
          <cell r="I3">
            <v>3.0076999999999999E-3</v>
          </cell>
          <cell r="J3">
            <v>2.0572E-2</v>
          </cell>
          <cell r="K3">
            <v>1.0948</v>
          </cell>
          <cell r="L3">
            <v>0.1404</v>
          </cell>
          <cell r="M3">
            <v>20.685313700000005</v>
          </cell>
          <cell r="N3">
            <v>8.8877999999999999E-2</v>
          </cell>
          <cell r="O3">
            <v>2.2648999999999999</v>
          </cell>
          <cell r="P3">
            <v>0.39137</v>
          </cell>
          <cell r="Q3">
            <v>3.4606999999999999E-2</v>
          </cell>
          <cell r="R3">
            <v>1.4064E-2</v>
          </cell>
          <cell r="S3">
            <v>31.951000000000001</v>
          </cell>
          <cell r="T3">
            <v>0.15866</v>
          </cell>
          <cell r="U3">
            <v>31.074999999999999</v>
          </cell>
          <cell r="V3">
            <v>0.13034999999999999</v>
          </cell>
          <cell r="W3">
            <v>0.17466000000000001</v>
          </cell>
          <cell r="X3">
            <v>1.8164E-4</v>
          </cell>
          <cell r="Y3">
            <v>1.8353E-7</v>
          </cell>
          <cell r="Z3">
            <v>5.0572000000000004E-3</v>
          </cell>
          <cell r="AA3">
            <v>5.9461000000000002E-3</v>
          </cell>
          <cell r="AB3">
            <v>1.0370000000000001E-2</v>
          </cell>
          <cell r="AC3">
            <v>1.3814999999999999E-3</v>
          </cell>
          <cell r="AD3">
            <v>2.3361E-2</v>
          </cell>
          <cell r="AE3">
            <v>1.0649E-2</v>
          </cell>
          <cell r="AF3">
            <v>0.10145</v>
          </cell>
          <cell r="AG3">
            <v>0.30706</v>
          </cell>
          <cell r="AH3">
            <v>5.5032999999999999E-2</v>
          </cell>
        </row>
        <row r="46">
          <cell r="D46">
            <v>2.6876000000000002</v>
          </cell>
          <cell r="E46">
            <v>1.0123</v>
          </cell>
          <cell r="F46">
            <v>29.95</v>
          </cell>
          <cell r="G46">
            <v>7.7804999999999999E-2</v>
          </cell>
          <cell r="H46">
            <v>6.4325000000000001</v>
          </cell>
          <cell r="I46">
            <v>6.5518E-3</v>
          </cell>
          <cell r="J46">
            <v>3.2995000000000002E-4</v>
          </cell>
          <cell r="K46">
            <v>2.5095000000000001</v>
          </cell>
          <cell r="L46">
            <v>0.39121</v>
          </cell>
          <cell r="M46">
            <v>40.380196750000003</v>
          </cell>
          <cell r="N46">
            <v>0.14061999999999999</v>
          </cell>
          <cell r="O46">
            <v>2.4859</v>
          </cell>
          <cell r="P46">
            <v>0.71387</v>
          </cell>
          <cell r="Q46">
            <v>3.5333999999999997E-2</v>
          </cell>
          <cell r="R46">
            <v>1.4566E-3</v>
          </cell>
          <cell r="S46">
            <v>46.789000000000001</v>
          </cell>
          <cell r="T46">
            <v>0.41410999999999998</v>
          </cell>
          <cell r="U46">
            <v>40.326999999999998</v>
          </cell>
          <cell r="V46">
            <v>2.4256999999999998E-3</v>
          </cell>
          <cell r="W46">
            <v>3.2414999999999999E-2</v>
          </cell>
          <cell r="X46">
            <v>2.9548999999999998E-4</v>
          </cell>
          <cell r="Y46">
            <v>1.4875000000000001E-7</v>
          </cell>
          <cell r="Z46">
            <v>8.3315000000000004E-3</v>
          </cell>
          <cell r="AA46">
            <v>6.6281999999999999E-3</v>
          </cell>
          <cell r="AB46">
            <v>1.3127E-2</v>
          </cell>
          <cell r="AC46">
            <v>8.9937000000000003E-4</v>
          </cell>
          <cell r="AD46">
            <v>1.5989E-2</v>
          </cell>
          <cell r="AE46">
            <v>1.0525E-2</v>
          </cell>
          <cell r="AF46">
            <v>0.10639</v>
          </cell>
          <cell r="AG46">
            <v>0.42542000000000002</v>
          </cell>
          <cell r="AH46">
            <v>8.7106000000000003E-2</v>
          </cell>
        </row>
        <row r="76">
          <cell r="D76">
            <v>1.8261000000000001</v>
          </cell>
          <cell r="E76">
            <v>0.32225999999999999</v>
          </cell>
          <cell r="F76">
            <v>58.023000000000003</v>
          </cell>
          <cell r="G76">
            <v>5.9595999999999998E-3</v>
          </cell>
          <cell r="H76">
            <v>1.6822999999999999</v>
          </cell>
          <cell r="I76">
            <v>7.3888999999999997E-4</v>
          </cell>
          <cell r="J76">
            <v>2.8306000000000002E-4</v>
          </cell>
          <cell r="K76">
            <v>0.30265999999999998</v>
          </cell>
          <cell r="L76">
            <v>2.3921999999999999E-2</v>
          </cell>
          <cell r="M76">
            <v>60.361123550000002</v>
          </cell>
          <cell r="N76">
            <v>3.6722999999999999E-2</v>
          </cell>
          <cell r="O76">
            <v>1.591</v>
          </cell>
          <cell r="P76">
            <v>1.3815</v>
          </cell>
          <cell r="Q76">
            <v>9.2759999999999995E-3</v>
          </cell>
          <cell r="R76">
            <v>2.6277000000000001E-4</v>
          </cell>
          <cell r="S76">
            <v>15.288</v>
          </cell>
          <cell r="T76">
            <v>3.6873999999999997E-2</v>
          </cell>
          <cell r="U76">
            <v>11.382999999999999</v>
          </cell>
          <cell r="V76">
            <v>1.1186E-3</v>
          </cell>
          <cell r="W76">
            <v>6.4592999999999998E-2</v>
          </cell>
          <cell r="X76">
            <v>1.4709E-4</v>
          </cell>
          <cell r="Y76">
            <v>6.472E-8</v>
          </cell>
          <cell r="Z76">
            <v>2.4101000000000001E-3</v>
          </cell>
          <cell r="AA76">
            <v>7.8647999999999999E-3</v>
          </cell>
          <cell r="AB76">
            <v>6.7625999999999997E-3</v>
          </cell>
          <cell r="AC76">
            <v>5.2406999999999996E-4</v>
          </cell>
          <cell r="AD76">
            <v>5.2075000000000003E-3</v>
          </cell>
          <cell r="AE76">
            <v>4.2263999999999999E-3</v>
          </cell>
          <cell r="AF76">
            <v>5.4866999999999999E-2</v>
          </cell>
          <cell r="AG76">
            <v>0.16566</v>
          </cell>
          <cell r="AH76">
            <v>0.16864999999999999</v>
          </cell>
        </row>
        <row r="91">
          <cell r="D91">
            <v>1.1845000000000001</v>
          </cell>
          <cell r="E91">
            <v>0.33423000000000003</v>
          </cell>
          <cell r="F91">
            <v>12.964</v>
          </cell>
          <cell r="G91">
            <v>3.1926000000000003E-2</v>
          </cell>
          <cell r="H91">
            <v>1.6914</v>
          </cell>
          <cell r="I91">
            <v>3.0853999999999999E-3</v>
          </cell>
          <cell r="J91">
            <v>1.5200000000000001E-4</v>
          </cell>
          <cell r="K91">
            <v>1.0064</v>
          </cell>
          <cell r="L91">
            <v>0.10661</v>
          </cell>
          <cell r="M91">
            <v>16.137803399999999</v>
          </cell>
          <cell r="N91">
            <v>4.6581999999999998E-2</v>
          </cell>
          <cell r="O91">
            <v>1.0933999999999999</v>
          </cell>
          <cell r="P91">
            <v>0.30948999999999999</v>
          </cell>
          <cell r="Q91">
            <v>1.4300999999999999E-2</v>
          </cell>
          <cell r="R91">
            <v>5.8091999999999996E-4</v>
          </cell>
          <cell r="S91">
            <v>19.337</v>
          </cell>
          <cell r="T91">
            <v>0.12024</v>
          </cell>
          <cell r="U91">
            <v>16.533999999999999</v>
          </cell>
          <cell r="V91">
            <v>1.0808E-3</v>
          </cell>
          <cell r="W91">
            <v>1.2095E-2</v>
          </cell>
          <cell r="X91">
            <v>1.2846E-4</v>
          </cell>
          <cell r="Y91">
            <v>5.3706999999999999E-8</v>
          </cell>
          <cell r="Z91">
            <v>3.9915000000000003E-3</v>
          </cell>
          <cell r="AA91">
            <v>2.9899000000000002E-3</v>
          </cell>
          <cell r="AB91">
            <v>5.8507000000000003E-3</v>
          </cell>
          <cell r="AC91">
            <v>3.7492999999999999E-4</v>
          </cell>
          <cell r="AD91">
            <v>7.1199999999999996E-3</v>
          </cell>
          <cell r="AE91">
            <v>4.3444E-3</v>
          </cell>
          <cell r="AF91">
            <v>4.5281000000000002E-2</v>
          </cell>
          <cell r="AG91">
            <v>0.17960000000000001</v>
          </cell>
          <cell r="AH91">
            <v>3.7673999999999999E-2</v>
          </cell>
        </row>
        <row r="104">
          <cell r="D104">
            <v>5.4259E-3</v>
          </cell>
          <cell r="E104">
            <v>4.1543E-4</v>
          </cell>
          <cell r="F104">
            <v>0.17004</v>
          </cell>
          <cell r="G104">
            <v>2.0565E-5</v>
          </cell>
          <cell r="H104">
            <v>2.2528000000000001E-3</v>
          </cell>
          <cell r="I104">
            <v>1.2869999999999999E-6</v>
          </cell>
          <cell r="J104">
            <v>3.5572999999999998E-6</v>
          </cell>
          <cell r="K104">
            <v>7.9175000000000003E-4</v>
          </cell>
          <cell r="L104">
            <v>1.3067999999999999E-4</v>
          </cell>
          <cell r="M104">
            <v>0.17365606929999999</v>
          </cell>
          <cell r="N104">
            <v>2.8051999999999998E-4</v>
          </cell>
          <cell r="O104">
            <v>5.1062E-3</v>
          </cell>
          <cell r="P104">
            <v>4.0477000000000004E-3</v>
          </cell>
          <cell r="Q104">
            <v>2.4984999999999999E-5</v>
          </cell>
          <cell r="R104">
            <v>6.018E-7</v>
          </cell>
          <cell r="S104">
            <v>3.8490000000000003E-2</v>
          </cell>
          <cell r="T104">
            <v>7.4255000000000002E-4</v>
          </cell>
          <cell r="U104">
            <v>2.7300999999999999E-2</v>
          </cell>
          <cell r="V104">
            <v>1.7286999999999999E-5</v>
          </cell>
          <cell r="W104">
            <v>2.1064E-4</v>
          </cell>
          <cell r="X104">
            <v>-3.9805999999999998E-5</v>
          </cell>
          <cell r="Y104">
            <v>1.908E-9</v>
          </cell>
          <cell r="Z104">
            <v>1.8263000000000001E-5</v>
          </cell>
          <cell r="AA104">
            <v>5.5226000000000003E-5</v>
          </cell>
          <cell r="AB104">
            <v>4.6202000000000003E-5</v>
          </cell>
          <cell r="AC104">
            <v>5.57E-6</v>
          </cell>
          <cell r="AD104">
            <v>1.0223000000000001E-3</v>
          </cell>
          <cell r="AE104">
            <v>7.3827999999999999E-6</v>
          </cell>
          <cell r="AF104">
            <v>4.1576999999999999E-4</v>
          </cell>
          <cell r="AG104">
            <v>4.8026999999999998E-4</v>
          </cell>
          <cell r="AH104">
            <v>4.9516000000000002E-4</v>
          </cell>
        </row>
        <row r="133">
          <cell r="D133">
            <v>5.0429000000000004</v>
          </cell>
          <cell r="E133">
            <v>2.3113999999999999</v>
          </cell>
          <cell r="F133">
            <v>56.040999999999997</v>
          </cell>
          <cell r="G133">
            <v>0.11956</v>
          </cell>
          <cell r="H133">
            <v>6.8920000000000003</v>
          </cell>
          <cell r="I133">
            <v>9.0480000000000005E-3</v>
          </cell>
          <cell r="J133">
            <v>9.6953000000000002E-4</v>
          </cell>
          <cell r="K133">
            <v>6.7588999999999997</v>
          </cell>
          <cell r="L133">
            <v>0.38396000000000002</v>
          </cell>
          <cell r="M133">
            <v>72.516837530000004</v>
          </cell>
          <cell r="N133">
            <v>0.36879000000000001</v>
          </cell>
          <cell r="O133">
            <v>4.6026999999999996</v>
          </cell>
          <cell r="P133">
            <v>1.3364</v>
          </cell>
          <cell r="Q133">
            <v>4.9623999999999997</v>
          </cell>
          <cell r="R133">
            <v>0.1462</v>
          </cell>
          <cell r="S133">
            <v>12489</v>
          </cell>
          <cell r="T133">
            <v>0.46650000000000003</v>
          </cell>
          <cell r="U133">
            <v>6530.1</v>
          </cell>
          <cell r="V133">
            <v>3.0044000000000001E-2</v>
          </cell>
          <cell r="W133">
            <v>47.875</v>
          </cell>
          <cell r="X133">
            <v>1.9903999999999998E-3</v>
          </cell>
          <cell r="Y133">
            <v>3.0008000000000002E-7</v>
          </cell>
          <cell r="Z133">
            <v>0.14541000000000001</v>
          </cell>
          <cell r="AA133">
            <v>9.3449000000000004E-2</v>
          </cell>
          <cell r="AB133">
            <v>0.48734</v>
          </cell>
          <cell r="AC133">
            <v>0.61521000000000003</v>
          </cell>
          <cell r="AD133">
            <v>0.43630999999999998</v>
          </cell>
          <cell r="AE133">
            <v>0.16158</v>
          </cell>
          <cell r="AF133">
            <v>2.3043</v>
          </cell>
          <cell r="AG133">
            <v>85.805999999999997</v>
          </cell>
          <cell r="AH133">
            <v>2.3824999999999998</v>
          </cell>
        </row>
      </sheetData>
      <sheetData sheetId="1" refreshError="1"/>
      <sheetData sheetId="2" refreshError="1"/>
      <sheetData sheetId="3" refreshError="1"/>
      <sheetData sheetId="4" refreshError="1">
        <row r="39">
          <cell r="D39">
            <v>0</v>
          </cell>
          <cell r="E39"/>
          <cell r="F39"/>
          <cell r="G39"/>
          <cell r="H39"/>
          <cell r="I39"/>
          <cell r="J39"/>
          <cell r="K39"/>
          <cell r="L39"/>
          <cell r="M39">
            <v>0</v>
          </cell>
          <cell r="N39"/>
          <cell r="O39"/>
          <cell r="P39"/>
          <cell r="Q39">
            <v>40.124148502200001</v>
          </cell>
          <cell r="R39"/>
          <cell r="S39">
            <v>52.091288566700001</v>
          </cell>
          <cell r="T39"/>
          <cell r="U39">
            <v>91486.4735506</v>
          </cell>
          <cell r="V39"/>
          <cell r="W39"/>
          <cell r="X39"/>
          <cell r="Y39"/>
          <cell r="Z39"/>
          <cell r="AA39"/>
          <cell r="AB39"/>
          <cell r="AC39">
            <v>420.11577236699998</v>
          </cell>
          <cell r="AD39"/>
          <cell r="AE39"/>
          <cell r="AF39">
            <v>115.505179849</v>
          </cell>
          <cell r="AG39">
            <v>0.35574538533400002</v>
          </cell>
          <cell r="AH39"/>
        </row>
      </sheetData>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y"/>
    </sheetNames>
    <sheetDataSet>
      <sheetData sheetId="0">
        <row r="37">
          <cell r="AZ37">
            <v>44.411730993196358</v>
          </cell>
          <cell r="BA37">
            <v>696.68224470958626</v>
          </cell>
          <cell r="BB37">
            <v>3.6806699140222356</v>
          </cell>
          <cell r="BC37">
            <v>37.710629473481568</v>
          </cell>
          <cell r="BD37">
            <v>14.96767734166526</v>
          </cell>
          <cell r="BE37">
            <v>2.1711415769761628</v>
          </cell>
          <cell r="BF37">
            <v>4.1372565220983183E-2</v>
          </cell>
          <cell r="BG37">
            <v>1859.5106856355687</v>
          </cell>
          <cell r="BH37">
            <v>2.0250794512725352</v>
          </cell>
          <cell r="BI37">
            <v>1528.7835608210237</v>
          </cell>
          <cell r="BJ37">
            <v>4.5267001206842225E-2</v>
          </cell>
          <cell r="BK37">
            <v>1.3527509012407135</v>
          </cell>
          <cell r="BL37">
            <v>6.3269573012995871E-3</v>
          </cell>
          <cell r="BM37">
            <v>5.2828318677713405E-6</v>
          </cell>
          <cell r="BN37">
            <v>9.0331570435414718E-2</v>
          </cell>
          <cell r="BO37">
            <v>0.13230009305618093</v>
          </cell>
          <cell r="BP37">
            <v>0.28418680101475047</v>
          </cell>
          <cell r="BQ37">
            <v>3.5106726735657727E-2</v>
          </cell>
          <cell r="BR37">
            <v>0.35671015815232626</v>
          </cell>
          <cell r="BS37">
            <v>9.0768947753529394E-2</v>
          </cell>
          <cell r="BT37">
            <v>1.7668420917082541</v>
          </cell>
          <cell r="BU37">
            <v>14.246940611958491</v>
          </cell>
          <cell r="BV37">
            <v>1.8575517807778932</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O with TiO2"/>
      <sheetName val="ITO"/>
    </sheetNames>
    <sheetDataSet>
      <sheetData sheetId="0">
        <row r="25">
          <cell r="U25">
            <v>2.6824762082719671</v>
          </cell>
        </row>
      </sheetData>
      <sheetData sheetId="1">
        <row r="19">
          <cell r="E19">
            <v>0.15812767160784313</v>
          </cell>
          <cell r="F19">
            <v>2.7772652980392154</v>
          </cell>
        </row>
        <row r="20">
          <cell r="E20">
            <v>1.0770142140486276E-3</v>
          </cell>
          <cell r="F20">
            <v>8.9895944479058826E-3</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 inventory"/>
      <sheetName val="sensitivity"/>
      <sheetName val="energy consumption"/>
      <sheetName val="results"/>
      <sheetName val="CB_DATA_"/>
      <sheetName val="uncertainty"/>
    </sheetNames>
    <sheetDataSet>
      <sheetData sheetId="0">
        <row r="13">
          <cell r="L13" t="str">
            <v>ITO glass</v>
          </cell>
          <cell r="M13">
            <v>1.6837863429999995</v>
          </cell>
          <cell r="V13">
            <v>29.222870408888099</v>
          </cell>
        </row>
        <row r="14">
          <cell r="L14" t="str">
            <v>SnO₂</v>
          </cell>
          <cell r="M14">
            <v>2.4568249999999997E-3</v>
          </cell>
          <cell r="V14">
            <v>3.7774549302499995E-2</v>
          </cell>
        </row>
        <row r="15">
          <cell r="L15" t="str">
            <v>H₂O</v>
          </cell>
          <cell r="M15">
            <v>8.8302478460674152E-6</v>
          </cell>
          <cell r="V15">
            <v>1.2149445721202592E-4</v>
          </cell>
        </row>
        <row r="16">
          <cell r="L16" t="str">
            <v>PbI₂</v>
          </cell>
          <cell r="M16">
            <v>5.0422090564514258E-3</v>
          </cell>
          <cell r="V16">
            <v>5.9957782482828542E-2</v>
          </cell>
        </row>
        <row r="17">
          <cell r="L17" t="str">
            <v>DMF</v>
          </cell>
          <cell r="M17">
            <v>4.7500373710823293E-3</v>
          </cell>
          <cell r="V17">
            <v>0.12919759675539927</v>
          </cell>
        </row>
        <row r="18">
          <cell r="L18" t="str">
            <v>DMSO</v>
          </cell>
          <cell r="M18">
            <v>1.2872013029725408E-4</v>
          </cell>
          <cell r="V18">
            <v>5.9398302219234068E-3</v>
          </cell>
        </row>
        <row r="19">
          <cell r="L19" t="str">
            <v>FAI</v>
          </cell>
          <cell r="M19">
            <v>2.3900391307546311E-2</v>
          </cell>
          <cell r="V19">
            <v>0.42337780030357741</v>
          </cell>
        </row>
        <row r="20">
          <cell r="L20" t="str">
            <v>MABr</v>
          </cell>
          <cell r="M20">
            <v>0.10592670348814012</v>
          </cell>
          <cell r="V20">
            <v>1.865990772517371</v>
          </cell>
        </row>
        <row r="21">
          <cell r="L21" t="str">
            <v>MACl</v>
          </cell>
          <cell r="M21">
            <v>1.5715091537824337E-7</v>
          </cell>
          <cell r="V21">
            <v>2.8340510885295118E-6</v>
          </cell>
        </row>
        <row r="22">
          <cell r="L22" t="str">
            <v>Isopropanol</v>
          </cell>
          <cell r="M22">
            <v>0.10111823698954497</v>
          </cell>
          <cell r="V22">
            <v>3.3424294376453116</v>
          </cell>
        </row>
        <row r="23">
          <cell r="L23" t="str">
            <v>Spiro-OMeTAD</v>
          </cell>
          <cell r="M23">
            <v>3.1854997688690531E-2</v>
          </cell>
          <cell r="V23">
            <v>0.51315829357722298</v>
          </cell>
        </row>
        <row r="24">
          <cell r="L24" t="str">
            <v>LiTFSI</v>
          </cell>
          <cell r="M24">
            <v>1.4649900522011319E-3</v>
          </cell>
          <cell r="V24">
            <v>2.2981147890881671E-2</v>
          </cell>
        </row>
        <row r="25">
          <cell r="L25" t="str">
            <v>Acetonitrile</v>
          </cell>
          <cell r="M25">
            <v>4.0681139631535285E-4</v>
          </cell>
          <cell r="V25">
            <v>1.1011636458905816E-2</v>
          </cell>
        </row>
        <row r="26">
          <cell r="L26" t="str">
            <v>4-tert Butylpyridine</v>
          </cell>
          <cell r="M26">
            <v>1.1128396373775934E-3</v>
          </cell>
          <cell r="V26">
            <v>1.8248398073474791E-2</v>
          </cell>
        </row>
        <row r="27">
          <cell r="L27" t="str">
            <v>Chlorobenzene</v>
          </cell>
          <cell r="M27">
            <v>1.3047440743568469E-2</v>
          </cell>
          <cell r="V27">
            <v>0.3158692872487171</v>
          </cell>
        </row>
        <row r="28">
          <cell r="L28" t="str">
            <v>Cu</v>
          </cell>
          <cell r="M28">
            <v>2.2772929536000004E-3</v>
          </cell>
          <cell r="V28">
            <v>3.2747443559147528E-2</v>
          </cell>
        </row>
        <row r="29">
          <cell r="L29" t="str">
            <v>Ar</v>
          </cell>
          <cell r="M29">
            <v>0.17435194181818181</v>
          </cell>
          <cell r="V29">
            <v>2.6195734909818178</v>
          </cell>
        </row>
        <row r="30">
          <cell r="L30" t="str">
            <v>O₂</v>
          </cell>
          <cell r="M30">
            <v>7.6841745454545455E-5</v>
          </cell>
          <cell r="V30">
            <v>1.0469033187490908E-3</v>
          </cell>
        </row>
        <row r="31">
          <cell r="L31" t="str">
            <v>Adhesive</v>
          </cell>
          <cell r="M31">
            <v>5.8513339999999997E-2</v>
          </cell>
          <cell r="V31">
            <v>1.121768096012</v>
          </cell>
        </row>
        <row r="32">
          <cell r="L32" t="str">
            <v>PET</v>
          </cell>
          <cell r="M32">
            <v>0.19433649</v>
          </cell>
          <cell r="V32">
            <v>4.876431431436</v>
          </cell>
        </row>
        <row r="33">
          <cell r="M33">
            <v>0</v>
          </cell>
          <cell r="V33">
            <v>0</v>
          </cell>
        </row>
        <row r="47">
          <cell r="M47">
            <v>1.2757696199999999E-4</v>
          </cell>
          <cell r="V47">
            <v>1.0661210680980003E-3</v>
          </cell>
        </row>
        <row r="51">
          <cell r="M51">
            <v>1.2908860778050111E-3</v>
          </cell>
          <cell r="V51">
            <v>4.1314842180230411E-2</v>
          </cell>
        </row>
      </sheetData>
      <sheetData sheetId="1"/>
      <sheetData sheetId="2">
        <row r="3">
          <cell r="H3" t="str">
            <v>UV/O₃ cleaning</v>
          </cell>
          <cell r="I3">
            <v>1.6328160013062525E-2</v>
          </cell>
          <cell r="R3">
            <v>0.28730686288644547</v>
          </cell>
        </row>
        <row r="4">
          <cell r="H4" t="str">
            <v>ETL slot-die coating</v>
          </cell>
          <cell r="I4">
            <v>1.4790000011831998E-2</v>
          </cell>
          <cell r="R4">
            <v>0.2602417236290267</v>
          </cell>
        </row>
        <row r="5">
          <cell r="H5" t="str">
            <v>ETL annealing</v>
          </cell>
          <cell r="I5">
            <v>4.5637714322224454</v>
          </cell>
          <cell r="R5">
            <v>80.303160434099667</v>
          </cell>
        </row>
        <row r="6">
          <cell r="H6" t="str">
            <v>PL 1st-step slot-die coating</v>
          </cell>
          <cell r="I6">
            <v>2.1128571445474281E-2</v>
          </cell>
          <cell r="R6">
            <v>0.37177389089860957</v>
          </cell>
        </row>
        <row r="7">
          <cell r="H7" t="str">
            <v>PL annealing</v>
          </cell>
          <cell r="I7">
            <v>7.0992000056793583E-2</v>
          </cell>
          <cell r="R7">
            <v>1.2491602734193281</v>
          </cell>
        </row>
        <row r="8">
          <cell r="H8" t="str">
            <v>PL 2nd-step slot-die coating</v>
          </cell>
          <cell r="I8">
            <v>2.1128571445474281E-2</v>
          </cell>
          <cell r="R8">
            <v>0.37177389089860957</v>
          </cell>
        </row>
        <row r="9">
          <cell r="H9" t="str">
            <v>PL post-annealing</v>
          </cell>
          <cell r="I9">
            <v>2.2818857161112227</v>
          </cell>
          <cell r="R9">
            <v>40.151580217049833</v>
          </cell>
        </row>
        <row r="10">
          <cell r="H10" t="str">
            <v>HTL slot-die coating</v>
          </cell>
          <cell r="I10">
            <v>9.8600000078879993E-2</v>
          </cell>
          <cell r="R10">
            <v>1.7349448241935115</v>
          </cell>
        </row>
        <row r="11">
          <cell r="H11" t="str">
            <v>Electrode sputtering</v>
          </cell>
          <cell r="I11">
            <v>4.4961600035969278</v>
          </cell>
          <cell r="R11">
            <v>79.113483983224114</v>
          </cell>
        </row>
        <row r="12">
          <cell r="H12" t="str">
            <v>Lamination</v>
          </cell>
          <cell r="I12">
            <v>8.8740000070991979E-3</v>
          </cell>
          <cell r="R12">
            <v>0.15614503417741601</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43"/>
  <sheetViews>
    <sheetView zoomScale="85" zoomScaleNormal="85" workbookViewId="0">
      <selection activeCell="F8" sqref="F8"/>
    </sheetView>
  </sheetViews>
  <sheetFormatPr defaultRowHeight="15"/>
  <cols>
    <col min="1" max="5" width="20.28515625" customWidth="1"/>
    <col min="6" max="6" width="20.28515625" style="64" customWidth="1"/>
    <col min="7" max="7" width="15.140625" style="63" hidden="1" customWidth="1"/>
    <col min="8" max="9" width="0" hidden="1" customWidth="1"/>
    <col min="10" max="10" width="9.5703125" hidden="1" customWidth="1"/>
    <col min="11" max="11" width="22.140625" style="63" customWidth="1"/>
    <col min="12" max="12" width="12.28515625" bestFit="1" customWidth="1"/>
    <col min="13" max="20" width="0" hidden="1" customWidth="1"/>
    <col min="21" max="21" width="9.85546875" bestFit="1" customWidth="1"/>
    <col min="22" max="25" width="9.5703125" bestFit="1" customWidth="1"/>
    <col min="26" max="26" width="12.28515625" bestFit="1" customWidth="1"/>
    <col min="27" max="31" width="9.5703125" bestFit="1" customWidth="1"/>
    <col min="32" max="33" width="12.28515625" bestFit="1" customWidth="1"/>
    <col min="34" max="42" width="9.5703125" bestFit="1" customWidth="1"/>
    <col min="43" max="43" width="11.85546875" customWidth="1"/>
  </cols>
  <sheetData>
    <row r="1" spans="1:43">
      <c r="A1" s="88" t="s">
        <v>146</v>
      </c>
      <c r="B1" s="89" t="s">
        <v>0</v>
      </c>
      <c r="C1" s="89" t="s">
        <v>1</v>
      </c>
      <c r="D1" s="89" t="s">
        <v>2</v>
      </c>
      <c r="E1" s="89" t="s">
        <v>3</v>
      </c>
      <c r="F1" s="90" t="s">
        <v>4</v>
      </c>
      <c r="L1" s="84" t="s">
        <v>36</v>
      </c>
      <c r="M1" s="85" t="s">
        <v>37</v>
      </c>
      <c r="N1" s="85"/>
      <c r="O1" s="85"/>
      <c r="P1" s="85"/>
      <c r="Q1" s="85"/>
      <c r="R1" s="85"/>
      <c r="S1" s="85"/>
      <c r="T1" s="85"/>
      <c r="U1" s="85"/>
      <c r="V1" s="86" t="s">
        <v>38</v>
      </c>
      <c r="W1" s="86"/>
      <c r="X1" s="86"/>
      <c r="Y1" s="86"/>
      <c r="Z1" s="86"/>
      <c r="AA1" s="86"/>
      <c r="AB1" s="86"/>
      <c r="AC1" s="86"/>
      <c r="AD1" s="86"/>
      <c r="AE1" s="86"/>
      <c r="AF1" s="86"/>
      <c r="AG1" s="86"/>
      <c r="AH1" s="86"/>
      <c r="AI1" s="86"/>
      <c r="AJ1" s="86"/>
      <c r="AK1" s="86"/>
      <c r="AL1" s="86"/>
      <c r="AM1" s="86"/>
      <c r="AN1" s="87" t="s">
        <v>39</v>
      </c>
      <c r="AO1" s="87"/>
      <c r="AP1" s="87"/>
    </row>
    <row r="2" spans="1:43">
      <c r="A2" s="88"/>
      <c r="B2" s="89"/>
      <c r="C2" s="89"/>
      <c r="D2" s="89"/>
      <c r="E2" s="89"/>
      <c r="F2" s="90"/>
      <c r="L2" s="84"/>
      <c r="M2" s="4" t="s">
        <v>40</v>
      </c>
      <c r="N2" s="4" t="s">
        <v>41</v>
      </c>
      <c r="O2" s="4" t="s">
        <v>42</v>
      </c>
      <c r="P2" s="4" t="s">
        <v>43</v>
      </c>
      <c r="Q2" s="4" t="s">
        <v>44</v>
      </c>
      <c r="R2" s="4" t="s">
        <v>45</v>
      </c>
      <c r="S2" s="4" t="s">
        <v>46</v>
      </c>
      <c r="T2" s="4" t="s">
        <v>47</v>
      </c>
      <c r="U2" s="5" t="s">
        <v>48</v>
      </c>
      <c r="V2" s="4" t="s">
        <v>49</v>
      </c>
      <c r="W2" s="4" t="s">
        <v>50</v>
      </c>
      <c r="X2" s="4" t="s">
        <v>51</v>
      </c>
      <c r="Y2" s="4" t="s">
        <v>52</v>
      </c>
      <c r="Z2" s="4" t="s">
        <v>53</v>
      </c>
      <c r="AA2" s="4" t="s">
        <v>54</v>
      </c>
      <c r="AB2" s="4" t="s">
        <v>55</v>
      </c>
      <c r="AC2" s="4" t="s">
        <v>56</v>
      </c>
      <c r="AD2" s="4" t="s">
        <v>57</v>
      </c>
      <c r="AE2" s="4" t="s">
        <v>58</v>
      </c>
      <c r="AF2" s="4" t="s">
        <v>59</v>
      </c>
      <c r="AG2" s="4" t="s">
        <v>60</v>
      </c>
      <c r="AH2" s="4" t="s">
        <v>61</v>
      </c>
      <c r="AI2" s="4" t="s">
        <v>62</v>
      </c>
      <c r="AJ2" s="4" t="s">
        <v>63</v>
      </c>
      <c r="AK2" s="4" t="s">
        <v>64</v>
      </c>
      <c r="AL2" s="4" t="s">
        <v>65</v>
      </c>
      <c r="AM2" s="4" t="s">
        <v>66</v>
      </c>
      <c r="AN2" s="6" t="s">
        <v>67</v>
      </c>
      <c r="AO2" s="6" t="s">
        <v>68</v>
      </c>
      <c r="AP2" s="6" t="s">
        <v>69</v>
      </c>
    </row>
    <row r="3" spans="1:43">
      <c r="A3" s="65" t="s">
        <v>5</v>
      </c>
      <c r="B3" s="63"/>
      <c r="C3" s="63"/>
      <c r="D3" s="63"/>
      <c r="E3" s="63"/>
      <c r="K3" s="63" t="s">
        <v>6</v>
      </c>
      <c r="L3" s="9">
        <f>$C$4*'[1]ITO glass'!D14</f>
        <v>16.837863429999999</v>
      </c>
      <c r="M3" s="9">
        <f>$C$4*'[1]ITO glass'!E14</f>
        <v>0</v>
      </c>
      <c r="N3" s="9">
        <f>$C$4*'[1]ITO glass'!F14</f>
        <v>0</v>
      </c>
      <c r="O3" s="9">
        <f>$C$4*'[1]ITO glass'!G14</f>
        <v>0</v>
      </c>
      <c r="P3" s="9">
        <f>$C$4*'[1]ITO glass'!H14</f>
        <v>0</v>
      </c>
      <c r="Q3" s="9">
        <f>$C$4*'[1]ITO glass'!I14</f>
        <v>0</v>
      </c>
      <c r="R3" s="9">
        <f>$C$4*'[1]ITO glass'!J14</f>
        <v>0</v>
      </c>
      <c r="S3" s="9">
        <f>$C$4*'[1]ITO glass'!K14</f>
        <v>0</v>
      </c>
      <c r="T3" s="9">
        <f>$C$4*'[1]ITO glass'!L14</f>
        <v>0</v>
      </c>
      <c r="U3" s="9">
        <f>$C$4*'[1]ITO glass'!M14</f>
        <v>292.22870408888105</v>
      </c>
      <c r="V3" s="9">
        <f>$C$4*'[1]ITO glass'!N14</f>
        <v>5.4035999599999995E-2</v>
      </c>
      <c r="W3" s="9">
        <f>$C$4*'[1]ITO glass'!O14</f>
        <v>15.863857979999999</v>
      </c>
      <c r="X3" s="9">
        <f>$C$4*'[1]ITO glass'!P14</f>
        <v>6.8711502629999996</v>
      </c>
      <c r="Y3" s="9">
        <f>$C$4*'[1]ITO glass'!Q14</f>
        <v>8.2522552700000001E-2</v>
      </c>
      <c r="Z3" s="9">
        <f>$C$4*'[1]ITO glass'!R14</f>
        <v>1.0550032339999998E-3</v>
      </c>
      <c r="AA3" s="9">
        <f>$C$4*'[1]ITO glass'!S14</f>
        <v>165.51815009999999</v>
      </c>
      <c r="AB3" s="9">
        <f>$C$4*'[1]ITO glass'!T14</f>
        <v>0.16734019</v>
      </c>
      <c r="AC3" s="9">
        <f>$C$4*'[1]ITO glass'!U14</f>
        <v>66.525372399999995</v>
      </c>
      <c r="AD3" s="9">
        <f>$C$4*'[1]ITO glass'!V14</f>
        <v>1.5045233709999998E-2</v>
      </c>
      <c r="AE3" s="9">
        <f>$C$4*'[1]ITO glass'!W14</f>
        <v>0.64124742970000004</v>
      </c>
      <c r="AF3" s="9">
        <f>$C$4*'[1]ITO glass'!X14</f>
        <v>2.6055490222000001E-3</v>
      </c>
      <c r="AG3" s="9">
        <f>$C$4*'[1]ITO glass'!Y14</f>
        <v>1.3754312987000001E-6</v>
      </c>
      <c r="AH3" s="9">
        <f>$C$4*'[1]ITO glass'!Z14</f>
        <v>1.994535221E-2</v>
      </c>
      <c r="AI3" s="9">
        <f>$C$4*'[1]ITO glass'!AA14</f>
        <v>4.8864307230000001E-2</v>
      </c>
      <c r="AJ3" s="9">
        <f>$C$4*'[1]ITO glass'!AB14</f>
        <v>7.2168691110000002E-2</v>
      </c>
      <c r="AK3" s="9">
        <f>$C$4*'[1]ITO glass'!AC14</f>
        <v>7.877002793E-3</v>
      </c>
      <c r="AL3" s="9">
        <f>$C$4*'[1]ITO glass'!AD14</f>
        <v>1.5844954200000001E-2</v>
      </c>
      <c r="AM3" s="9">
        <f>$C$4*'[1]ITO glass'!AE14</f>
        <v>1.0150023860000001E-2</v>
      </c>
      <c r="AN3" s="9">
        <f>$C$4*'[1]ITO glass'!AF14</f>
        <v>0.48907124690000003</v>
      </c>
      <c r="AO3" s="9">
        <f>$C$4*'[1]ITO glass'!AG14</f>
        <v>1.723918898</v>
      </c>
      <c r="AP3" s="9">
        <f>$C$4*'[1]ITO glass'!AH14</f>
        <v>0.8537033906</v>
      </c>
    </row>
    <row r="4" spans="1:43">
      <c r="A4" s="63" t="s">
        <v>6</v>
      </c>
      <c r="B4" s="63"/>
      <c r="C4" s="63">
        <v>1</v>
      </c>
      <c r="D4" s="63"/>
      <c r="E4" s="63">
        <v>1</v>
      </c>
      <c r="F4" s="64">
        <v>1.54</v>
      </c>
      <c r="K4" s="63" t="s">
        <v>156</v>
      </c>
      <c r="L4">
        <f>$F$6*[2]production!D105</f>
        <v>2.4568249999999997E-3</v>
      </c>
      <c r="M4">
        <f>$F$6*[2]production!E105</f>
        <v>6.0010469999999998E-4</v>
      </c>
      <c r="N4">
        <f>$F$6*[2]production!F105</f>
        <v>2.9191389999999998E-2</v>
      </c>
      <c r="O4">
        <f>$F$6*[2]production!G105</f>
        <v>5.8924880000000001E-5</v>
      </c>
      <c r="P4">
        <f>$F$6*[2]production!H105</f>
        <v>5.6283879999999989E-3</v>
      </c>
      <c r="Q4">
        <f>$F$6*[2]production!I105</f>
        <v>2.0647059999999996E-6</v>
      </c>
      <c r="R4">
        <f>$F$6*[2]production!J105</f>
        <v>3.0211650000000002E-7</v>
      </c>
      <c r="S4">
        <f>$F$6*[2]production!K105</f>
        <v>1.8624609999999997E-3</v>
      </c>
      <c r="T4">
        <f>$F$6*[2]production!L105</f>
        <v>4.3091389999999993E-4</v>
      </c>
      <c r="U4">
        <f>$F$6*[2]production!M105</f>
        <v>3.7774549302499995E-2</v>
      </c>
      <c r="V4">
        <f>$F$6*[2]production!N105</f>
        <v>8.3811440000000005E-5</v>
      </c>
      <c r="W4">
        <f>$F$6*[2]production!O105</f>
        <v>2.3021180000000001E-3</v>
      </c>
      <c r="X4">
        <f>$F$6*[2]production!P105</f>
        <v>6.9602859999999989E-4</v>
      </c>
      <c r="Y4">
        <f>$F$6*[2]production!Q105</f>
        <v>2.9951719999999998E-5</v>
      </c>
      <c r="Z4">
        <f>$F$6*[2]production!R105</f>
        <v>1.152032E-6</v>
      </c>
      <c r="AA4">
        <f>$F$6*[2]production!S105</f>
        <v>4.1616599999999997E-2</v>
      </c>
      <c r="AB4">
        <f>$F$6*[2]production!T105</f>
        <v>3.7620349999999998E-4</v>
      </c>
      <c r="AC4">
        <f>$F$6*[2]production!U105</f>
        <v>3.46249E-2</v>
      </c>
      <c r="AD4">
        <f>$F$6*[2]production!V105</f>
        <v>6.8251779999999993E-6</v>
      </c>
      <c r="AE4">
        <f>$F$6*[2]production!W105</f>
        <v>0.17148430000000001</v>
      </c>
      <c r="AF4">
        <f>$F$6*[2]production!X105</f>
        <v>9.9233489999999994E-6</v>
      </c>
      <c r="AG4">
        <f>$F$6*[2]production!Y105</f>
        <v>1.865519E-10</v>
      </c>
      <c r="AH4">
        <f>$F$6*[2]production!Z105</f>
        <v>3.5545079999999998E-5</v>
      </c>
      <c r="AI4">
        <f>$F$6*[2]production!AA105</f>
        <v>2.218579E-5</v>
      </c>
      <c r="AJ4">
        <f>$F$6*[2]production!AB105</f>
        <v>5.3838869999999995E-5</v>
      </c>
      <c r="AK4">
        <f>$F$6*[2]production!AC105</f>
        <v>1.2497629E-6</v>
      </c>
      <c r="AL4">
        <f>$F$6*[2]production!AD105</f>
        <v>1.5145439999999998E-4</v>
      </c>
      <c r="AM4">
        <f>$F$6*[2]production!AE105</f>
        <v>8.1679179999999994E-6</v>
      </c>
      <c r="AN4">
        <f>$F$6*[2]production!AF105</f>
        <v>8.4645439999999988E-4</v>
      </c>
      <c r="AO4">
        <f>$F$6*[2]production!AG105</f>
        <v>4.4846959999999994E-4</v>
      </c>
      <c r="AP4">
        <f>$F$6*[2]production!AH105</f>
        <v>8.0451809999999985E-3</v>
      </c>
      <c r="AQ4" s="9"/>
    </row>
    <row r="5" spans="1:43">
      <c r="A5" s="65" t="s">
        <v>12</v>
      </c>
      <c r="B5" s="63"/>
      <c r="C5" s="63"/>
      <c r="D5" s="63"/>
      <c r="E5" s="63"/>
      <c r="K5" s="63" t="s">
        <v>157</v>
      </c>
      <c r="L5">
        <f>$F$7*[2]production!D74</f>
        <v>8.8302478460674152E-6</v>
      </c>
      <c r="M5">
        <f>$F$7*[2]production!E74</f>
        <v>2.8267737811235951E-6</v>
      </c>
      <c r="N5">
        <f>$F$7*[2]production!F74</f>
        <v>9.7909496258426958E-5</v>
      </c>
      <c r="O5">
        <f>$F$7*[2]production!G74</f>
        <v>2.0833953100749062E-7</v>
      </c>
      <c r="P5">
        <f>$F$7*[2]production!H74</f>
        <v>1.2775914913108614E-5</v>
      </c>
      <c r="Q5">
        <f>$F$7*[2]production!I74</f>
        <v>2.049446460262172E-8</v>
      </c>
      <c r="R5">
        <f>$F$7*[2]production!J74</f>
        <v>4.4866191873408239E-9</v>
      </c>
      <c r="S5">
        <f>$F$7*[2]production!K74</f>
        <v>6.9731950913857673E-6</v>
      </c>
      <c r="T5">
        <f>$F$7*[2]production!L74</f>
        <v>7.7575655318352059E-7</v>
      </c>
      <c r="U5">
        <f>$F$7*[2]production!M74</f>
        <v>1.2149445721202592E-4</v>
      </c>
      <c r="V5">
        <f>$F$7*[2]production!N74</f>
        <v>4.0650454105617978E-7</v>
      </c>
      <c r="W5">
        <f>$F$7*[2]production!O74</f>
        <v>8.1223889925093627E-6</v>
      </c>
      <c r="X5">
        <f>$F$7*[2]production!P74</f>
        <v>2.3363395761423218E-6</v>
      </c>
      <c r="Y5">
        <f>$F$7*[2]production!Q74</f>
        <v>1.2175476300749064E-7</v>
      </c>
      <c r="Z5">
        <f>$F$7*[2]production!R74</f>
        <v>4.3147974713483149E-9</v>
      </c>
      <c r="AA5">
        <f>$F$7*[2]production!S74</f>
        <v>1.6144451533333333E-4</v>
      </c>
      <c r="AB5">
        <f>$F$7*[2]production!T74</f>
        <v>8.8114999737827709E-7</v>
      </c>
      <c r="AC5">
        <f>$F$7*[2]production!U74</f>
        <v>1.3864811603370785E-4</v>
      </c>
      <c r="AD5">
        <f>$F$7*[2]production!V74</f>
        <v>8.6985060408239692E-9</v>
      </c>
      <c r="AE5">
        <f>$F$7*[2]production!W74</f>
        <v>5.8047466187265916E-7</v>
      </c>
      <c r="AF5">
        <f>$F$7*[2]production!X74</f>
        <v>1.1204640535955055E-9</v>
      </c>
      <c r="AG5">
        <f>$F$7*[2]production!Y74</f>
        <v>3.7007793190636704E-12</v>
      </c>
      <c r="AH5">
        <f>$F$7*[2]production!Z74</f>
        <v>2.8897058280898875E-8</v>
      </c>
      <c r="AI5">
        <f>$F$7*[2]production!AA74</f>
        <v>2.4850558062921346E-8</v>
      </c>
      <c r="AJ5">
        <f>$F$7*[2]production!AB74</f>
        <v>4.4715195496629214E-8</v>
      </c>
      <c r="AK5">
        <f>$F$7*[2]production!AC74</f>
        <v>7.2209710250936319E-9</v>
      </c>
      <c r="AL5">
        <f>$F$7*[2]production!AD74</f>
        <v>7.7332439677902621E-8</v>
      </c>
      <c r="AM5">
        <f>$F$7*[2]production!AE74</f>
        <v>6.6362400895131081E-6</v>
      </c>
      <c r="AN5">
        <f>$F$7*[2]production!AF74</f>
        <v>3.8056660640074902E-7</v>
      </c>
      <c r="AO5">
        <f>$F$7*[2]production!AG74</f>
        <v>1.4535681411610486E-6</v>
      </c>
      <c r="AP5">
        <f>$F$7*[2]production!AH74</f>
        <v>3.0709014802247193E-7</v>
      </c>
    </row>
    <row r="6" spans="1:43">
      <c r="A6" s="1" t="s">
        <v>16</v>
      </c>
      <c r="B6" s="1">
        <v>25</v>
      </c>
      <c r="C6" s="1">
        <v>0.8</v>
      </c>
      <c r="D6" s="1">
        <v>6950</v>
      </c>
      <c r="E6" s="1">
        <v>1</v>
      </c>
      <c r="F6" s="64">
        <f>B6/1000000000*C6*D6/E6</f>
        <v>1.3899999999999999E-4</v>
      </c>
      <c r="K6" s="63" t="s">
        <v>158</v>
      </c>
      <c r="L6">
        <f>$F$10*[1]PbI2!D18</f>
        <v>5.0422090564514258E-3</v>
      </c>
      <c r="M6">
        <f>$F$10*[1]PbI2!E18</f>
        <v>0</v>
      </c>
      <c r="N6">
        <f>$F$10*[1]PbI2!F18</f>
        <v>0</v>
      </c>
      <c r="O6">
        <f>$F$10*[1]PbI2!G18</f>
        <v>0</v>
      </c>
      <c r="P6">
        <f>$F$10*[1]PbI2!H18</f>
        <v>0</v>
      </c>
      <c r="Q6">
        <f>$F$10*[1]PbI2!I18</f>
        <v>0</v>
      </c>
      <c r="R6">
        <f>$F$10*[1]PbI2!J18</f>
        <v>0</v>
      </c>
      <c r="S6">
        <f>$F$10*[1]PbI2!K18</f>
        <v>0</v>
      </c>
      <c r="T6">
        <f>$F$10*[1]PbI2!L18</f>
        <v>0</v>
      </c>
      <c r="U6">
        <f>$F$10*[1]PbI2!M18</f>
        <v>5.9957782482828542E-2</v>
      </c>
      <c r="V6">
        <f>$F$10*[1]PbI2!N18</f>
        <v>1.1565162326536683E-3</v>
      </c>
      <c r="W6">
        <f>$F$10*[1]PbI2!O18</f>
        <v>4.3062105914821154E-3</v>
      </c>
      <c r="X6">
        <f>$F$10*[1]PbI2!P18</f>
        <v>1.1429847300287359E-3</v>
      </c>
      <c r="Y6">
        <f>$F$10*[1]PbI2!Q18</f>
        <v>7.8727651680289126E-5</v>
      </c>
      <c r="Z6">
        <f>$F$10*[1]PbI2!R18</f>
        <v>2.1857156972023847E-6</v>
      </c>
      <c r="AA6">
        <f>$F$10*[1]PbI2!S18</f>
        <v>0.17226746119752853</v>
      </c>
      <c r="AB6">
        <f>$F$10*[1]PbI2!T18</f>
        <v>2.1167015731840812E-4</v>
      </c>
      <c r="AC6">
        <f>$F$10*[1]PbI2!U18</f>
        <v>8.6393534830036825E-2</v>
      </c>
      <c r="AD6">
        <f>$F$10*[1]PbI2!V18</f>
        <v>5.6988046515963701E-6</v>
      </c>
      <c r="AE6">
        <f>$F$10*[1]PbI2!W18</f>
        <v>6.9841964855818972E-4</v>
      </c>
      <c r="AF6">
        <f>$F$10*[1]PbI2!X18</f>
        <v>7.3256467256111374E-7</v>
      </c>
      <c r="AG6">
        <f>$F$10*[1]PbI2!Y18</f>
        <v>4.930002572746055E-10</v>
      </c>
      <c r="AH6">
        <f>$F$10*[1]PbI2!Z18</f>
        <v>1.2204319824454714E-5</v>
      </c>
      <c r="AI6">
        <f>$F$10*[1]PbI2!AA18</f>
        <v>1.717811533053855E-5</v>
      </c>
      <c r="AJ6">
        <f>$F$10*[1]PbI2!AB18</f>
        <v>3.4526488572112408E-5</v>
      </c>
      <c r="AK6">
        <f>$F$10*[1]PbI2!AC18</f>
        <v>5.9397861550244718E-6</v>
      </c>
      <c r="AL6">
        <f>$F$10*[1]PbI2!AD18</f>
        <v>4.4415082981350911E-5</v>
      </c>
      <c r="AM6">
        <f>$F$10*[1]PbI2!AE18</f>
        <v>1.2969462472460564E-5</v>
      </c>
      <c r="AN6">
        <f>$F$10*[1]PbI2!AF18</f>
        <v>2.1121004127393715E-4</v>
      </c>
      <c r="AO6">
        <f>$F$10*[1]PbI2!AG18</f>
        <v>1.3483806055473559E-3</v>
      </c>
      <c r="AP6">
        <f>$F$10*[1]PbI2!AH18</f>
        <v>1.6947277140148126E-4</v>
      </c>
    </row>
    <row r="7" spans="1:43">
      <c r="A7" s="1" t="s">
        <v>17</v>
      </c>
      <c r="B7" s="1"/>
      <c r="C7" s="1"/>
      <c r="D7" s="1"/>
      <c r="E7" s="1"/>
      <c r="F7" s="64">
        <f>F6/2.67*(100-2.67)</f>
        <v>5.0669925093632957E-3</v>
      </c>
      <c r="K7" s="63" t="s">
        <v>10</v>
      </c>
      <c r="L7">
        <f>$F$11*[2]production!D75</f>
        <v>4.7500373710823293E-3</v>
      </c>
      <c r="M7">
        <f>$F$11*[2]production!E75</f>
        <v>1.2787847008937845E-3</v>
      </c>
      <c r="N7">
        <f>$F$11*[2]production!F75</f>
        <v>0.12136235912841865</v>
      </c>
      <c r="O7">
        <f>$F$11*[2]production!G75</f>
        <v>5.7763455993792309E-5</v>
      </c>
      <c r="P7">
        <f>$F$11*[2]production!H75</f>
        <v>4.181434057928513E-3</v>
      </c>
      <c r="Q7">
        <f>$F$11*[2]production!I75</f>
        <v>6.1937087320124256E-6</v>
      </c>
      <c r="R7">
        <f>$F$11*[2]production!J75</f>
        <v>5.8986990714359787E-7</v>
      </c>
      <c r="S7">
        <f>$F$11*[2]production!K75</f>
        <v>2.0697160598798893E-3</v>
      </c>
      <c r="T7">
        <f>$F$11*[2]production!L75</f>
        <v>2.4075577364544924E-4</v>
      </c>
      <c r="U7">
        <f>$F$11*[2]production!M75</f>
        <v>0.12919759675539927</v>
      </c>
      <c r="V7">
        <f>$F$11*[2]production!N75</f>
        <v>1.9332512647229737E-4</v>
      </c>
      <c r="W7">
        <f>$F$11*[2]production!O75</f>
        <v>4.2994711252722683E-3</v>
      </c>
      <c r="X7">
        <f>$F$11*[2]production!P75</f>
        <v>2.8911610798755334E-3</v>
      </c>
      <c r="Y7">
        <f>$F$11*[2]production!Q75</f>
        <v>6.0497732363907156E-5</v>
      </c>
      <c r="Z7">
        <f>$F$11*[2]production!R75</f>
        <v>1.6320160204258645E-6</v>
      </c>
      <c r="AA7">
        <f>$F$11*[2]production!S75</f>
        <v>9.8548500064594619E-2</v>
      </c>
      <c r="AB7">
        <f>$F$11*[2]production!T75</f>
        <v>4.255310984747038E-4</v>
      </c>
      <c r="AC7">
        <f>$F$11*[2]production!U75</f>
        <v>6.4020582671972553E-2</v>
      </c>
      <c r="AD7">
        <f>$F$11*[2]production!V75</f>
        <v>2.074696526856419E-5</v>
      </c>
      <c r="AE7">
        <f>$F$11*[2]production!W75</f>
        <v>2.7684755766870162E-4</v>
      </c>
      <c r="AF7">
        <f>$F$11*[2]production!X75</f>
        <v>1.8153802129451024E-6</v>
      </c>
      <c r="AG7">
        <f>$F$11*[2]production!Y75</f>
        <v>8.6402801264497348E-10</v>
      </c>
      <c r="AH7">
        <f>$F$11*[2]production!Z75</f>
        <v>1.198283752996475E-5</v>
      </c>
      <c r="AI7">
        <f>$F$11*[2]production!AA75</f>
        <v>1.4535160839870376E-5</v>
      </c>
      <c r="AJ7">
        <f>$F$11*[2]production!AB75</f>
        <v>3.0530262566127512E-5</v>
      </c>
      <c r="AK7">
        <f>$F$11*[2]production!AC75</f>
        <v>3.0530262566127512E-5</v>
      </c>
      <c r="AL7">
        <f>$F$11*[2]production!AD75</f>
        <v>3.6691100216094834E-5</v>
      </c>
      <c r="AM7">
        <f>$F$11*[2]production!AE75</f>
        <v>1.2841802067850251E-5</v>
      </c>
      <c r="AN7">
        <f>$F$11*[2]production!AF75</f>
        <v>1.9129973656850858E-4</v>
      </c>
      <c r="AO7">
        <f>$F$11*[2]production!AG75</f>
        <v>8.4958465841303722E-4</v>
      </c>
      <c r="AP7">
        <f>$F$11*[2]production!AH75</f>
        <v>3.5949010636591902E-4</v>
      </c>
    </row>
    <row r="8" spans="1:43">
      <c r="A8" s="39" t="s">
        <v>151</v>
      </c>
      <c r="B8" s="61"/>
      <c r="C8" s="39"/>
      <c r="D8" s="39"/>
      <c r="E8" s="39"/>
      <c r="F8" s="67">
        <f>25.77/1000</f>
        <v>2.5770000000000001E-2</v>
      </c>
      <c r="G8" s="62" t="s">
        <v>152</v>
      </c>
      <c r="K8" s="63" t="s">
        <v>20</v>
      </c>
      <c r="L8">
        <f>$F$12*[2]production!D104</f>
        <v>1.2872013029725408E-4</v>
      </c>
      <c r="M8">
        <f>$F$12*[2]production!E104</f>
        <v>3.6062116529166905E-5</v>
      </c>
      <c r="N8">
        <f>$F$12*[2]production!F104</f>
        <v>5.5491799712977371E-3</v>
      </c>
      <c r="O8">
        <f>$F$12*[2]production!G104</f>
        <v>1.6157945152389242E-6</v>
      </c>
      <c r="P8">
        <f>$F$12*[2]production!H104</f>
        <v>2.7495982464252763E-4</v>
      </c>
      <c r="Q8">
        <f>$F$12*[2]production!I104</f>
        <v>6.4919717889049878E-8</v>
      </c>
      <c r="R8">
        <f>$F$12*[2]production!J104</f>
        <v>6.9685890955585729E-8</v>
      </c>
      <c r="S8">
        <f>$F$12*[2]production!K104</f>
        <v>5.8685470242564253E-5</v>
      </c>
      <c r="T8">
        <f>$F$12*[2]production!L104</f>
        <v>1.9192439087326874E-5</v>
      </c>
      <c r="U8">
        <f>$F$12*[2]production!M104</f>
        <v>5.9398302219234068E-3</v>
      </c>
      <c r="V8">
        <f>$F$12*[2]production!N104</f>
        <v>5.4909841972030429E-6</v>
      </c>
      <c r="W8">
        <f>$F$12*[2]production!O104</f>
        <v>1.0965949348575142E-4</v>
      </c>
      <c r="X8">
        <f>$F$12*[2]production!P104</f>
        <v>1.321469894686838E-4</v>
      </c>
      <c r="Y8">
        <f>$F$12*[2]production!Q104</f>
        <v>2.3056273496296906E-6</v>
      </c>
      <c r="Z8">
        <f>$F$12*[2]production!R104</f>
        <v>5.1284265523204184E-8</v>
      </c>
      <c r="AA8">
        <f>$F$12*[2]production!S104</f>
        <v>3.4091165573764716E-3</v>
      </c>
      <c r="AB8">
        <f>$F$12*[2]production!T104</f>
        <v>1.8777768850310674E-5</v>
      </c>
      <c r="AC8">
        <f>$F$12*[2]production!U104</f>
        <v>1.9920393195340643E-3</v>
      </c>
      <c r="AD8">
        <f>$F$12*[2]production!V104</f>
        <v>1.0082265782356754E-7</v>
      </c>
      <c r="AE8">
        <f>$F$12*[2]production!W104</f>
        <v>1.1045030714069675E-5</v>
      </c>
      <c r="AF8">
        <f>$F$12*[2]production!X104</f>
        <v>5.7604691580805651E-8</v>
      </c>
      <c r="AG8">
        <f>$F$12*[2]production!Y104</f>
        <v>3.2065465980712467E-11</v>
      </c>
      <c r="AH8">
        <f>$F$12*[2]production!Z104</f>
        <v>1.7444538137165673E-7</v>
      </c>
      <c r="AI8">
        <f>$F$12*[2]production!AA104</f>
        <v>3.9958394575262895E-7</v>
      </c>
      <c r="AJ8">
        <f>$F$12*[2]production!AB104</f>
        <v>5.2103467360634722E-7</v>
      </c>
      <c r="AK8">
        <f>$F$12*[2]production!AC104</f>
        <v>9.8770597775350453E-8</v>
      </c>
      <c r="AL8">
        <f>$F$12*[2]production!AD104</f>
        <v>9.7089611826761539E-7</v>
      </c>
      <c r="AM8">
        <f>$F$12*[2]production!AE104</f>
        <v>3.8961766597299756E-7</v>
      </c>
      <c r="AN8">
        <f>$F$12*[2]production!AF104</f>
        <v>5.0412342775443964E-6</v>
      </c>
      <c r="AO8">
        <f>$F$12*[2]production!AG104</f>
        <v>2.7408790189476741E-5</v>
      </c>
      <c r="AP8">
        <f>$F$12*[2]production!AH104</f>
        <v>1.6357676293445947E-5</v>
      </c>
    </row>
    <row r="9" spans="1:43">
      <c r="A9" s="65" t="s">
        <v>8</v>
      </c>
      <c r="B9" s="63">
        <v>650</v>
      </c>
      <c r="C9" s="63"/>
      <c r="D9" s="63"/>
      <c r="E9" s="63"/>
      <c r="G9" s="63" t="s">
        <v>23</v>
      </c>
      <c r="K9" s="63" t="s">
        <v>11</v>
      </c>
      <c r="L9">
        <f>$F$13*[3]Sheet1!P26</f>
        <v>2.3900391307546311E-2</v>
      </c>
      <c r="M9">
        <f>$F$13*[3]Sheet1!Q26</f>
        <v>8.0999630000575199E-3</v>
      </c>
      <c r="N9">
        <f>$F$13*[3]Sheet1!R26</f>
        <v>0.41240084923029696</v>
      </c>
      <c r="O9">
        <f>$F$13*[3]Sheet1!S26</f>
        <v>2.03471793768634E-5</v>
      </c>
      <c r="P9">
        <f>$F$13*[3]Sheet1!T26</f>
        <v>1.9855473770289773E-3</v>
      </c>
      <c r="Q9">
        <f>$F$13*[3]Sheet1!U26</f>
        <v>1.5011688731885138E-5</v>
      </c>
      <c r="R9">
        <f>$F$13*[3]Sheet1!V26</f>
        <v>1.0131510556269646E-6</v>
      </c>
      <c r="S9">
        <f>$F$13*[3]Sheet1!W26</f>
        <v>7.6266571906398527E-4</v>
      </c>
      <c r="T9">
        <f>$F$13*[3]Sheet1!X26</f>
        <v>9.2402957965389578E-5</v>
      </c>
      <c r="U9">
        <f>$F$13*[3]Sheet1!Y26</f>
        <v>0.42337780030357741</v>
      </c>
      <c r="V9">
        <f>$F$13*[3]Sheet1!Z26</f>
        <v>4.0071858609145016E-4</v>
      </c>
      <c r="W9">
        <f>$F$13*[3]Sheet1!AA26</f>
        <v>2.2449264517362729E-2</v>
      </c>
      <c r="X9">
        <f>$F$13*[3]Sheet1!AB26</f>
        <v>9.8222529841333703E-3</v>
      </c>
      <c r="Y9">
        <f>$F$13*[3]Sheet1!AC26</f>
        <v>1.0409635536818083E-4</v>
      </c>
      <c r="Z9">
        <f>$F$13*[3]Sheet1!AD26</f>
        <v>7.9149825212425441E-7</v>
      </c>
      <c r="AA9">
        <f>$F$13*[3]Sheet1!AE26</f>
        <v>0.18720865269091699</v>
      </c>
      <c r="AB9">
        <f>$F$13*[3]Sheet1!AF26</f>
        <v>1.8275802588483812E-4</v>
      </c>
      <c r="AC9">
        <f>$F$13*[3]Sheet1!AG26</f>
        <v>6.4334320772800865E-2</v>
      </c>
      <c r="AD9">
        <f>$F$13*[3]Sheet1!AH26</f>
        <v>2.2124832456971906E-5</v>
      </c>
      <c r="AE9">
        <f>$F$13*[3]Sheet1!AI26</f>
        <v>1.2632995555055101E-4</v>
      </c>
      <c r="AF9">
        <f>$F$13*[3]Sheet1!AJ26</f>
        <v>3.9476509931641219E-6</v>
      </c>
      <c r="AG9">
        <f>$F$13*[3]Sheet1!AK26</f>
        <v>4.3260993701717391E-8</v>
      </c>
      <c r="AH9">
        <f>$F$13*[3]Sheet1!AL26</f>
        <v>2.6229157242438755E-5</v>
      </c>
      <c r="AI9">
        <f>$F$13*[3]Sheet1!AM26</f>
        <v>8.252845089191615E-5</v>
      </c>
      <c r="AJ9">
        <f>$F$13*[3]Sheet1!AN26</f>
        <v>9.9580630961408615E-5</v>
      </c>
      <c r="AK9">
        <f>$F$13*[3]Sheet1!AO26</f>
        <v>4.4460374592359155E-6</v>
      </c>
      <c r="AL9">
        <f>$F$13*[3]Sheet1!AP26</f>
        <v>3.12325654230292E-5</v>
      </c>
      <c r="AM9">
        <f>$F$13*[3]Sheet1!AQ26</f>
        <v>1.1403084430121304E-4</v>
      </c>
      <c r="AN9">
        <f>$F$13*[3]Sheet1!AR26</f>
        <v>7.5344909269758117E-4</v>
      </c>
      <c r="AO9">
        <f>$F$13*[3]Sheet1!AS26</f>
        <v>2.1146675558059796E-3</v>
      </c>
      <c r="AP9">
        <f>$F$13*[3]Sheet1!AT26</f>
        <v>1.1836629040281308E-3</v>
      </c>
    </row>
    <row r="10" spans="1:43">
      <c r="A10" s="1" t="s">
        <v>9</v>
      </c>
      <c r="B10" s="2">
        <f>$B$9/$J$16*J10</f>
        <v>224.17668666973742</v>
      </c>
      <c r="C10" s="36">
        <v>0.8</v>
      </c>
      <c r="D10" s="1">
        <v>6160</v>
      </c>
      <c r="E10" s="1">
        <v>1</v>
      </c>
      <c r="F10" s="64">
        <f>B10/1000000000*C10*D10/E10</f>
        <v>1.1047427119084661E-3</v>
      </c>
      <c r="G10" s="63">
        <f>G13+G14+G15</f>
        <v>4.9129752676264308E-4</v>
      </c>
      <c r="H10">
        <f>G10*461</f>
        <v>0.22648815983757845</v>
      </c>
      <c r="I10" t="s">
        <v>24</v>
      </c>
      <c r="J10">
        <f>H10/1000/D10/C10</f>
        <v>4.5959448018989127E-8</v>
      </c>
      <c r="K10" s="63" t="s">
        <v>21</v>
      </c>
      <c r="L10">
        <f>$F$14*[4]Sheet1!K20</f>
        <v>0.10592670348814012</v>
      </c>
      <c r="M10">
        <f>$F$14*[4]Sheet1!L20</f>
        <v>6.7899409141606018E-3</v>
      </c>
      <c r="N10">
        <f>$F$14*[4]Sheet1!M20</f>
        <v>1.849180700625076</v>
      </c>
      <c r="O10">
        <f>$F$14*[4]Sheet1!N20</f>
        <v>6.766129763178112E-5</v>
      </c>
      <c r="P10">
        <f>$F$14*[4]Sheet1!O20</f>
        <v>6.9023667411636305E-3</v>
      </c>
      <c r="Q10">
        <f>$F$14*[4]Sheet1!P20</f>
        <v>8.359391861369729E-6</v>
      </c>
      <c r="R10">
        <f>$F$14*[4]Sheet1!Q20</f>
        <v>7.7739809153196594E-7</v>
      </c>
      <c r="S10">
        <f>$F$14*[4]Sheet1!R20</f>
        <v>2.7378495295712103E-3</v>
      </c>
      <c r="T10">
        <f>$F$14*[4]Sheet1!S20</f>
        <v>3.0311661981452905E-4</v>
      </c>
      <c r="U10">
        <f>$F$14*[4]Sheet1!T20</f>
        <v>1.865990772517371</v>
      </c>
      <c r="V10">
        <f>$F$14*[4]Sheet1!U20</f>
        <v>9.3184804084650347E-4</v>
      </c>
      <c r="W10">
        <f>$F$14*[4]Sheet1!V20</f>
        <v>9.9959832817936786E-2</v>
      </c>
      <c r="X10">
        <f>$F$14*[4]Sheet1!W20</f>
        <v>4.404181504286072E-2</v>
      </c>
      <c r="Y10">
        <f>$F$14*[4]Sheet1!X20</f>
        <v>4.3816934340566108E-4</v>
      </c>
      <c r="Z10">
        <f>$F$14*[4]Sheet1!Y20</f>
        <v>2.9028874154659117E-6</v>
      </c>
      <c r="AA10">
        <f>$F$14*[4]Sheet1!Z20</f>
        <v>0.83348033340664018</v>
      </c>
      <c r="AB10">
        <f>$F$14*[4]Sheet1!AA20</f>
        <v>6.8022974933055873E-4</v>
      </c>
      <c r="AC10">
        <f>$F$14*[4]Sheet1!AB20</f>
        <v>0.28071266628617775</v>
      </c>
      <c r="AD10">
        <f>$F$14*[4]Sheet1!AC20</f>
        <v>9.1835309695943455E-5</v>
      </c>
      <c r="AE10">
        <f>$F$14*[4]Sheet1!AD20</f>
        <v>4.741940063259119E-4</v>
      </c>
      <c r="AF10">
        <f>$F$14*[4]Sheet1!AE20</f>
        <v>1.6474646684041032E-5</v>
      </c>
      <c r="AG10">
        <f>$F$14*[4]Sheet1!AF20</f>
        <v>8.9082470468329715E-9</v>
      </c>
      <c r="AH10">
        <f>$F$14*[4]Sheet1!AG20</f>
        <v>1.1271609161813443E-4</v>
      </c>
      <c r="AI10">
        <f>$F$14*[4]Sheet1!AH20</f>
        <v>3.0041284040379892E-4</v>
      </c>
      <c r="AJ10">
        <f>$F$14*[4]Sheet1!AI20</f>
        <v>4.3361296650024696E-4</v>
      </c>
      <c r="AK10">
        <f>$F$14*[4]Sheet1!AJ20</f>
        <v>9.5812632476748983E-6</v>
      </c>
      <c r="AL10">
        <f>$F$14*[4]Sheet1!AK20</f>
        <v>6.382559339077191E-5</v>
      </c>
      <c r="AM10">
        <f>$F$14*[4]Sheet1!AL20</f>
        <v>1.4397051090085739E-5</v>
      </c>
      <c r="AN10">
        <f>$F$14*[4]Sheet1!AM20</f>
        <v>2.9652042399141158E-3</v>
      </c>
      <c r="AO10">
        <f>$F$14*[4]Sheet1!AN20</f>
        <v>9.3989369435878659E-3</v>
      </c>
      <c r="AP10">
        <f>$F$14*[4]Sheet1!AO20</f>
        <v>5.3031244613065487E-3</v>
      </c>
    </row>
    <row r="11" spans="1:43">
      <c r="A11" s="1" t="s">
        <v>10</v>
      </c>
      <c r="B11" s="2"/>
      <c r="C11" s="1"/>
      <c r="D11" s="1"/>
      <c r="E11" s="1"/>
      <c r="F11" s="64">
        <f>F10*1000/461/1.3*0.95*1000*0.948/1000</f>
        <v>1.6601556588432577E-3</v>
      </c>
      <c r="K11" s="63" t="s">
        <v>22</v>
      </c>
      <c r="L11">
        <f>$F$15*[2]production!D114</f>
        <v>1.5715091537824337E-7</v>
      </c>
      <c r="M11">
        <f>$F$15*[2]production!E114</f>
        <v>8.4930621157171208E-8</v>
      </c>
      <c r="N11">
        <f>$F$15*[2]production!F114</f>
        <v>2.4193520534803144E-6</v>
      </c>
      <c r="O11">
        <f>$F$15*[2]production!G114</f>
        <v>1.9917137914718422E-9</v>
      </c>
      <c r="P11">
        <f>$F$15*[2]production!H114</f>
        <v>2.1663161642573984E-7</v>
      </c>
      <c r="Q11">
        <f>$F$15*[2]production!I114</f>
        <v>5.2807998902825547E-11</v>
      </c>
      <c r="R11">
        <f>$F$15*[2]production!J114</f>
        <v>4.036692135151146E-11</v>
      </c>
      <c r="S11">
        <f>$F$15*[2]production!K114</f>
        <v>9.7181468164887224E-8</v>
      </c>
      <c r="T11">
        <f>$F$15*[2]production!L114</f>
        <v>1.3870440589672545E-8</v>
      </c>
      <c r="U11">
        <f>$F$15*[2]production!M114</f>
        <v>2.8340510885295118E-6</v>
      </c>
      <c r="V11">
        <f>$F$15*[2]production!N114</f>
        <v>1.1836144422672211E-8</v>
      </c>
      <c r="W11">
        <f>$F$15*[2]production!O114</f>
        <v>1.4345724286292965E-7</v>
      </c>
      <c r="X11">
        <f>$F$15*[2]production!P114</f>
        <v>5.7648634581459628E-8</v>
      </c>
      <c r="Y11">
        <f>$F$15*[2]production!Q114</f>
        <v>1.6350461553441907E-9</v>
      </c>
      <c r="Z11">
        <f>$F$15*[2]production!R114</f>
        <v>4.9193618574462125E-11</v>
      </c>
      <c r="AA11">
        <f>$F$15*[2]production!S114</f>
        <v>2.2018453765540232E-6</v>
      </c>
      <c r="AB11">
        <f>$F$15*[2]production!T114</f>
        <v>1.1909017353989011E-8</v>
      </c>
      <c r="AC11">
        <f>$F$15*[2]production!U114</f>
        <v>2.1035108186325569E-6</v>
      </c>
      <c r="AD11">
        <f>$F$15*[2]production!V114</f>
        <v>3.199677743319617E-10</v>
      </c>
      <c r="AE11">
        <f>$F$15*[2]production!W114</f>
        <v>1.0188455252738115E-8</v>
      </c>
      <c r="AF11">
        <f>$F$15*[2]production!X114</f>
        <v>2.2117080985836469E-11</v>
      </c>
      <c r="AG11">
        <f>$F$15*[2]production!Y114</f>
        <v>1.0753878960786548E-13</v>
      </c>
      <c r="AH11">
        <f>$F$15*[2]production!Z114</f>
        <v>3.0469079836916251E-10</v>
      </c>
      <c r="AI11">
        <f>$F$15*[2]production!AA114</f>
        <v>4.6811346843864696E-10</v>
      </c>
      <c r="AJ11">
        <f>$F$15*[2]production!AB114</f>
        <v>7.0408714121268945E-10</v>
      </c>
      <c r="AK11">
        <f>$F$15*[2]production!AC114</f>
        <v>2.0014301823140826E-10</v>
      </c>
      <c r="AL11">
        <f>$F$15*[2]production!AD114</f>
        <v>1.3686648618319328E-9</v>
      </c>
      <c r="AM11">
        <f>$F$15*[2]production!AE114</f>
        <v>4.5201703782650214E-10</v>
      </c>
      <c r="AN11">
        <f>$F$15*[2]production!AF114</f>
        <v>6.1391786354720204E-9</v>
      </c>
      <c r="AO11">
        <f>$F$15*[2]production!AG114</f>
        <v>2.0566555724324775E-8</v>
      </c>
      <c r="AP11">
        <f>$F$15*[2]production!AH114</f>
        <v>7.3847497024772604E-9</v>
      </c>
    </row>
    <row r="12" spans="1:43">
      <c r="A12" s="1" t="s">
        <v>20</v>
      </c>
      <c r="B12" s="1"/>
      <c r="C12" s="1"/>
      <c r="D12" s="1"/>
      <c r="E12" s="1"/>
      <c r="F12" s="64">
        <f>F10*1000/461/1.3*0.05*1000*1.1/1000</f>
        <v>1.0138636601863113E-4</v>
      </c>
      <c r="K12" s="76" t="s">
        <v>151</v>
      </c>
      <c r="L12" s="78">
        <f>($F$8+$F$16+$F$23)*[5]production!D76</f>
        <v>0.10111823698954497</v>
      </c>
      <c r="M12" s="78">
        <f>($F$8+$F$16+$F$23)*[5]production!E76</f>
        <v>1.784478563728753E-2</v>
      </c>
      <c r="N12" s="78">
        <f>($F$8+$F$16+$F$23)*[5]production!F76</f>
        <v>3.2129584715209285</v>
      </c>
      <c r="O12" s="78">
        <f>($F$8+$F$16+$F$23)*[5]production!G76</f>
        <v>3.3000615802140747E-4</v>
      </c>
      <c r="P12" s="78">
        <f>($F$8+$F$16+$F$23)*[5]production!H76</f>
        <v>9.3155473461207755E-2</v>
      </c>
      <c r="Q12" s="78">
        <f>($F$8+$F$16+$F$23)*[5]production!I76</f>
        <v>4.0915204057392739E-5</v>
      </c>
      <c r="R12" s="78">
        <f>($F$8+$F$16+$F$23)*[5]production!J76</f>
        <v>1.5674129654597557E-5</v>
      </c>
      <c r="S12" s="78">
        <f>($F$8+$F$16+$F$23)*[5]production!K76</f>
        <v>1.6759457645942544E-2</v>
      </c>
      <c r="T12" s="78">
        <f>($F$8+$F$16+$F$23)*[5]production!L76</f>
        <v>1.3246538882119789E-3</v>
      </c>
      <c r="U12" s="78">
        <f>($F$8+$F$16+$F$23)*[5]production!M76</f>
        <v>3.3424294376453116</v>
      </c>
      <c r="V12" s="78">
        <f>($F$8+$F$16+$F$23)*[5]production!N76</f>
        <v>2.0334948890898962E-3</v>
      </c>
      <c r="W12" s="78">
        <f>($F$8+$F$16+$F$23)*[5]production!O76</f>
        <v>8.8099838481116063E-2</v>
      </c>
      <c r="X12" s="78">
        <f>($F$8+$F$16+$F$23)*[5]production!P76</f>
        <v>7.6499011226688771E-2</v>
      </c>
      <c r="Y12" s="78">
        <f>($F$8+$F$16+$F$23)*[5]production!Q76</f>
        <v>5.13648084067148E-4</v>
      </c>
      <c r="Z12" s="78">
        <f>($F$8+$F$16+$F$23)*[5]production!R76</f>
        <v>1.4550593688047057E-5</v>
      </c>
      <c r="AA12" s="78">
        <f>($F$8+$F$16+$F$23)*[5]production!S76</f>
        <v>0.84655583324909012</v>
      </c>
      <c r="AB12" s="78">
        <f>($F$8+$F$16+$F$23)*[5]production!T76</f>
        <v>2.0418563445334212E-3</v>
      </c>
      <c r="AC12" s="78">
        <f>($F$8+$F$16+$F$23)*[5]production!U76</f>
        <v>0.6303208431367342</v>
      </c>
      <c r="AD12" s="78">
        <f>($F$8+$F$16+$F$23)*[5]production!V76</f>
        <v>6.1941218934617487E-5</v>
      </c>
      <c r="AE12" s="78">
        <f>($F$8+$F$16+$F$23)*[5]production!W76</f>
        <v>3.576764844129937E-3</v>
      </c>
      <c r="AF12" s="78">
        <f>($F$8+$F$16+$F$23)*[5]production!X76</f>
        <v>8.1449435840272536E-6</v>
      </c>
      <c r="AG12" s="78">
        <f>($F$8+$F$16+$F$23)*[5]production!Y76</f>
        <v>3.5837973265228357E-9</v>
      </c>
      <c r="AH12" s="78">
        <f>($F$8+$F$16+$F$23)*[5]production!Z76</f>
        <v>1.3345658122145685E-4</v>
      </c>
      <c r="AI12" s="78">
        <f>($F$8+$F$16+$F$23)*[5]production!AA76</f>
        <v>4.3550446869030897E-4</v>
      </c>
      <c r="AJ12" s="78">
        <f>($F$8+$F$16+$F$23)*[5]production!AB76</f>
        <v>3.7447138134028625E-4</v>
      </c>
      <c r="AK12" s="78">
        <f>($F$8+$F$16+$F$23)*[5]production!AC76</f>
        <v>2.9019787776743237E-5</v>
      </c>
      <c r="AL12" s="78">
        <f>($F$8+$F$16+$F$23)*[5]production!AD76</f>
        <v>2.8835946504739905E-4</v>
      </c>
      <c r="AM12" s="78">
        <f>($F$8+$F$16+$F$23)*[5]production!AE76</f>
        <v>2.3403215421532929E-4</v>
      </c>
      <c r="AN12" s="78">
        <f>($F$8+$F$16+$F$23)*[5]production!AF76</f>
        <v>3.0381985153635415E-3</v>
      </c>
      <c r="AO12" s="78">
        <f>($F$8+$F$16+$F$23)*[5]production!AG76</f>
        <v>9.1732364819495198E-3</v>
      </c>
      <c r="AP12" s="78">
        <f>($F$8+$F$16+$F$23)*[5]production!AH76</f>
        <v>9.338804374506739E-3</v>
      </c>
      <c r="AQ12" s="70"/>
    </row>
    <row r="13" spans="1:43">
      <c r="A13" s="1" t="s">
        <v>11</v>
      </c>
      <c r="B13" s="2">
        <f>$B$9/$J$16*J13</f>
        <v>340.30508693752182</v>
      </c>
      <c r="C13" s="36">
        <v>0.8</v>
      </c>
      <c r="D13" s="1">
        <v>1075</v>
      </c>
      <c r="E13" s="1">
        <v>1</v>
      </c>
      <c r="F13" s="64">
        <f>B13/1000000000*C13*D13/E13</f>
        <v>2.9266237476626876E-4</v>
      </c>
      <c r="G13" s="63">
        <f>60/1000/172</f>
        <v>3.4883720930232559E-4</v>
      </c>
      <c r="H13">
        <f>60/1000</f>
        <v>0.06</v>
      </c>
      <c r="I13" t="s">
        <v>24</v>
      </c>
      <c r="J13">
        <f>H13/1000/D13/C13</f>
        <v>6.9767441860465107E-8</v>
      </c>
      <c r="K13" s="63" t="s">
        <v>18</v>
      </c>
      <c r="L13">
        <f>$F$18*'[1]spiro-OMeTAD'!D33</f>
        <v>3.1854997688690531E-2</v>
      </c>
      <c r="M13">
        <f>$F$18*'[1]spiro-OMeTAD'!E33</f>
        <v>0</v>
      </c>
      <c r="N13">
        <f>$F$18*'[1]spiro-OMeTAD'!F33</f>
        <v>0</v>
      </c>
      <c r="O13">
        <f>$F$18*'[1]spiro-OMeTAD'!G33</f>
        <v>0</v>
      </c>
      <c r="P13">
        <f>$F$18*'[1]spiro-OMeTAD'!H33</f>
        <v>0</v>
      </c>
      <c r="Q13">
        <f>$F$18*'[1]spiro-OMeTAD'!I33</f>
        <v>0</v>
      </c>
      <c r="R13">
        <f>$F$18*'[1]spiro-OMeTAD'!J33</f>
        <v>0</v>
      </c>
      <c r="S13">
        <f>$F$18*'[1]spiro-OMeTAD'!K33</f>
        <v>0</v>
      </c>
      <c r="T13">
        <f>$F$18*'[1]spiro-OMeTAD'!L33</f>
        <v>0</v>
      </c>
      <c r="U13">
        <f>$F$18*'[1]spiro-OMeTAD'!M33</f>
        <v>0.51315829357722298</v>
      </c>
      <c r="V13">
        <f>$F$18*'[1]spiro-OMeTAD'!N33</f>
        <v>7.8013599885443392E-3</v>
      </c>
      <c r="W13">
        <f>$F$18*'[1]spiro-OMeTAD'!O33</f>
        <v>2.8796039540210532E-2</v>
      </c>
      <c r="X13">
        <f>$F$18*'[1]spiro-OMeTAD'!P33</f>
        <v>9.2947776112168434E-3</v>
      </c>
      <c r="Y13">
        <f>$F$18*'[1]spiro-OMeTAD'!Q33</f>
        <v>1.9451980390817688E-3</v>
      </c>
      <c r="Z13">
        <f>$F$18*'[1]spiro-OMeTAD'!R33</f>
        <v>3.3525603958342744E-5</v>
      </c>
      <c r="AA13">
        <f>$F$18*'[1]spiro-OMeTAD'!S33</f>
        <v>1.7161301181877899</v>
      </c>
      <c r="AB13">
        <f>$F$18*'[1]spiro-OMeTAD'!T33</f>
        <v>2.9299040646063161E-3</v>
      </c>
      <c r="AC13">
        <f>$F$18*'[1]spiro-OMeTAD'!U33</f>
        <v>1.4513297679733899</v>
      </c>
      <c r="AD13">
        <f>$F$18*'[1]spiro-OMeTAD'!V33</f>
        <v>3.2239777810458959E-5</v>
      </c>
      <c r="AE13">
        <f>$F$18*'[1]spiro-OMeTAD'!W33</f>
        <v>1.3235796423309483E-3</v>
      </c>
      <c r="AF13">
        <f>$F$18*'[1]spiro-OMeTAD'!X33</f>
        <v>2.5121274428968426E-6</v>
      </c>
      <c r="AG13">
        <f>$F$18*'[1]spiro-OMeTAD'!Y33</f>
        <v>2.7096452475587383E-9</v>
      </c>
      <c r="AH13">
        <f>$F$18*'[1]spiro-OMeTAD'!Z33</f>
        <v>1.6252661850179367E-4</v>
      </c>
      <c r="AI13">
        <f>$F$18*'[1]spiro-OMeTAD'!AA33</f>
        <v>1.1470464708176844E-4</v>
      </c>
      <c r="AJ13">
        <f>$F$18*'[1]spiro-OMeTAD'!AB33</f>
        <v>1.568970684035369E-4</v>
      </c>
      <c r="AK13">
        <f>$F$18*'[1]spiro-OMeTAD'!AC33</f>
        <v>3.2522560468648425E-5</v>
      </c>
      <c r="AL13">
        <f>$F$18*'[1]spiro-OMeTAD'!AD33</f>
        <v>4.2586530317103156E-4</v>
      </c>
      <c r="AM13">
        <f>$F$18*'[1]spiro-OMeTAD'!AE33</f>
        <v>9.459875351242107E-5</v>
      </c>
      <c r="AN13">
        <f>$F$18*'[1]spiro-OMeTAD'!AF33</f>
        <v>1.6718183193701055E-3</v>
      </c>
      <c r="AO13">
        <f>$F$18*'[1]spiro-OMeTAD'!AG33</f>
        <v>1.3100562647919161E-2</v>
      </c>
      <c r="AP13">
        <f>$F$18*'[1]spiro-OMeTAD'!AH33</f>
        <v>1.1759586659873685E-3</v>
      </c>
    </row>
    <row r="14" spans="1:43">
      <c r="A14" s="1" t="s">
        <v>21</v>
      </c>
      <c r="B14" s="2">
        <f>$B$9/$J$16*J14</f>
        <v>52.261138351119428</v>
      </c>
      <c r="C14" s="36">
        <v>0.8</v>
      </c>
      <c r="D14" s="1">
        <v>700</v>
      </c>
      <c r="E14" s="1">
        <v>1</v>
      </c>
      <c r="F14" s="64">
        <f>B14/1000000000*C14*D14/E14</f>
        <v>2.9266237476626882E-5</v>
      </c>
      <c r="G14" s="63">
        <f>6/1000/112</f>
        <v>5.3571428571428575E-5</v>
      </c>
      <c r="H14">
        <f>6/1000</f>
        <v>6.0000000000000001E-3</v>
      </c>
      <c r="I14" t="s">
        <v>24</v>
      </c>
      <c r="J14">
        <f>H14/1000/D14/C14</f>
        <v>1.0714285714285715E-8</v>
      </c>
      <c r="K14" s="63" t="s">
        <v>19</v>
      </c>
      <c r="L14">
        <f>$F$19*[6]inventory!AZ37</f>
        <v>1.4649900522011319E-3</v>
      </c>
      <c r="U14">
        <f>$F$19*[6]inventory!BA37</f>
        <v>2.2981147890881671E-2</v>
      </c>
      <c r="V14">
        <f>$F$19*[6]inventory!BB37</f>
        <v>1.2141262429749966E-4</v>
      </c>
      <c r="W14">
        <f>$F$19*[6]inventory!BC37</f>
        <v>1.2439437915481534E-3</v>
      </c>
      <c r="X14">
        <f>$F$19*[6]inventory!BD37</f>
        <v>4.9373212706919857E-4</v>
      </c>
      <c r="Y14">
        <f>$F$19*[6]inventory!BE37</f>
        <v>7.1618483248888081E-5</v>
      </c>
      <c r="Z14">
        <f>$F$19*[6]inventory!BF37</f>
        <v>1.3647384402122962E-6</v>
      </c>
      <c r="AA14">
        <f>$F$19*[6]inventory!BG37</f>
        <v>6.1338853395179353E-2</v>
      </c>
      <c r="AB14">
        <f>$F$19*[6]inventory!BH37</f>
        <v>6.680039675746206E-5</v>
      </c>
      <c r="AC14">
        <f>$F$19*[6]inventory!BI37</f>
        <v>5.0429304566276124E-2</v>
      </c>
      <c r="AD14">
        <f>$F$19*[6]inventory!BJ37</f>
        <v>1.4932024710128888E-6</v>
      </c>
      <c r="AE14">
        <f>$F$19*[6]inventory!BK37</f>
        <v>4.4622593380279578E-5</v>
      </c>
      <c r="AF14">
        <f>$F$19*[6]inventory!BL37</f>
        <v>2.0870453143393951E-7</v>
      </c>
      <c r="AG14">
        <f>$F$19*[6]inventory!BM37</f>
        <v>1.7426242933250585E-10</v>
      </c>
      <c r="AH14">
        <f>$F$19*[6]inventory!BN37</f>
        <v>2.9797274082350321E-6</v>
      </c>
      <c r="AI14">
        <f>$F$19*[6]inventory!BO37</f>
        <v>4.3641244305987771E-6</v>
      </c>
      <c r="AJ14">
        <f>$F$19*[6]inventory!BP37</f>
        <v>9.3743438308507202E-6</v>
      </c>
      <c r="AK14">
        <f>$F$19*[6]inventory!BQ37</f>
        <v>1.1580500080251555E-6</v>
      </c>
      <c r="AL14">
        <f>$F$19*[6]inventory!BR37</f>
        <v>1.1766639613581072E-5</v>
      </c>
      <c r="AM14">
        <f>$F$19*[6]inventory!BS37</f>
        <v>2.9941549796394111E-6</v>
      </c>
      <c r="AN14">
        <f>$F$19*[6]inventory!BT37</f>
        <v>5.8282035630616664E-5</v>
      </c>
      <c r="AO14">
        <f>$F$19*[6]inventory!BU37</f>
        <v>4.6995750456150696E-4</v>
      </c>
      <c r="AP14">
        <f>$F$19*[6]inventory!BV37</f>
        <v>6.1274235870360458E-5</v>
      </c>
    </row>
    <row r="15" spans="1:43">
      <c r="A15" s="1" t="s">
        <v>22</v>
      </c>
      <c r="B15" s="2">
        <f>$B$9/$J$16*J15</f>
        <v>33.257088041621451</v>
      </c>
      <c r="C15" s="36">
        <v>0.8</v>
      </c>
      <c r="D15" s="1">
        <v>1100</v>
      </c>
      <c r="E15" s="1">
        <v>1</v>
      </c>
      <c r="F15" s="64">
        <f>B15/1000000000*C15*D15/E15</f>
        <v>2.9266237476626882E-5</v>
      </c>
      <c r="G15" s="63">
        <f>6/1000/67.5</f>
        <v>8.8888888888888893E-5</v>
      </c>
      <c r="H15">
        <f>6/1000</f>
        <v>6.0000000000000001E-3</v>
      </c>
      <c r="I15" t="s">
        <v>24</v>
      </c>
      <c r="J15">
        <f>H15/1000/D15/C15</f>
        <v>6.8181818181818181E-9</v>
      </c>
      <c r="K15" s="63" t="s">
        <v>81</v>
      </c>
      <c r="L15">
        <f>$F$20*[2]production!D71</f>
        <v>4.0681139631535285E-4</v>
      </c>
      <c r="M15">
        <f>$F$20*[2]production!E71</f>
        <v>5.3189131650124492E-5</v>
      </c>
      <c r="N15">
        <f>$F$20*[2]production!F71</f>
        <v>1.0625261497095438E-2</v>
      </c>
      <c r="O15">
        <f>$F$20*[2]production!G71</f>
        <v>1.0808747946224069E-6</v>
      </c>
      <c r="P15">
        <f>$F$20*[2]production!H71</f>
        <v>2.7573825026390051E-4</v>
      </c>
      <c r="Q15">
        <f>$F$20*[2]production!I71</f>
        <v>1.3385535905726145E-7</v>
      </c>
      <c r="R15">
        <f>$F$20*[2]production!J71</f>
        <v>1.4097543105062246E-8</v>
      </c>
      <c r="S15">
        <f>$F$20*[2]production!K71</f>
        <v>5.198649764116184E-5</v>
      </c>
      <c r="T15">
        <f>$F$20*[2]production!L71</f>
        <v>4.23225455840664E-6</v>
      </c>
      <c r="U15">
        <f>$F$20*[2]production!M71</f>
        <v>1.1011636458905816E-2</v>
      </c>
      <c r="V15">
        <f>$F$20*[2]production!N71</f>
        <v>6.1321370740580926E-6</v>
      </c>
      <c r="W15">
        <f>$F$20*[2]production!O71</f>
        <v>3.6670365183734448E-4</v>
      </c>
      <c r="X15">
        <f>$F$20*[2]production!P71</f>
        <v>2.5298194173609969E-4</v>
      </c>
      <c r="Y15">
        <f>$F$20*[2]production!Q71</f>
        <v>1.7495034040829881E-6</v>
      </c>
      <c r="Z15">
        <f>$F$20*[2]production!R71</f>
        <v>4.2736387303568476E-8</v>
      </c>
      <c r="AA15">
        <f>$F$20*[2]production!S71</f>
        <v>2.8594967004149387E-3</v>
      </c>
      <c r="AB15">
        <f>$F$20*[2]production!T71</f>
        <v>8.806751232796683E-6</v>
      </c>
      <c r="AC15">
        <f>$F$20*[2]production!U71</f>
        <v>2.2375374704066394E-3</v>
      </c>
      <c r="AD15">
        <f>$F$20*[2]production!V71</f>
        <v>1.6768068707053948E-6</v>
      </c>
      <c r="AE15">
        <f>$F$20*[2]production!W71</f>
        <v>1.0748915408464733E-5</v>
      </c>
      <c r="AF15">
        <f>$F$20*[2]production!X71</f>
        <v>4.1419074263900426E-8</v>
      </c>
      <c r="AG15">
        <f>$F$20*[2]production!Y71</f>
        <v>1.9870385789875524E-11</v>
      </c>
      <c r="AH15">
        <f>$F$20*[2]production!Z71</f>
        <v>6.2236808568298778E-7</v>
      </c>
      <c r="AI15">
        <f>$F$20*[2]production!AA71</f>
        <v>9.4016860999170159E-7</v>
      </c>
      <c r="AJ15">
        <f>$F$20*[2]production!AB71</f>
        <v>2.6370193808464738E-6</v>
      </c>
      <c r="AK15">
        <f>$F$20*[2]production!AC71</f>
        <v>2.4546298615767646E-7</v>
      </c>
      <c r="AL15">
        <f>$F$20*[2]production!AD71</f>
        <v>9.8003702431867241E-7</v>
      </c>
      <c r="AM15">
        <f>$F$20*[2]production!AE71</f>
        <v>9.4382836688464751E-7</v>
      </c>
      <c r="AN15">
        <f>$F$20*[2]production!AF71</f>
        <v>1.2224784673195025E-5</v>
      </c>
      <c r="AO15">
        <f>$F$20*[2]production!AG71</f>
        <v>3.3758515012780094E-5</v>
      </c>
      <c r="AP15">
        <f>$F$20*[2]production!AH71</f>
        <v>3.08317067073859E-5</v>
      </c>
    </row>
    <row r="16" spans="1:43">
      <c r="A16" s="1" t="s">
        <v>151</v>
      </c>
      <c r="B16" s="1"/>
      <c r="C16" s="1"/>
      <c r="D16" s="1"/>
      <c r="E16" s="1"/>
      <c r="F16" s="64">
        <f>1*F14*1000/H14/1000000*786</f>
        <v>3.8338771094381212E-3</v>
      </c>
      <c r="J16" s="69">
        <f>SUM(J10:J15)</f>
        <v>1.3325935741192174E-7</v>
      </c>
      <c r="K16" s="63" t="s">
        <v>83</v>
      </c>
      <c r="L16">
        <f>$F$21*[2]production!D72</f>
        <v>1.1128396373775934E-3</v>
      </c>
      <c r="M16">
        <f>$F$21*[2]production!E72</f>
        <v>4.1960086769128634E-4</v>
      </c>
      <c r="N16">
        <f>$F$21*[2]production!F72</f>
        <v>1.5705422392033198E-2</v>
      </c>
      <c r="O16">
        <f>$F$21*[2]production!G72</f>
        <v>1.8314126475684649E-5</v>
      </c>
      <c r="P16">
        <f>$F$21*[2]production!H72</f>
        <v>1.383245516614108E-3</v>
      </c>
      <c r="Q16">
        <f>$F$21*[2]production!I72</f>
        <v>1.8986628105560167E-6</v>
      </c>
      <c r="R16">
        <f>$F$21*[2]production!J72</f>
        <v>1.5106193327800831E-7</v>
      </c>
      <c r="S16">
        <f>$F$21*[2]production!K72</f>
        <v>6.4367439583070546E-4</v>
      </c>
      <c r="T16">
        <f>$F$21*[2]production!L72</f>
        <v>7.6091050085975108E-5</v>
      </c>
      <c r="U16">
        <f>$F$21*[2]production!M72</f>
        <v>1.8248398073474791E-2</v>
      </c>
      <c r="V16">
        <f>$F$21*[2]production!N72</f>
        <v>6.1938403845311212E-5</v>
      </c>
      <c r="W16">
        <f>$F$21*[2]production!O72</f>
        <v>1.0203957566141081E-3</v>
      </c>
      <c r="X16">
        <f>$F$21*[2]production!P72</f>
        <v>3.7439269842323654E-4</v>
      </c>
      <c r="Y16">
        <f>$F$21*[2]production!Q72</f>
        <v>1.4506964263568466E-5</v>
      </c>
      <c r="Z16">
        <f>$F$21*[2]production!R72</f>
        <v>4.7809847215269716E-7</v>
      </c>
      <c r="AA16">
        <f>$F$21*[2]production!S72</f>
        <v>2.1605369526970956E-2</v>
      </c>
      <c r="AB16">
        <f>$F$21*[2]production!T72</f>
        <v>9.0296894216763493E-5</v>
      </c>
      <c r="AC16">
        <f>$F$21*[2]production!U72</f>
        <v>1.7054440586887969E-2</v>
      </c>
      <c r="AD16">
        <f>$F$21*[2]production!V72</f>
        <v>1.2539646062738592E-6</v>
      </c>
      <c r="AE16">
        <f>$F$21*[2]production!W72</f>
        <v>6.776005974572615E-5</v>
      </c>
      <c r="AF16">
        <f>$F$21*[2]production!X72</f>
        <v>1.5002808748879669E-7</v>
      </c>
      <c r="AG16">
        <f>$F$21*[2]production!Y72</f>
        <v>2.8164769752697098E-10</v>
      </c>
      <c r="AH16">
        <f>$F$21*[2]production!Z72</f>
        <v>2.8843293785228219E-6</v>
      </c>
      <c r="AI16">
        <f>$F$21*[2]production!AA72</f>
        <v>3.1855498846804986E-6</v>
      </c>
      <c r="AJ16">
        <f>$F$21*[2]production!AB72</f>
        <v>5.6434931551867226E-6</v>
      </c>
      <c r="AK16">
        <f>$F$21*[2]production!AC72</f>
        <v>1.0400689386224068E-6</v>
      </c>
      <c r="AL16">
        <f>$F$21*[2]production!AD72</f>
        <v>9.1137019387219937E-6</v>
      </c>
      <c r="AM16">
        <f>$F$21*[2]production!AE72</f>
        <v>3.2733765900746895E-6</v>
      </c>
      <c r="AN16">
        <f>$F$21*[2]production!AF72</f>
        <v>4.6082421386887972E-5</v>
      </c>
      <c r="AO16">
        <f>$F$21*[2]production!AG72</f>
        <v>1.893945261809129E-4</v>
      </c>
      <c r="AP16">
        <f>$F$21*[2]production!AH72</f>
        <v>4.8034683581078842E-5</v>
      </c>
    </row>
    <row r="17" spans="1:43">
      <c r="A17" s="65" t="s">
        <v>7</v>
      </c>
      <c r="B17" s="63"/>
      <c r="C17" s="63"/>
      <c r="D17" s="63"/>
      <c r="E17" s="63"/>
      <c r="K17" s="63" t="s">
        <v>82</v>
      </c>
      <c r="L17">
        <f>$F$22*[2]production!D34</f>
        <v>1.3047440743568469E-2</v>
      </c>
      <c r="M17">
        <f>$F$22*[2]production!E34</f>
        <v>3.3306039873858932E-3</v>
      </c>
      <c r="N17">
        <f>$F$22*[2]production!F34</f>
        <v>0.29262286844813284</v>
      </c>
      <c r="O17">
        <f>$F$22*[2]production!G34</f>
        <v>1.3237758672199172E-4</v>
      </c>
      <c r="P17">
        <f>$F$22*[2]production!H34</f>
        <v>1.4300400637344403E-2</v>
      </c>
      <c r="Q17">
        <f>$F$22*[2]production!I34</f>
        <v>1.3775316288796685E-5</v>
      </c>
      <c r="R17">
        <f>$F$22*[2]production!J34</f>
        <v>3.3142680298755197E-6</v>
      </c>
      <c r="S17">
        <f>$F$22*[2]production!K34</f>
        <v>4.917686519502076E-3</v>
      </c>
      <c r="T17">
        <f>$F$22*[2]production!L34</f>
        <v>5.482604853112034E-4</v>
      </c>
      <c r="U17">
        <f>$F$22*[2]production!M34</f>
        <v>0.3158692872487171</v>
      </c>
      <c r="V17">
        <f>$F$22*[2]production!N34</f>
        <v>4.6090737261410801E-4</v>
      </c>
      <c r="W17">
        <f>$F$22*[2]production!O34</f>
        <v>1.1100001473858924E-2</v>
      </c>
      <c r="X17">
        <f>$F$22*[2]production!P34</f>
        <v>6.9761781112033213E-3</v>
      </c>
      <c r="Y17">
        <f>$F$22*[2]production!Q34</f>
        <v>4.0602499319502086E-4</v>
      </c>
      <c r="Z17">
        <f>$F$22*[2]production!R34</f>
        <v>5.331316182572616E-6</v>
      </c>
      <c r="AA17">
        <f>$F$22*[2]production!S34</f>
        <v>0.20279119668049797</v>
      </c>
      <c r="AB17">
        <f>$F$22*[2]production!T34</f>
        <v>6.2446812946058113E-4</v>
      </c>
      <c r="AC17">
        <f>$F$22*[2]production!U34</f>
        <v>0.16515009261410793</v>
      </c>
      <c r="AD17">
        <f>$F$22*[2]production!V34</f>
        <v>1.0988546788381746E-5</v>
      </c>
      <c r="AE17">
        <f>$F$22*[2]production!W34</f>
        <v>5.3337303634854794E-4</v>
      </c>
      <c r="AF17">
        <f>$F$22*[2]production!X34</f>
        <v>1.0213997078838179E-6</v>
      </c>
      <c r="AG17">
        <f>$F$22*[2]production!Y34</f>
        <v>2.8614883996680505E-9</v>
      </c>
      <c r="AH17">
        <f>$F$22*[2]production!Z34</f>
        <v>3.3264998798340257E-5</v>
      </c>
      <c r="AI17">
        <f>$F$22*[2]production!AA34</f>
        <v>8.8302690522821603E-5</v>
      </c>
      <c r="AJ17">
        <f>$F$22*[2]production!AB34</f>
        <v>5.9489441327800841E-5</v>
      </c>
      <c r="AK17">
        <f>$F$22*[2]production!AC34</f>
        <v>7.6622078539419105E-6</v>
      </c>
      <c r="AL17">
        <f>$F$22*[2]production!AD34</f>
        <v>1.087387319502075E-4</v>
      </c>
      <c r="AM17">
        <f>$F$22*[2]production!AE34</f>
        <v>3.407334704066391E-5</v>
      </c>
      <c r="AN17">
        <f>$F$22*[2]production!AF34</f>
        <v>4.9615441394190891E-4</v>
      </c>
      <c r="AO17">
        <f>$F$22*[2]production!AG34</f>
        <v>1.8521595963485482E-3</v>
      </c>
      <c r="AP17">
        <f>$F$22*[2]production!AH34</f>
        <v>8.6125904066390059E-4</v>
      </c>
    </row>
    <row r="18" spans="1:43">
      <c r="A18" s="1" t="s">
        <v>18</v>
      </c>
      <c r="B18" s="1">
        <v>180</v>
      </c>
      <c r="C18" s="36">
        <v>0.8</v>
      </c>
      <c r="D18" s="1">
        <v>1820</v>
      </c>
      <c r="E18" s="1">
        <v>1</v>
      </c>
      <c r="F18" s="64">
        <f>B18/1000000000*C18*D18/E18</f>
        <v>2.6208000000000004E-4</v>
      </c>
      <c r="K18" s="76" t="s">
        <v>147</v>
      </c>
      <c r="L18" s="78">
        <f>$F$25*[5]production!D133</f>
        <v>4.3377008640000008E-3</v>
      </c>
      <c r="M18" s="78">
        <f>$F$25*[5]production!E133</f>
        <v>1.9881738239999999E-3</v>
      </c>
      <c r="N18" s="78">
        <f>$F$25*[5]production!F133</f>
        <v>4.8204226560000001E-2</v>
      </c>
      <c r="O18" s="78">
        <f>$F$25*[5]production!G133</f>
        <v>1.028407296E-4</v>
      </c>
      <c r="P18" s="78">
        <f>$F$25*[5]production!H133</f>
        <v>5.9282227200000001E-3</v>
      </c>
      <c r="Q18" s="78">
        <f>$F$25*[5]production!I133</f>
        <v>7.7827276799999997E-6</v>
      </c>
      <c r="R18" s="78">
        <f>$F$25*[5]production!J133</f>
        <v>8.339509248E-7</v>
      </c>
      <c r="S18" s="78">
        <f>$F$25*[5]production!K133</f>
        <v>5.8137354239999996E-3</v>
      </c>
      <c r="T18" s="78">
        <f>$F$25*[5]production!L133</f>
        <v>3.3026703360000003E-4</v>
      </c>
      <c r="U18" s="78">
        <f>$F$25*[5]production!M133</f>
        <v>6.2376082969804805E-2</v>
      </c>
      <c r="V18" s="78">
        <f>$F$25*[5]production!N133</f>
        <v>3.1721840639999999E-4</v>
      </c>
      <c r="W18" s="78">
        <f>$F$25*[5]production!O133</f>
        <v>3.9590584319999997E-3</v>
      </c>
      <c r="X18" s="78">
        <f>$F$25*[5]production!P133</f>
        <v>1.149517824E-3</v>
      </c>
      <c r="Y18" s="78">
        <f>$F$25*[5]production!Q133</f>
        <v>4.2684579839999993E-3</v>
      </c>
      <c r="Z18" s="78">
        <f>$F$25*[5]production!R133</f>
        <v>1.25755392E-4</v>
      </c>
      <c r="AA18" s="78">
        <f>$F$25*[5]production!S133</f>
        <v>10.74253824</v>
      </c>
      <c r="AB18" s="78">
        <f>$F$25*[5]production!T133</f>
        <v>4.0126464000000002E-4</v>
      </c>
      <c r="AC18" s="78">
        <f>$F$25*[5]production!U133</f>
        <v>5.616930816</v>
      </c>
      <c r="AD18" s="78">
        <f>$F$25*[5]production!V133</f>
        <v>2.584264704E-5</v>
      </c>
      <c r="AE18" s="78">
        <f>$F$25*[5]production!W133</f>
        <v>4.118016E-2</v>
      </c>
      <c r="AF18" s="78">
        <f>$F$25*[5]production!X133</f>
        <v>1.7120624639999999E-6</v>
      </c>
      <c r="AG18" s="78">
        <f>$F$25*[5]production!Y133</f>
        <v>2.581168128E-10</v>
      </c>
      <c r="AH18" s="78">
        <f>$F$25*[5]production!Z133</f>
        <v>1.2507586560000001E-4</v>
      </c>
      <c r="AI18" s="78">
        <f>$F$25*[5]production!AA133</f>
        <v>8.0381091840000003E-5</v>
      </c>
      <c r="AJ18" s="78">
        <f>$F$25*[5]production!AB133</f>
        <v>4.1919037439999999E-4</v>
      </c>
      <c r="AK18" s="78">
        <f>$F$25*[5]production!AC133</f>
        <v>5.2917903360000002E-4</v>
      </c>
      <c r="AL18" s="78">
        <f>$F$25*[5]production!AD133</f>
        <v>3.7529640959999997E-4</v>
      </c>
      <c r="AM18" s="78">
        <f>$F$25*[5]production!AE133</f>
        <v>1.3898465279999999E-4</v>
      </c>
      <c r="AN18" s="78">
        <f>$F$25*[5]production!AF133</f>
        <v>1.9820666880000001E-3</v>
      </c>
      <c r="AO18" s="78">
        <f>$F$25*[5]production!AG133</f>
        <v>7.3806888959999997E-2</v>
      </c>
      <c r="AP18" s="78">
        <f>$F$25*[5]production!AH133</f>
        <v>2.0493311999999998E-3</v>
      </c>
      <c r="AQ18" s="70"/>
    </row>
    <row r="19" spans="1:43">
      <c r="A19" s="1" t="s">
        <v>19</v>
      </c>
      <c r="B19" s="1"/>
      <c r="C19" s="1"/>
      <c r="D19" s="1"/>
      <c r="E19" s="1">
        <v>1</v>
      </c>
      <c r="F19" s="64">
        <f>F18*1000000/72.3*35/1000000*260/1000</f>
        <v>3.2986556016597522E-5</v>
      </c>
      <c r="K19" s="76" t="s">
        <v>148</v>
      </c>
      <c r="L19" s="78">
        <f>$F$26*[5]production!D46</f>
        <v>0.17435194181818181</v>
      </c>
      <c r="M19" s="78">
        <f>$F$26*[5]production!E46</f>
        <v>6.5670661818181805E-2</v>
      </c>
      <c r="N19" s="78">
        <f>$F$26*[5]production!F46</f>
        <v>1.9429381818181815</v>
      </c>
      <c r="O19" s="78">
        <f>$F$26*[5]production!G46</f>
        <v>5.0474225454545446E-3</v>
      </c>
      <c r="P19" s="78">
        <f>$F$26*[5]production!H46</f>
        <v>0.4172938181818181</v>
      </c>
      <c r="Q19" s="78">
        <f>$F$26*[5]production!I46</f>
        <v>4.2503313454545448E-4</v>
      </c>
      <c r="R19" s="78">
        <f>$F$26*[5]production!J46</f>
        <v>2.1404756363636362E-5</v>
      </c>
      <c r="S19" s="78">
        <f>$F$26*[5]production!K46</f>
        <v>0.16279810909090908</v>
      </c>
      <c r="T19" s="78">
        <f>$F$26*[5]production!L46</f>
        <v>2.5378859636363632E-2</v>
      </c>
      <c r="U19" s="78">
        <f>$F$26*[5]production!M46</f>
        <v>2.6195734909818178</v>
      </c>
      <c r="V19" s="78">
        <f>$F$26*[5]production!N46</f>
        <v>9.1224029090909067E-3</v>
      </c>
      <c r="W19" s="78">
        <f>$F$26*[5]production!O46</f>
        <v>0.1612671127272727</v>
      </c>
      <c r="X19" s="78">
        <f>$F$26*[5]production!P46</f>
        <v>4.6310693818181814E-2</v>
      </c>
      <c r="Y19" s="78">
        <f>$F$26*[5]production!Q46</f>
        <v>2.292212945454545E-3</v>
      </c>
      <c r="Z19" s="78">
        <f>$F$26*[5]production!R46</f>
        <v>9.4493614545454528E-5</v>
      </c>
      <c r="AA19" s="78">
        <f>$F$26*[5]production!S46</f>
        <v>3.0353300363636362</v>
      </c>
      <c r="AB19" s="78">
        <f>$F$26*[5]production!T46</f>
        <v>2.6864445090909086E-2</v>
      </c>
      <c r="AC19" s="78">
        <f>$F$26*[5]production!U46</f>
        <v>2.6161224727272723</v>
      </c>
      <c r="AD19" s="78">
        <f>$F$26*[5]production!V46</f>
        <v>1.5736177454545451E-4</v>
      </c>
      <c r="AE19" s="78">
        <f>$F$26*[5]production!W46</f>
        <v>2.1028494545454542E-3</v>
      </c>
      <c r="AF19" s="78">
        <f>$F$26*[5]production!X46</f>
        <v>1.9169242181818178E-5</v>
      </c>
      <c r="AG19" s="78">
        <f>$F$26*[5]production!Y46</f>
        <v>9.64981818181818E-9</v>
      </c>
      <c r="AH19" s="78">
        <f>$F$26*[5]production!Z46</f>
        <v>5.4048712727272716E-4</v>
      </c>
      <c r="AI19" s="78">
        <f>$F$26*[5]production!AA46</f>
        <v>4.2998941090909086E-4</v>
      </c>
      <c r="AJ19" s="78">
        <f>$F$26*[5]production!AB46</f>
        <v>8.5158429090909072E-4</v>
      </c>
      <c r="AK19" s="78">
        <f>$F$26*[5]production!AC46</f>
        <v>5.8344584727272721E-5</v>
      </c>
      <c r="AL19" s="78">
        <f>$F$26*[5]production!AD46</f>
        <v>1.0372500363636363E-3</v>
      </c>
      <c r="AM19" s="78">
        <f>$F$26*[5]production!AE46</f>
        <v>6.8278545454545443E-4</v>
      </c>
      <c r="AN19" s="78">
        <f>$F$26*[5]production!AF46</f>
        <v>6.9018094545454534E-3</v>
      </c>
      <c r="AO19" s="78">
        <f>$F$26*[5]production!AG46</f>
        <v>2.7598155636363635E-2</v>
      </c>
      <c r="AP19" s="78">
        <f>$F$26*[5]production!AH46</f>
        <v>5.6508037818181808E-3</v>
      </c>
      <c r="AQ19" s="70"/>
    </row>
    <row r="20" spans="1:43">
      <c r="A20" s="1" t="s">
        <v>81</v>
      </c>
      <c r="B20" s="1"/>
      <c r="C20" s="1"/>
      <c r="D20" s="1"/>
      <c r="E20" s="1"/>
      <c r="F20" s="64">
        <f>F18*1000000/72.3*35/1000000/1000*786</f>
        <v>9.9720896265560196E-5</v>
      </c>
      <c r="K20" s="76" t="s">
        <v>159</v>
      </c>
      <c r="L20" s="78">
        <f>$F$27*[5]production!D91</f>
        <v>7.6841745454545455E-5</v>
      </c>
      <c r="M20" s="78">
        <f>$F$27*[5]production!E91</f>
        <v>2.1682411636363637E-5</v>
      </c>
      <c r="N20" s="78">
        <f>$F$27*[5]production!F91</f>
        <v>8.4101003636363639E-4</v>
      </c>
      <c r="O20" s="78">
        <f>$F$27*[5]production!G91</f>
        <v>2.0711266909090908E-6</v>
      </c>
      <c r="P20" s="78">
        <f>$F$27*[5]production!H91</f>
        <v>1.097257309090909E-4</v>
      </c>
      <c r="Q20" s="78">
        <f>$F$27*[5]production!I91</f>
        <v>2.0015831272727271E-7</v>
      </c>
      <c r="R20" s="78">
        <f>$F$27*[5]production!J91</f>
        <v>9.8606545454545462E-9</v>
      </c>
      <c r="S20" s="78">
        <f>$F$27*[5]production!K91</f>
        <v>6.5287912727272722E-5</v>
      </c>
      <c r="T20" s="78">
        <f>$F$27*[5]production!L91</f>
        <v>6.9160814545454541E-6</v>
      </c>
      <c r="U20" s="78">
        <f>$F$27*[5]production!M91</f>
        <v>1.0469033187490908E-3</v>
      </c>
      <c r="V20" s="78">
        <f>$F$27*[5]production!N91</f>
        <v>3.0219013818181814E-6</v>
      </c>
      <c r="W20" s="78">
        <f>$F$27*[5]production!O91</f>
        <v>7.0931839999999993E-5</v>
      </c>
      <c r="X20" s="78">
        <f>$F$27*[5]production!P91</f>
        <v>2.0077460363636363E-5</v>
      </c>
      <c r="Y20" s="78">
        <f>$F$27*[5]production!Q91</f>
        <v>9.2774487272727261E-7</v>
      </c>
      <c r="Z20" s="78">
        <f>$F$27*[5]production!R91</f>
        <v>3.768586472727272E-8</v>
      </c>
      <c r="AA20" s="78">
        <f>$F$27*[5]production!S91</f>
        <v>1.2544439272727272E-3</v>
      </c>
      <c r="AB20" s="78">
        <f>$F$27*[5]production!T91</f>
        <v>7.800296727272727E-6</v>
      </c>
      <c r="AC20" s="78">
        <f>$F$27*[5]production!U91</f>
        <v>1.0726056727272727E-3</v>
      </c>
      <c r="AD20" s="78">
        <f>$F$27*[5]production!V91</f>
        <v>7.0114443636363631E-8</v>
      </c>
      <c r="AE20" s="78">
        <f>$F$27*[5]production!W91</f>
        <v>7.8463563636363629E-7</v>
      </c>
      <c r="AF20" s="78">
        <f>$F$27*[5]production!X91</f>
        <v>8.3335505454545451E-9</v>
      </c>
      <c r="AG20" s="78">
        <f>$F$27*[5]production!Y91</f>
        <v>3.4841195636363632E-12</v>
      </c>
      <c r="AH20" s="78">
        <f>$F$27*[5]production!Z91</f>
        <v>2.5893949090909089E-7</v>
      </c>
      <c r="AI20" s="78">
        <f>$F$27*[5]production!AA91</f>
        <v>1.9396296727272729E-7</v>
      </c>
      <c r="AJ20" s="78">
        <f>$F$27*[5]production!AB91</f>
        <v>3.7955086545454546E-7</v>
      </c>
      <c r="AK20" s="78">
        <f>$F$27*[5]production!AC91</f>
        <v>2.4322731636363633E-8</v>
      </c>
      <c r="AL20" s="78">
        <f>$F$27*[5]production!AD91</f>
        <v>4.6189381818181811E-7</v>
      </c>
      <c r="AM20" s="78">
        <f>$F$27*[5]production!AE91</f>
        <v>2.8183307636363634E-7</v>
      </c>
      <c r="AN20" s="78">
        <f>$F$27*[5]production!AF91</f>
        <v>2.9375019636363634E-6</v>
      </c>
      <c r="AO20" s="78">
        <f>$F$27*[5]production!AG91</f>
        <v>1.1651141818181817E-5</v>
      </c>
      <c r="AP20" s="78">
        <f>$F$27*[5]production!AH91</f>
        <v>2.444015127272727E-6</v>
      </c>
      <c r="AQ20" s="70"/>
    </row>
    <row r="21" spans="1:43">
      <c r="A21" s="1" t="s">
        <v>83</v>
      </c>
      <c r="B21" s="1"/>
      <c r="C21" s="1"/>
      <c r="D21" s="1"/>
      <c r="E21" s="1">
        <v>1</v>
      </c>
      <c r="F21" s="64">
        <f>F18*1000000/72.3*30/1000000*1000*0.923/1000</f>
        <v>1.0037337759336101E-4</v>
      </c>
      <c r="K21" s="79" t="s">
        <v>79</v>
      </c>
      <c r="L21" s="79">
        <f>$F$29*[2]production!D113</f>
        <v>5.8513339999999997E-2</v>
      </c>
      <c r="M21" s="79">
        <f>$F$29*[2]production!E113</f>
        <v>1.2732665999999998E-2</v>
      </c>
      <c r="N21" s="79">
        <f>$F$29*[2]production!F113</f>
        <v>1.0146662</v>
      </c>
      <c r="O21" s="79">
        <f>$F$29*[2]production!G113</f>
        <v>6.2581620000000003E-4</v>
      </c>
      <c r="P21" s="79">
        <f>$F$29*[2]production!H113</f>
        <v>6.6827659999999997E-2</v>
      </c>
      <c r="Q21" s="79">
        <f>$F$29*[2]production!I113</f>
        <v>1.7331599999999999E-5</v>
      </c>
      <c r="R21" s="79">
        <f>$F$29*[2]production!J113</f>
        <v>1.6060211999999999E-5</v>
      </c>
      <c r="S21" s="79">
        <f>$F$29*[2]production!K113</f>
        <v>2.303608E-2</v>
      </c>
      <c r="T21" s="79">
        <f>$F$29*[2]production!L113</f>
        <v>3.8462819999999999E-3</v>
      </c>
      <c r="U21" s="79">
        <f>$F$29*[2]production!M113</f>
        <v>1.121768096012</v>
      </c>
      <c r="V21" s="79">
        <f>$F$29*[2]production!N113</f>
        <v>1.9549964000000002E-3</v>
      </c>
      <c r="W21" s="79">
        <f>$F$29*[2]production!O113</f>
        <v>5.3267399999999999E-2</v>
      </c>
      <c r="X21" s="79">
        <f>$F$29*[2]production!P113</f>
        <v>2.4177380000000002E-2</v>
      </c>
      <c r="Y21" s="79">
        <f>$F$29*[2]production!Q113</f>
        <v>6.0432339999999995E-4</v>
      </c>
      <c r="Z21" s="79">
        <f>$F$29*[2]production!R113</f>
        <v>1.9439469999999997E-5</v>
      </c>
      <c r="AA21" s="79">
        <f>$F$29*[2]production!S113</f>
        <v>0.90098060000000002</v>
      </c>
      <c r="AB21" s="79">
        <f>$F$29*[2]production!T113</f>
        <v>3.5624719999999997E-3</v>
      </c>
      <c r="AC21" s="79">
        <f>$F$29*[2]production!U113</f>
        <v>0.69086020000000004</v>
      </c>
      <c r="AD21" s="79">
        <f>$F$29*[2]production!V113</f>
        <v>4.7078119999999994E-5</v>
      </c>
      <c r="AE21" s="79">
        <f>$F$29*[2]production!W113</f>
        <v>3.4358179999999998E-3</v>
      </c>
      <c r="AF21" s="79">
        <f>$F$29*[2]production!X113</f>
        <v>6.1276699999999994E-6</v>
      </c>
      <c r="AG21" s="79">
        <f>$F$29*[2]production!Y113</f>
        <v>5.7868959999999999E-9</v>
      </c>
      <c r="AH21" s="79">
        <f>$F$29*[2]production!Z113</f>
        <v>1.0165448000000001E-4</v>
      </c>
      <c r="AI21" s="79">
        <f>$F$29*[2]production!AA113</f>
        <v>2.0535319999999998E-4</v>
      </c>
      <c r="AJ21" s="79">
        <f>$F$29*[2]production!AB113</f>
        <v>2.0896899999999998E-4</v>
      </c>
      <c r="AK21" s="79">
        <f>$F$29*[2]production!AC113</f>
        <v>4.8904199999999998E-5</v>
      </c>
      <c r="AL21" s="79">
        <f>$F$29*[2]production!AD113</f>
        <v>5.1992780000000005E-4</v>
      </c>
      <c r="AM21" s="79">
        <f>$F$29*[2]production!AE113</f>
        <v>1.6944567999999999E-4</v>
      </c>
      <c r="AN21" s="79">
        <f>$F$29*[2]production!AF113</f>
        <v>2.2575519999999999E-3</v>
      </c>
      <c r="AO21" s="79">
        <f>$F$29*[2]production!AG113</f>
        <v>8.1579719999999994E-3</v>
      </c>
      <c r="AP21" s="79">
        <f>$F$29*[2]production!AH113</f>
        <v>3.0584819999999995E-3</v>
      </c>
    </row>
    <row r="22" spans="1:43">
      <c r="A22" s="1" t="s">
        <v>82</v>
      </c>
      <c r="B22" s="1"/>
      <c r="C22" s="1"/>
      <c r="D22" s="1"/>
      <c r="E22" s="1"/>
      <c r="F22" s="64">
        <f>F18*1000000/72.3*1*1.11/1000</f>
        <v>4.0236348547717854E-3</v>
      </c>
      <c r="K22" s="79" t="s">
        <v>80</v>
      </c>
      <c r="L22" s="79">
        <f>$F$30*[2]production!D112</f>
        <v>0.19433649</v>
      </c>
      <c r="M22" s="79">
        <f>$F$30*[2]production!E112</f>
        <v>4.6424313999999994E-2</v>
      </c>
      <c r="N22" s="79">
        <f>$F$30*[2]production!F112</f>
        <v>4.5167484999999994</v>
      </c>
      <c r="O22" s="79">
        <f>$F$30*[2]production!G112</f>
        <v>1.8686461999999999E-3</v>
      </c>
      <c r="P22" s="79">
        <f>$F$30*[2]production!H112</f>
        <v>0.23566314999999999</v>
      </c>
      <c r="Q22" s="79">
        <f>$F$30*[2]production!I112</f>
        <v>4.9917150999999996E-5</v>
      </c>
      <c r="R22" s="79">
        <f>$F$30*[2]production!J112</f>
        <v>3.8257085000000002E-5</v>
      </c>
      <c r="S22" s="79">
        <f>$F$30*[2]production!K112</f>
        <v>6.3915029999999998E-2</v>
      </c>
      <c r="T22" s="79">
        <f>$F$30*[2]production!L112</f>
        <v>1.1723617E-2</v>
      </c>
      <c r="U22" s="79">
        <f>$F$30*[2]production!M112</f>
        <v>4.876431431436</v>
      </c>
      <c r="V22" s="79">
        <f>$F$30*[2]production!N112</f>
        <v>6.1952969999999998E-3</v>
      </c>
      <c r="W22" s="79">
        <f>$F$30*[2]production!O112</f>
        <v>0.17387676999999999</v>
      </c>
      <c r="X22" s="79">
        <f>$F$30*[2]production!P112</f>
        <v>0.10758629</v>
      </c>
      <c r="Y22" s="79">
        <f>$F$30*[2]production!Q112</f>
        <v>1.6921225000000001E-3</v>
      </c>
      <c r="Z22" s="79">
        <f>$F$30*[2]production!R112</f>
        <v>5.3572875999999998E-5</v>
      </c>
      <c r="AA22" s="79">
        <f>$F$30*[2]production!S112</f>
        <v>2.6013953999999999</v>
      </c>
      <c r="AB22" s="79">
        <f>$F$30*[2]production!T112</f>
        <v>1.0938793E-2</v>
      </c>
      <c r="AC22" s="79">
        <f>$F$30*[2]production!U112</f>
        <v>2.0643585999999998</v>
      </c>
      <c r="AD22" s="79">
        <f>$F$30*[2]production!V112</f>
        <v>1.5557654999999999E-4</v>
      </c>
      <c r="AE22" s="79">
        <f>$F$30*[2]production!W112</f>
        <v>8.7410389999999991E-3</v>
      </c>
      <c r="AF22" s="79">
        <f>$F$30*[2]production!X112</f>
        <v>1.8848732999999998E-5</v>
      </c>
      <c r="AG22" s="79">
        <f>$F$30*[2]production!Y112</f>
        <v>8.897757E-9</v>
      </c>
      <c r="AH22" s="79">
        <f>$F$30*[2]production!Z112</f>
        <v>3.1222667999999997E-4</v>
      </c>
      <c r="AI22" s="79">
        <f>$F$30*[2]production!AA112</f>
        <v>5.844594199999999E-4</v>
      </c>
      <c r="AJ22" s="79">
        <f>$F$30*[2]production!AB112</f>
        <v>7.4009149999999997E-4</v>
      </c>
      <c r="AK22" s="79">
        <f>$F$30*[2]production!AC112</f>
        <v>1.9091831E-4</v>
      </c>
      <c r="AL22" s="79">
        <f>$F$30*[2]production!AD112</f>
        <v>1.3298200999999998E-3</v>
      </c>
      <c r="AM22" s="79">
        <f>$F$30*[2]production!AE112</f>
        <v>3.5293016999999997E-4</v>
      </c>
      <c r="AN22" s="79">
        <f>$F$30*[2]production!AF112</f>
        <v>6.9066979999999993E-3</v>
      </c>
      <c r="AO22" s="79">
        <f>$F$30*[2]production!AG112</f>
        <v>2.4245015000000002E-2</v>
      </c>
      <c r="AP22" s="79">
        <f>$F$30*[2]production!AH112</f>
        <v>1.3306221999999999E-2</v>
      </c>
    </row>
    <row r="23" spans="1:43">
      <c r="A23" s="66" t="s">
        <v>151</v>
      </c>
      <c r="B23" s="68"/>
      <c r="C23" s="66"/>
      <c r="D23" s="66"/>
      <c r="E23" s="66"/>
      <c r="F23" s="67">
        <f>25.77/1000</f>
        <v>2.5770000000000001E-2</v>
      </c>
      <c r="K23" s="65" t="str">
        <f>A31</f>
        <v>Direct emissions</v>
      </c>
      <c r="L23" s="26">
        <f>SUM(L24:L32)</f>
        <v>0</v>
      </c>
      <c r="M23" s="26">
        <f t="shared" ref="M23:AP23" si="0">SUM(M24:M32)</f>
        <v>0</v>
      </c>
      <c r="N23" s="26">
        <f t="shared" si="0"/>
        <v>0</v>
      </c>
      <c r="O23" s="26">
        <f t="shared" si="0"/>
        <v>0</v>
      </c>
      <c r="P23" s="26">
        <f t="shared" si="0"/>
        <v>0</v>
      </c>
      <c r="Q23" s="26">
        <f t="shared" si="0"/>
        <v>0</v>
      </c>
      <c r="R23" s="26">
        <f t="shared" si="0"/>
        <v>0</v>
      </c>
      <c r="S23" s="26">
        <f t="shared" si="0"/>
        <v>0</v>
      </c>
      <c r="T23" s="26">
        <f t="shared" si="0"/>
        <v>0</v>
      </c>
      <c r="U23" s="26">
        <f t="shared" si="0"/>
        <v>0</v>
      </c>
      <c r="V23" s="26">
        <f t="shared" si="0"/>
        <v>0</v>
      </c>
      <c r="W23" s="26">
        <f t="shared" si="0"/>
        <v>0</v>
      </c>
      <c r="X23" s="26">
        <f t="shared" si="0"/>
        <v>0</v>
      </c>
      <c r="Y23" s="26">
        <f t="shared" si="0"/>
        <v>1.7258416833342491E-2</v>
      </c>
      <c r="Z23" s="26">
        <f t="shared" si="0"/>
        <v>0</v>
      </c>
      <c r="AA23" s="26">
        <f t="shared" si="0"/>
        <v>3.0033926547990232E-2</v>
      </c>
      <c r="AB23" s="26">
        <f t="shared" si="0"/>
        <v>0</v>
      </c>
      <c r="AC23" s="26">
        <f t="shared" si="0"/>
        <v>39.346661094876254</v>
      </c>
      <c r="AD23" s="26">
        <f t="shared" si="0"/>
        <v>0</v>
      </c>
      <c r="AE23" s="26">
        <f t="shared" si="0"/>
        <v>0</v>
      </c>
      <c r="AF23" s="26">
        <f t="shared" si="0"/>
        <v>0</v>
      </c>
      <c r="AG23" s="26">
        <f t="shared" si="0"/>
        <v>0</v>
      </c>
      <c r="AH23" s="26">
        <f t="shared" si="0"/>
        <v>0</v>
      </c>
      <c r="AI23" s="26">
        <f t="shared" si="0"/>
        <v>1.2175150279972412E-3</v>
      </c>
      <c r="AJ23" s="26">
        <f t="shared" si="0"/>
        <v>0</v>
      </c>
      <c r="AK23" s="26">
        <f t="shared" si="0"/>
        <v>0.18068797405282636</v>
      </c>
      <c r="AL23" s="26">
        <f t="shared" si="0"/>
        <v>0</v>
      </c>
      <c r="AM23" s="26">
        <f t="shared" si="0"/>
        <v>0</v>
      </c>
      <c r="AN23" s="26">
        <f t="shared" si="0"/>
        <v>4.9676475905721842E-2</v>
      </c>
      <c r="AO23" s="26">
        <f t="shared" si="0"/>
        <v>1.5378285736341869E-4</v>
      </c>
      <c r="AP23" s="26">
        <f t="shared" si="0"/>
        <v>0</v>
      </c>
    </row>
    <row r="24" spans="1:43">
      <c r="A24" s="65" t="s">
        <v>13</v>
      </c>
      <c r="B24" s="63"/>
      <c r="C24" s="63"/>
      <c r="D24" s="63"/>
      <c r="E24" s="63"/>
      <c r="K24" s="63" t="s">
        <v>157</v>
      </c>
    </row>
    <row r="25" spans="1:43">
      <c r="A25" s="76" t="s">
        <v>147</v>
      </c>
      <c r="B25" s="76">
        <v>60</v>
      </c>
      <c r="C25" s="76">
        <v>0.8</v>
      </c>
      <c r="D25" s="76">
        <v>8960</v>
      </c>
      <c r="E25" s="76">
        <v>0.5</v>
      </c>
      <c r="F25" s="77">
        <f>B25/1000000000*C25*D25/E25</f>
        <v>8.6016E-4</v>
      </c>
      <c r="K25" s="63" t="s">
        <v>10</v>
      </c>
      <c r="L25">
        <f>$F$33*'[2]direct emissions'!D28</f>
        <v>0</v>
      </c>
      <c r="M25">
        <f>$F$33*'[2]direct emissions'!E28</f>
        <v>0</v>
      </c>
      <c r="N25">
        <f>$F$33*'[2]direct emissions'!F28</f>
        <v>0</v>
      </c>
      <c r="O25">
        <f>$F$33*'[2]direct emissions'!G28</f>
        <v>0</v>
      </c>
      <c r="P25">
        <f>$F$33*'[2]direct emissions'!H28</f>
        <v>0</v>
      </c>
      <c r="Q25">
        <f>$F$33*'[2]direct emissions'!I28</f>
        <v>0</v>
      </c>
      <c r="R25">
        <f>$F$33*'[2]direct emissions'!J28</f>
        <v>0</v>
      </c>
      <c r="S25">
        <f>$F$33*'[2]direct emissions'!K28</f>
        <v>0</v>
      </c>
      <c r="T25">
        <f>$F$33*'[2]direct emissions'!L28</f>
        <v>0</v>
      </c>
      <c r="U25">
        <f>$F$33*'[2]direct emissions'!M28</f>
        <v>0</v>
      </c>
      <c r="V25">
        <f>$F$33*'[2]direct emissions'!N28</f>
        <v>0</v>
      </c>
      <c r="W25">
        <f>$F$33*'[2]direct emissions'!O28</f>
        <v>0</v>
      </c>
      <c r="X25">
        <f>$F$33*'[2]direct emissions'!P28</f>
        <v>0</v>
      </c>
      <c r="Y25">
        <f>$F$33*'[2]direct emissions'!Q28</f>
        <v>0</v>
      </c>
      <c r="Z25">
        <f>$F$33*'[2]direct emissions'!R28</f>
        <v>0</v>
      </c>
      <c r="AA25">
        <f>$F$33*'[2]direct emissions'!S28</f>
        <v>0</v>
      </c>
      <c r="AB25">
        <f>$F$33*'[2]direct emissions'!T28</f>
        <v>0</v>
      </c>
      <c r="AC25">
        <f>$F$33*'[2]direct emissions'!U28</f>
        <v>0</v>
      </c>
      <c r="AD25">
        <f>$F$33*'[2]direct emissions'!V28</f>
        <v>0</v>
      </c>
      <c r="AE25">
        <f>$F$33*'[2]direct emissions'!W28</f>
        <v>0</v>
      </c>
      <c r="AF25">
        <f>$F$33*'[2]direct emissions'!X28</f>
        <v>0</v>
      </c>
      <c r="AG25">
        <f>$F$33*'[2]direct emissions'!Y28</f>
        <v>0</v>
      </c>
      <c r="AH25">
        <f>$F$33*'[2]direct emissions'!Z28</f>
        <v>0</v>
      </c>
      <c r="AI25">
        <f>$F$33*'[2]direct emissions'!AA28</f>
        <v>0</v>
      </c>
      <c r="AJ25">
        <f>$F$33*'[2]direct emissions'!AB28</f>
        <v>0</v>
      </c>
      <c r="AK25">
        <f>$F$33*'[2]direct emissions'!AC28</f>
        <v>0</v>
      </c>
      <c r="AL25">
        <f>$F$33*'[2]direct emissions'!AD28</f>
        <v>0</v>
      </c>
      <c r="AM25">
        <f>$F$33*'[2]direct emissions'!AE28</f>
        <v>0</v>
      </c>
      <c r="AN25">
        <f>$F$33*'[2]direct emissions'!AF28</f>
        <v>0</v>
      </c>
      <c r="AO25">
        <f>$F$33*'[2]direct emissions'!AG28</f>
        <v>0</v>
      </c>
      <c r="AP25">
        <f>$F$33*'[2]direct emissions'!AH28</f>
        <v>0</v>
      </c>
      <c r="AQ25" s="10"/>
    </row>
    <row r="26" spans="1:43">
      <c r="A26" s="76" t="s">
        <v>148</v>
      </c>
      <c r="B26" s="76"/>
      <c r="C26" s="76"/>
      <c r="D26" s="76"/>
      <c r="E26" s="76"/>
      <c r="F26" s="77">
        <f>20/10*10000/1000*1.784/1000*'energy consumption'!D16/60</f>
        <v>6.4872727272727262E-2</v>
      </c>
      <c r="K26" s="63" t="s">
        <v>20</v>
      </c>
      <c r="L26">
        <f>$F$34*'[2]direct emissions'!D38</f>
        <v>0</v>
      </c>
      <c r="M26">
        <f>$F$34*'[2]direct emissions'!E38</f>
        <v>0</v>
      </c>
      <c r="N26">
        <f>$F$34*'[2]direct emissions'!F38</f>
        <v>0</v>
      </c>
      <c r="O26">
        <f>$F$34*'[2]direct emissions'!G38</f>
        <v>0</v>
      </c>
      <c r="P26">
        <f>$F$34*'[2]direct emissions'!H38</f>
        <v>0</v>
      </c>
      <c r="Q26">
        <f>$F$34*'[2]direct emissions'!I38</f>
        <v>0</v>
      </c>
      <c r="R26">
        <f>$F$34*'[2]direct emissions'!J38</f>
        <v>0</v>
      </c>
      <c r="S26">
        <f>$F$34*'[2]direct emissions'!K38</f>
        <v>0</v>
      </c>
      <c r="T26">
        <f>$F$34*'[2]direct emissions'!L38</f>
        <v>0</v>
      </c>
      <c r="U26">
        <f>$F$34*'[2]direct emissions'!M38</f>
        <v>0</v>
      </c>
      <c r="V26">
        <f>$F$34*'[2]direct emissions'!N38</f>
        <v>0</v>
      </c>
      <c r="W26">
        <f>$F$34*'[2]direct emissions'!O38</f>
        <v>0</v>
      </c>
      <c r="X26">
        <f>$F$34*'[2]direct emissions'!P38</f>
        <v>0</v>
      </c>
      <c r="Y26">
        <f>$F$34*'[2]direct emissions'!Q38</f>
        <v>0</v>
      </c>
      <c r="Z26">
        <f>$F$34*'[2]direct emissions'!R38</f>
        <v>0</v>
      </c>
      <c r="AA26">
        <f>$F$34*'[2]direct emissions'!S38</f>
        <v>0</v>
      </c>
      <c r="AB26">
        <f>$F$34*'[2]direct emissions'!T38</f>
        <v>0</v>
      </c>
      <c r="AC26">
        <f>$F$34*'[2]direct emissions'!U38</f>
        <v>0</v>
      </c>
      <c r="AD26">
        <f>$F$34*'[2]direct emissions'!V38</f>
        <v>0</v>
      </c>
      <c r="AE26">
        <f>$F$34*'[2]direct emissions'!W38</f>
        <v>0</v>
      </c>
      <c r="AF26">
        <f>$F$34*'[2]direct emissions'!X38</f>
        <v>0</v>
      </c>
      <c r="AG26">
        <f>$F$34*'[2]direct emissions'!Y38</f>
        <v>0</v>
      </c>
      <c r="AH26">
        <f>$F$34*'[2]direct emissions'!Z38</f>
        <v>0</v>
      </c>
      <c r="AI26">
        <f>$F$34*'[2]direct emissions'!AA38</f>
        <v>0</v>
      </c>
      <c r="AJ26">
        <f>$F$34*'[2]direct emissions'!AB38</f>
        <v>0</v>
      </c>
      <c r="AK26">
        <f>$F$34*'[2]direct emissions'!AC38</f>
        <v>0</v>
      </c>
      <c r="AL26">
        <f>$F$34*'[2]direct emissions'!AD38</f>
        <v>0</v>
      </c>
      <c r="AM26">
        <f>$F$34*'[2]direct emissions'!AE38</f>
        <v>0</v>
      </c>
      <c r="AN26">
        <f>$F$34*'[2]direct emissions'!AF38</f>
        <v>0</v>
      </c>
      <c r="AO26">
        <f>$F$34*'[2]direct emissions'!AG38</f>
        <v>0</v>
      </c>
      <c r="AP26">
        <f>$F$34*'[2]direct emissions'!AH38</f>
        <v>0</v>
      </c>
      <c r="AQ26" s="10"/>
    </row>
    <row r="27" spans="1:43">
      <c r="A27" s="76" t="s">
        <v>149</v>
      </c>
      <c r="B27" s="76"/>
      <c r="C27" s="76"/>
      <c r="D27" s="76"/>
      <c r="E27" s="76"/>
      <c r="F27" s="77">
        <f>F26*0.1/100</f>
        <v>6.4872727272727269E-5</v>
      </c>
      <c r="K27" s="63" t="str">
        <f>K12</f>
        <v>Isopropanol</v>
      </c>
      <c r="L27">
        <f>$F$35*'[2]direct emissions'!D24</f>
        <v>0</v>
      </c>
      <c r="M27">
        <f>$F$35*'[2]direct emissions'!E24</f>
        <v>0</v>
      </c>
      <c r="N27">
        <f>$F$35*'[2]direct emissions'!F24</f>
        <v>0</v>
      </c>
      <c r="O27">
        <f>$F$35*'[2]direct emissions'!G24</f>
        <v>0</v>
      </c>
      <c r="P27">
        <f>$F$35*'[2]direct emissions'!H24</f>
        <v>0</v>
      </c>
      <c r="Q27">
        <f>$F$35*'[2]direct emissions'!I24</f>
        <v>0</v>
      </c>
      <c r="R27">
        <f>$F$35*'[2]direct emissions'!J24</f>
        <v>0</v>
      </c>
      <c r="S27">
        <f>$F$35*'[2]direct emissions'!K24</f>
        <v>0</v>
      </c>
      <c r="T27">
        <f>$F$35*'[2]direct emissions'!L24</f>
        <v>0</v>
      </c>
      <c r="U27">
        <f>$F$35*'[2]direct emissions'!M24</f>
        <v>0</v>
      </c>
      <c r="V27">
        <f>$F$35*'[2]direct emissions'!N24</f>
        <v>0</v>
      </c>
      <c r="W27">
        <f>$F$35*'[2]direct emissions'!O24</f>
        <v>0</v>
      </c>
      <c r="X27">
        <f>$F$35*'[2]direct emissions'!P24</f>
        <v>0</v>
      </c>
      <c r="Y27">
        <f>$F$35*'[2]direct emissions'!Q24</f>
        <v>0</v>
      </c>
      <c r="Z27">
        <f>$F$35*'[2]direct emissions'!R24</f>
        <v>0</v>
      </c>
      <c r="AA27">
        <f>$F$35*'[2]direct emissions'!S24</f>
        <v>0</v>
      </c>
      <c r="AB27">
        <f>$F$35*'[2]direct emissions'!T24</f>
        <v>0</v>
      </c>
      <c r="AC27">
        <f>$F$35*'[2]direct emissions'!U24</f>
        <v>0</v>
      </c>
      <c r="AD27">
        <f>$F$35*'[2]direct emissions'!V24</f>
        <v>0</v>
      </c>
      <c r="AE27">
        <f>$F$35*'[2]direct emissions'!W24</f>
        <v>0</v>
      </c>
      <c r="AF27">
        <f>$F$35*'[2]direct emissions'!X24</f>
        <v>0</v>
      </c>
      <c r="AG27">
        <f>$F$35*'[2]direct emissions'!Y24</f>
        <v>0</v>
      </c>
      <c r="AH27">
        <f>$F$35*'[2]direct emissions'!Z24</f>
        <v>0</v>
      </c>
      <c r="AI27">
        <f>$F$35*'[2]direct emissions'!AA24</f>
        <v>1.2175150279972412E-3</v>
      </c>
      <c r="AJ27">
        <f>$F$35*'[2]direct emissions'!AB24</f>
        <v>0</v>
      </c>
      <c r="AK27">
        <f>$F$35*'[2]direct emissions'!AC24</f>
        <v>0</v>
      </c>
      <c r="AL27">
        <f>$F$35*'[2]direct emissions'!AD24</f>
        <v>0</v>
      </c>
      <c r="AM27">
        <f>$F$35*'[2]direct emissions'!AE24</f>
        <v>0</v>
      </c>
      <c r="AN27">
        <f>$F$35*'[2]direct emissions'!AF24</f>
        <v>0</v>
      </c>
      <c r="AO27">
        <f>$F$35*'[2]direct emissions'!AG24</f>
        <v>4.6324962040776623E-7</v>
      </c>
      <c r="AP27">
        <f>$F$35*'[2]direct emissions'!AH24</f>
        <v>0</v>
      </c>
    </row>
    <row r="28" spans="1:43">
      <c r="A28" s="65" t="s">
        <v>72</v>
      </c>
      <c r="B28" s="63"/>
      <c r="C28" s="63"/>
      <c r="D28" s="63"/>
      <c r="E28" s="63"/>
      <c r="K28" s="63" t="s">
        <v>81</v>
      </c>
      <c r="L28">
        <f>$F$36*'[2]direct emissions'!D30</f>
        <v>0</v>
      </c>
      <c r="M28">
        <f>$F$36*'[2]direct emissions'!E30</f>
        <v>0</v>
      </c>
      <c r="N28">
        <f>$F$36*'[2]direct emissions'!F30</f>
        <v>0</v>
      </c>
      <c r="O28">
        <f>$F$36*'[2]direct emissions'!G30</f>
        <v>0</v>
      </c>
      <c r="P28">
        <f>$F$36*'[2]direct emissions'!H30</f>
        <v>0</v>
      </c>
      <c r="Q28">
        <f>$F$36*'[2]direct emissions'!I30</f>
        <v>0</v>
      </c>
      <c r="R28">
        <f>$F$36*'[2]direct emissions'!J30</f>
        <v>0</v>
      </c>
      <c r="S28">
        <f>$F$36*'[2]direct emissions'!K30</f>
        <v>0</v>
      </c>
      <c r="T28">
        <f>$F$36*'[2]direct emissions'!L30</f>
        <v>0</v>
      </c>
      <c r="U28">
        <f>$F$36*'[2]direct emissions'!M30</f>
        <v>0</v>
      </c>
      <c r="V28">
        <f>$F$36*'[2]direct emissions'!N30</f>
        <v>0</v>
      </c>
      <c r="W28">
        <f>$F$36*'[2]direct emissions'!O30</f>
        <v>0</v>
      </c>
      <c r="X28">
        <f>$F$36*'[2]direct emissions'!P30</f>
        <v>0</v>
      </c>
      <c r="Y28">
        <f>$F$36*'[2]direct emissions'!Q30</f>
        <v>1.6955846321180296E-8</v>
      </c>
      <c r="Z28">
        <f>$F$36*'[2]direct emissions'!R30</f>
        <v>0</v>
      </c>
      <c r="AA28">
        <f>$F$36*'[2]direct emissions'!S30</f>
        <v>4.6949747004050041E-5</v>
      </c>
      <c r="AB28">
        <f>$F$36*'[2]direct emissions'!T30</f>
        <v>0</v>
      </c>
      <c r="AC28">
        <f>$F$36*'[2]direct emissions'!U30</f>
        <v>1.7353434200974799E-7</v>
      </c>
      <c r="AD28">
        <f>$F$36*'[2]direct emissions'!V30</f>
        <v>0</v>
      </c>
      <c r="AE28">
        <f>$F$36*'[2]direct emissions'!W30</f>
        <v>0</v>
      </c>
      <c r="AF28">
        <f>$F$36*'[2]direct emissions'!X30</f>
        <v>0</v>
      </c>
      <c r="AG28">
        <f>$F$36*'[2]direct emissions'!Y30</f>
        <v>0</v>
      </c>
      <c r="AH28">
        <f>$F$36*'[2]direct emissions'!Z30</f>
        <v>0</v>
      </c>
      <c r="AI28">
        <f>$F$36*'[2]direct emissions'!AA30</f>
        <v>0</v>
      </c>
      <c r="AJ28">
        <f>$F$36*'[2]direct emissions'!AB30</f>
        <v>0</v>
      </c>
      <c r="AK28">
        <f>$F$36*'[2]direct emissions'!AC30</f>
        <v>3.693729591702373E-8</v>
      </c>
      <c r="AL28">
        <f>$F$36*'[2]direct emissions'!AD30</f>
        <v>0</v>
      </c>
      <c r="AM28">
        <f>$F$36*'[2]direct emissions'!AE30</f>
        <v>0</v>
      </c>
      <c r="AN28">
        <f>$F$36*'[2]direct emissions'!AF30</f>
        <v>8.1562639185993316E-9</v>
      </c>
      <c r="AO28">
        <f>$F$36*'[2]direct emissions'!AG30</f>
        <v>3.2063241856420512E-7</v>
      </c>
      <c r="AP28">
        <f>$F$36*'[2]direct emissions'!AH30</f>
        <v>0</v>
      </c>
    </row>
    <row r="29" spans="1:43">
      <c r="A29" s="79" t="s">
        <v>79</v>
      </c>
      <c r="B29" s="79"/>
      <c r="C29" s="79"/>
      <c r="D29" s="79"/>
      <c r="E29" s="79"/>
      <c r="F29" s="80">
        <f>2.02/100</f>
        <v>2.0199999999999999E-2</v>
      </c>
      <c r="K29" s="63" t="s">
        <v>82</v>
      </c>
      <c r="L29">
        <f>$F$37*'[2]direct emissions'!D35</f>
        <v>0</v>
      </c>
      <c r="M29">
        <f>$F$37*'[2]direct emissions'!E35</f>
        <v>0</v>
      </c>
      <c r="N29">
        <f>$F$37*'[2]direct emissions'!F35</f>
        <v>0</v>
      </c>
      <c r="O29">
        <f>$F$37*'[2]direct emissions'!G35</f>
        <v>0</v>
      </c>
      <c r="P29">
        <f>$F$37*'[2]direct emissions'!H35</f>
        <v>0</v>
      </c>
      <c r="Q29">
        <f>$F$37*'[2]direct emissions'!I35</f>
        <v>0</v>
      </c>
      <c r="R29">
        <f>$F$37*'[2]direct emissions'!J35</f>
        <v>0</v>
      </c>
      <c r="S29">
        <f>$F$37*'[2]direct emissions'!K35</f>
        <v>0</v>
      </c>
      <c r="T29">
        <f>$F$37*'[2]direct emissions'!L35</f>
        <v>0</v>
      </c>
      <c r="U29">
        <f>$F$37*'[2]direct emissions'!M35</f>
        <v>0</v>
      </c>
      <c r="V29">
        <f>$F$37*'[2]direct emissions'!N35</f>
        <v>0</v>
      </c>
      <c r="W29">
        <f>$F$37*'[2]direct emissions'!O35</f>
        <v>0</v>
      </c>
      <c r="X29">
        <f>$F$37*'[2]direct emissions'!P35</f>
        <v>0</v>
      </c>
      <c r="Y29">
        <f>$F$37*'[2]direct emissions'!Q35</f>
        <v>1.806089669992429E-6</v>
      </c>
      <c r="Z29">
        <f>$F$37*'[2]direct emissions'!R35</f>
        <v>0</v>
      </c>
      <c r="AA29">
        <f>$F$37*'[2]direct emissions'!S35</f>
        <v>7.5835554142198447E-3</v>
      </c>
      <c r="AB29">
        <f>$F$37*'[2]direct emissions'!T35</f>
        <v>0</v>
      </c>
      <c r="AC29">
        <f>$F$37*'[2]direct emissions'!U35</f>
        <v>1.5837669986395905E-4</v>
      </c>
      <c r="AD29">
        <f>$F$37*'[2]direct emissions'!V35</f>
        <v>0</v>
      </c>
      <c r="AE29">
        <f>$F$37*'[2]direct emissions'!W35</f>
        <v>0</v>
      </c>
      <c r="AF29">
        <f>$F$37*'[2]direct emissions'!X35</f>
        <v>0</v>
      </c>
      <c r="AG29">
        <f>$F$37*'[2]direct emissions'!Y35</f>
        <v>0</v>
      </c>
      <c r="AH29">
        <f>$F$37*'[2]direct emissions'!Z35</f>
        <v>0</v>
      </c>
      <c r="AI29">
        <f>$F$37*'[2]direct emissions'!AA35</f>
        <v>0</v>
      </c>
      <c r="AJ29">
        <f>$F$37*'[2]direct emissions'!AB35</f>
        <v>0</v>
      </c>
      <c r="AK29">
        <f>$F$37*'[2]direct emissions'!AC35</f>
        <v>4.5457359310816831E-6</v>
      </c>
      <c r="AL29">
        <f>$F$37*'[2]direct emissions'!AD35</f>
        <v>0</v>
      </c>
      <c r="AM29">
        <f>$F$37*'[2]direct emissions'!AE35</f>
        <v>0</v>
      </c>
      <c r="AN29">
        <f>$F$37*'[2]direct emissions'!AF35</f>
        <v>0</v>
      </c>
      <c r="AO29">
        <f>$F$37*'[2]direct emissions'!AG35</f>
        <v>0</v>
      </c>
      <c r="AP29">
        <f>$F$37*'[2]direct emissions'!AH35</f>
        <v>0</v>
      </c>
    </row>
    <row r="30" spans="1:43">
      <c r="A30" s="79" t="s">
        <v>80</v>
      </c>
      <c r="B30" s="79"/>
      <c r="C30" s="79"/>
      <c r="D30" s="79"/>
      <c r="E30" s="79"/>
      <c r="F30" s="80">
        <f>6.17/100</f>
        <v>6.1699999999999998E-2</v>
      </c>
      <c r="K30" s="76" t="s">
        <v>147</v>
      </c>
      <c r="L30" s="78">
        <f>$F$38*'[5]direct emissions'!D39</f>
        <v>0</v>
      </c>
      <c r="M30" s="78">
        <f>$F$38*'[5]direct emissions'!E39</f>
        <v>0</v>
      </c>
      <c r="N30" s="78">
        <f>$F$38*'[5]direct emissions'!F39</f>
        <v>0</v>
      </c>
      <c r="O30" s="78">
        <f>$F$38*'[5]direct emissions'!G39</f>
        <v>0</v>
      </c>
      <c r="P30" s="78">
        <f>$F$38*'[5]direct emissions'!H39</f>
        <v>0</v>
      </c>
      <c r="Q30" s="78">
        <f>$F$38*'[5]direct emissions'!I39</f>
        <v>0</v>
      </c>
      <c r="R30" s="78">
        <f>$F$38*'[5]direct emissions'!J39</f>
        <v>0</v>
      </c>
      <c r="S30" s="78">
        <f>$F$38*'[5]direct emissions'!K39</f>
        <v>0</v>
      </c>
      <c r="T30" s="78">
        <f>$F$38*'[5]direct emissions'!L39</f>
        <v>0</v>
      </c>
      <c r="U30" s="78">
        <f>$F$38*'[5]direct emissions'!M39</f>
        <v>0</v>
      </c>
      <c r="V30" s="78">
        <f>$F$38*'[5]direct emissions'!N39</f>
        <v>0</v>
      </c>
      <c r="W30" s="78">
        <f>$F$38*'[5]direct emissions'!O39</f>
        <v>0</v>
      </c>
      <c r="X30" s="78">
        <f>$F$38*'[5]direct emissions'!P39</f>
        <v>0</v>
      </c>
      <c r="Y30" s="78">
        <f>$F$38*'[5]direct emissions'!Q39</f>
        <v>1.7256593787826176E-2</v>
      </c>
      <c r="Z30" s="78">
        <f>$F$38*'[5]direct emissions'!R39</f>
        <v>0</v>
      </c>
      <c r="AA30" s="78">
        <f>$F$38*'[5]direct emissions'!S39</f>
        <v>2.2403421386766337E-2</v>
      </c>
      <c r="AB30" s="78">
        <f>$F$38*'[5]direct emissions'!T39</f>
        <v>0</v>
      </c>
      <c r="AC30" s="78">
        <f>$F$38*'[5]direct emissions'!U39</f>
        <v>39.34650254464205</v>
      </c>
      <c r="AD30" s="78">
        <f>$F$38*'[5]direct emissions'!V39</f>
        <v>0</v>
      </c>
      <c r="AE30" s="78">
        <f>$F$38*'[5]direct emissions'!W39</f>
        <v>0</v>
      </c>
      <c r="AF30" s="78">
        <f>$F$38*'[5]direct emissions'!X39</f>
        <v>0</v>
      </c>
      <c r="AG30" s="78">
        <f>$F$38*'[5]direct emissions'!Y39</f>
        <v>0</v>
      </c>
      <c r="AH30" s="78">
        <f>$F$38*'[5]direct emissions'!Z39</f>
        <v>0</v>
      </c>
      <c r="AI30" s="78">
        <f>$F$38*'[5]direct emissions'!AA39</f>
        <v>0</v>
      </c>
      <c r="AJ30" s="78">
        <f>$F$38*'[5]direct emissions'!AB39</f>
        <v>0</v>
      </c>
      <c r="AK30" s="78">
        <f>$F$38*'[5]direct emissions'!AC39</f>
        <v>0.18068339137959935</v>
      </c>
      <c r="AL30" s="78">
        <f>$F$38*'[5]direct emissions'!AD39</f>
        <v>0</v>
      </c>
      <c r="AM30" s="78">
        <f>$F$38*'[5]direct emissions'!AE39</f>
        <v>0</v>
      </c>
      <c r="AN30" s="78">
        <f>$F$38*'[5]direct emissions'!AF39</f>
        <v>4.9676467749457921E-2</v>
      </c>
      <c r="AO30" s="78">
        <f>$F$38*'[5]direct emissions'!AG39</f>
        <v>1.5299897532444672E-4</v>
      </c>
      <c r="AP30" s="78">
        <f>$F$38*'[5]direct emissions'!AH39</f>
        <v>0</v>
      </c>
      <c r="AQ30" s="70"/>
    </row>
    <row r="31" spans="1:43">
      <c r="A31" s="65" t="s">
        <v>14</v>
      </c>
      <c r="B31" s="63"/>
      <c r="C31" s="63"/>
      <c r="D31" s="63"/>
      <c r="E31" s="63"/>
      <c r="K31" s="76" t="s">
        <v>148</v>
      </c>
      <c r="L31" s="73"/>
      <c r="M31" s="73"/>
      <c r="N31" s="73"/>
      <c r="O31" s="73"/>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row>
    <row r="32" spans="1:43">
      <c r="A32" s="1" t="s">
        <v>17</v>
      </c>
      <c r="B32" s="1"/>
      <c r="C32" s="1"/>
      <c r="D32" s="1"/>
      <c r="E32" s="1"/>
      <c r="F32" s="64">
        <f>F7</f>
        <v>5.0669925093632957E-3</v>
      </c>
      <c r="G32" s="63" t="s">
        <v>154</v>
      </c>
      <c r="K32" s="76" t="s">
        <v>159</v>
      </c>
      <c r="L32" s="73"/>
      <c r="M32" s="73"/>
      <c r="N32" s="73"/>
      <c r="O32" s="73"/>
      <c r="P32" s="73"/>
      <c r="Q32" s="73"/>
      <c r="R32" s="73"/>
      <c r="S32" s="73"/>
      <c r="T32" s="73"/>
      <c r="U32" s="73"/>
      <c r="V32" s="73"/>
      <c r="W32" s="73"/>
      <c r="X32" s="73"/>
      <c r="Y32" s="73"/>
      <c r="Z32" s="73"/>
      <c r="AA32" s="73"/>
      <c r="AB32" s="73"/>
      <c r="AC32" s="73"/>
      <c r="AD32" s="73"/>
      <c r="AE32" s="73"/>
      <c r="AF32" s="73"/>
      <c r="AG32" s="73"/>
      <c r="AH32" s="73"/>
      <c r="AI32" s="73"/>
      <c r="AJ32" s="73"/>
      <c r="AK32" s="73"/>
      <c r="AL32" s="73"/>
      <c r="AM32" s="73"/>
      <c r="AN32" s="73"/>
      <c r="AO32" s="73"/>
      <c r="AP32" s="73"/>
    </row>
    <row r="33" spans="1:43">
      <c r="A33" s="1" t="s">
        <v>10</v>
      </c>
      <c r="B33" s="1"/>
      <c r="C33" s="1"/>
      <c r="D33" s="1"/>
      <c r="E33" s="1"/>
      <c r="F33" s="64">
        <f>F11</f>
        <v>1.6601556588432577E-3</v>
      </c>
      <c r="G33" s="63" t="s">
        <v>154</v>
      </c>
    </row>
    <row r="34" spans="1:43">
      <c r="A34" s="1" t="s">
        <v>20</v>
      </c>
      <c r="B34" s="1"/>
      <c r="C34" s="1"/>
      <c r="D34" s="1"/>
      <c r="E34" s="1"/>
      <c r="F34" s="64">
        <f>F12</f>
        <v>1.0138636601863113E-4</v>
      </c>
      <c r="G34" s="63" t="s">
        <v>154</v>
      </c>
    </row>
    <row r="35" spans="1:43">
      <c r="A35" s="63" t="s">
        <v>151</v>
      </c>
      <c r="B35" s="1"/>
      <c r="C35" s="1"/>
      <c r="D35" s="1"/>
      <c r="E35" s="1"/>
      <c r="F35" s="64">
        <f>F16</f>
        <v>3.8338771094381212E-3</v>
      </c>
      <c r="G35" s="63" t="s">
        <v>154</v>
      </c>
    </row>
    <row r="36" spans="1:43">
      <c r="A36" s="1" t="s">
        <v>81</v>
      </c>
      <c r="B36" s="1"/>
      <c r="C36" s="1"/>
      <c r="D36" s="1"/>
      <c r="E36" s="1"/>
      <c r="F36" s="64">
        <f>F20</f>
        <v>9.9720896265560196E-5</v>
      </c>
      <c r="G36" s="63" t="s">
        <v>154</v>
      </c>
    </row>
    <row r="37" spans="1:43">
      <c r="A37" s="1" t="s">
        <v>82</v>
      </c>
      <c r="B37" s="1"/>
      <c r="C37" s="1"/>
      <c r="D37" s="1"/>
      <c r="E37" s="1"/>
      <c r="F37" s="64">
        <f>F22</f>
        <v>4.0236348547717854E-3</v>
      </c>
      <c r="G37" s="63" t="s">
        <v>154</v>
      </c>
      <c r="K37" s="63" t="s">
        <v>76</v>
      </c>
      <c r="L37" s="70">
        <f>$F$43/1000*[5]production!D3</f>
        <v>1.2757696199999999E-4</v>
      </c>
      <c r="M37" s="70">
        <f>$F$43/1000*[5]production!E3</f>
        <v>3.1359513000000006E-5</v>
      </c>
      <c r="N37" s="70">
        <f>$F$43/1000*[5]production!F3</f>
        <v>8.4592602000000013E-4</v>
      </c>
      <c r="O37" s="70">
        <f>$F$43/1000*[5]production!G3</f>
        <v>1.5608373600000002E-6</v>
      </c>
      <c r="P37" s="70">
        <f>$F$43/1000*[5]production!H3</f>
        <v>1.2239719200000002E-4</v>
      </c>
      <c r="Q37" s="70">
        <f>$F$43/1000*[5]production!I3</f>
        <v>1.5501685800000001E-7</v>
      </c>
      <c r="R37" s="70">
        <f>$F$43/1000*[5]production!J3</f>
        <v>1.0602808800000001E-6</v>
      </c>
      <c r="S37" s="70">
        <f>$F$43/1000*[5]production!K3</f>
        <v>5.6425992000000003E-5</v>
      </c>
      <c r="T37" s="70">
        <f>$F$43/1000*[5]production!L3</f>
        <v>7.2362160000000007E-6</v>
      </c>
      <c r="U37" s="70">
        <f>$F$43/1000*[5]production!M3</f>
        <v>1.0661210680980003E-3</v>
      </c>
      <c r="V37" s="70">
        <f>$F$43/1000*[5]production!N3</f>
        <v>4.5807721199999999E-6</v>
      </c>
      <c r="W37" s="70">
        <f>$F$43/1000*[5]production!O3</f>
        <v>1.1673294600000001E-4</v>
      </c>
      <c r="X37" s="70">
        <f>$F$43/1000*[5]production!P3</f>
        <v>2.0171209800000002E-5</v>
      </c>
      <c r="Y37" s="70">
        <f>$F$43/1000*[5]production!Q3</f>
        <v>1.7836447800000002E-6</v>
      </c>
      <c r="Z37" s="70">
        <f>$F$43/1000*[5]production!R3</f>
        <v>7.2485856000000006E-7</v>
      </c>
      <c r="AA37" s="70">
        <f>$F$43/1000*[5]production!S3</f>
        <v>1.6467545400000001E-3</v>
      </c>
      <c r="AB37" s="70">
        <f>$F$43/1000*[5]production!T3</f>
        <v>8.1773364000000004E-6</v>
      </c>
      <c r="AC37" s="70">
        <f>$F$43/1000*[5]production!U3</f>
        <v>1.6016055E-3</v>
      </c>
      <c r="AD37" s="70">
        <f>$F$43/1000*[5]production!V3</f>
        <v>6.7182390000000003E-6</v>
      </c>
      <c r="AE37" s="70">
        <f>$F$43/1000*[5]production!W3</f>
        <v>9.001976400000002E-6</v>
      </c>
      <c r="AF37" s="70">
        <f>$F$43/1000*[5]production!X3</f>
        <v>9.3617256000000016E-9</v>
      </c>
      <c r="AG37" s="70">
        <f>$F$43/1000*[5]production!Y3</f>
        <v>9.4591362000000011E-12</v>
      </c>
      <c r="AH37" s="70">
        <f>$F$43/1000*[5]production!Z3</f>
        <v>2.6064808800000005E-7</v>
      </c>
      <c r="AI37" s="70">
        <f>$F$43/1000*[5]production!AA3</f>
        <v>3.0646199400000004E-7</v>
      </c>
      <c r="AJ37" s="70">
        <f>$F$43/1000*[5]production!AB3</f>
        <v>5.3446980000000006E-7</v>
      </c>
      <c r="AK37" s="70">
        <f>$F$43/1000*[5]production!AC3</f>
        <v>7.1202510000000002E-8</v>
      </c>
      <c r="AL37" s="70">
        <f>$F$43/1000*[5]production!AD3</f>
        <v>1.2040259400000001E-6</v>
      </c>
      <c r="AM37" s="70">
        <f>$F$43/1000*[5]production!AE3</f>
        <v>5.488494600000001E-7</v>
      </c>
      <c r="AN37" s="70">
        <f>$F$43/1000*[5]production!AF3</f>
        <v>5.2287330000000007E-6</v>
      </c>
      <c r="AO37" s="70">
        <f>$F$43/1000*[5]production!AG3</f>
        <v>1.58258724E-5</v>
      </c>
      <c r="AP37" s="70">
        <f>$F$43/1000*[5]production!AH3</f>
        <v>2.8364008200000001E-6</v>
      </c>
      <c r="AQ37" s="70"/>
    </row>
    <row r="38" spans="1:43">
      <c r="A38" s="76" t="s">
        <v>147</v>
      </c>
      <c r="B38" s="76"/>
      <c r="C38" s="76"/>
      <c r="D38" s="76"/>
      <c r="E38" s="76"/>
      <c r="F38" s="77">
        <f>F25*(1-E25)</f>
        <v>4.3008E-4</v>
      </c>
      <c r="G38" s="63" t="s">
        <v>154</v>
      </c>
      <c r="K38" s="65" t="s">
        <v>34</v>
      </c>
      <c r="L38" s="71">
        <f>SUM(L3:L23)+L37</f>
        <v>17.560826511649616</v>
      </c>
      <c r="M38" s="71">
        <f t="shared" ref="M38:AP38" si="1">SUM(M3:M23)+M37</f>
        <v>0.16532480432687638</v>
      </c>
      <c r="N38" s="71">
        <f t="shared" si="1"/>
        <v>13.473940876096135</v>
      </c>
      <c r="O38" s="71">
        <f t="shared" si="1"/>
        <v>8.3366593238816348E-3</v>
      </c>
      <c r="P38" s="71">
        <f t="shared" si="1"/>
        <v>0.85404552023745051</v>
      </c>
      <c r="Q38" s="71">
        <f t="shared" si="1"/>
        <v>5.8885778922774222E-4</v>
      </c>
      <c r="R38" s="71">
        <f t="shared" si="1"/>
        <v>9.9536451415204767E-5</v>
      </c>
      <c r="S38" s="71">
        <f t="shared" si="1"/>
        <v>0.28555592163387006</v>
      </c>
      <c r="T38" s="71">
        <f t="shared" si="1"/>
        <v>4.4333586963092211E-2</v>
      </c>
      <c r="U38" s="71">
        <f t="shared" si="1"/>
        <v>307.65702707565401</v>
      </c>
      <c r="V38" s="71">
        <f t="shared" si="1"/>
        <v>8.4890891155404546E-2</v>
      </c>
      <c r="W38" s="71">
        <f t="shared" si="1"/>
        <v>16.520477731032233</v>
      </c>
      <c r="X38" s="71">
        <f t="shared" si="1"/>
        <v>7.2030342504432605</v>
      </c>
      <c r="Y38" s="71">
        <f t="shared" si="1"/>
        <v>0.11230741563968709</v>
      </c>
      <c r="Z38" s="71">
        <f t="shared" si="1"/>
        <v>1.4130400157406438E-3</v>
      </c>
      <c r="AA38" s="71">
        <f t="shared" si="1"/>
        <v>187.01930467939653</v>
      </c>
      <c r="AB38" s="71">
        <f t="shared" si="1"/>
        <v>0.21678133830371724</v>
      </c>
      <c r="AC38" s="71">
        <f t="shared" si="1"/>
        <v>119.71172057663144</v>
      </c>
      <c r="AD38" s="71">
        <f t="shared" si="1"/>
        <v>1.5694815603715249E-2</v>
      </c>
      <c r="AE38" s="71">
        <f t="shared" si="1"/>
        <v>0.87534565871986025</v>
      </c>
      <c r="AF38" s="71">
        <f t="shared" si="1"/>
        <v>2.6964553863853859E-3</v>
      </c>
      <c r="AG38" s="71">
        <f t="shared" si="1"/>
        <v>1.4634162361393406E-6</v>
      </c>
      <c r="AH38" s="71">
        <f t="shared" si="1"/>
        <v>2.1559931707191112E-2</v>
      </c>
      <c r="AI38" s="71">
        <f t="shared" si="1"/>
        <v>5.2466772715011191E-2</v>
      </c>
      <c r="AJ38" s="71">
        <f t="shared" si="1"/>
        <v>7.5650608715969153E-2</v>
      </c>
      <c r="AK38" s="71">
        <f t="shared" si="1"/>
        <v>0.18951591994146727</v>
      </c>
      <c r="AL38" s="71">
        <f t="shared" si="1"/>
        <v>2.0282406683701133E-2</v>
      </c>
      <c r="AM38" s="71">
        <f t="shared" si="1"/>
        <v>1.2034349502290971E-2</v>
      </c>
      <c r="AN38" s="71">
        <f t="shared" si="1"/>
        <v>0.56709982112411406</v>
      </c>
      <c r="AO38" s="71">
        <f t="shared" si="1"/>
        <v>1.8969161810281583</v>
      </c>
      <c r="AP38" s="71">
        <f t="shared" si="1"/>
        <v>0.90436727609937539</v>
      </c>
    </row>
    <row r="39" spans="1:43">
      <c r="A39" s="76" t="str">
        <f>A26</f>
        <v>Ar</v>
      </c>
      <c r="B39" s="76"/>
      <c r="C39" s="76"/>
      <c r="D39" s="76"/>
      <c r="E39" s="76"/>
      <c r="F39" s="77">
        <f>F26</f>
        <v>6.4872727272727262E-2</v>
      </c>
      <c r="G39" s="63" t="s">
        <v>154</v>
      </c>
    </row>
    <row r="40" spans="1:43">
      <c r="A40" s="76" t="str">
        <f>A27</f>
        <v>O2</v>
      </c>
      <c r="B40" s="76"/>
      <c r="C40" s="76"/>
      <c r="D40" s="76"/>
      <c r="E40" s="76"/>
      <c r="F40" s="77">
        <f>F27</f>
        <v>6.4872727272727269E-5</v>
      </c>
      <c r="G40" s="63" t="s">
        <v>154</v>
      </c>
    </row>
    <row r="41" spans="1:43">
      <c r="A41" s="65" t="s">
        <v>15</v>
      </c>
      <c r="B41" s="63"/>
      <c r="C41" s="63"/>
      <c r="D41" s="63"/>
      <c r="E41" s="63"/>
      <c r="F41" s="64">
        <f>SUM(F4:F30)-SUM(F32:F40)-F43</f>
        <v>1.6243204574952383</v>
      </c>
      <c r="K41" s="63" t="s">
        <v>160</v>
      </c>
      <c r="L41" s="70">
        <f>$F$41*[5]production!D104</f>
        <v>8.8134003703234133E-3</v>
      </c>
      <c r="M41" s="70">
        <f>$F$41*[5]production!E104</f>
        <v>6.7479144765724688E-4</v>
      </c>
      <c r="N41" s="70">
        <f>$F$41*[5]production!F104</f>
        <v>0.27619945059249035</v>
      </c>
      <c r="O41" s="70">
        <f>$F$41*[5]production!G104</f>
        <v>3.3404150208389578E-5</v>
      </c>
      <c r="P41" s="70">
        <f>$F$41*[5]production!H104</f>
        <v>3.659269126645273E-3</v>
      </c>
      <c r="Q41" s="70">
        <f>$F$41*[5]production!I104</f>
        <v>2.0905004287963715E-6</v>
      </c>
      <c r="R41" s="70">
        <f>$F$41*[5]production!J104</f>
        <v>5.7781951634478114E-6</v>
      </c>
      <c r="S41" s="70">
        <f>$F$41*[5]production!K104</f>
        <v>1.2860557222218549E-3</v>
      </c>
      <c r="T41" s="70">
        <f>$F$41*[5]production!L104</f>
        <v>2.1226619738547772E-4</v>
      </c>
      <c r="U41" s="70">
        <f>$F$41*[5]production!M104</f>
        <v>0.28207310593220081</v>
      </c>
      <c r="V41" s="70">
        <f>$F$41*[5]production!N104</f>
        <v>4.5565437473656421E-4</v>
      </c>
      <c r="W41" s="70">
        <f>$F$41*[5]production!O104</f>
        <v>8.2941051200621854E-3</v>
      </c>
      <c r="X41" s="70">
        <f>$F$41*[5]production!P104</f>
        <v>6.5747619158034766E-3</v>
      </c>
      <c r="Y41" s="70">
        <f>$F$41*[5]production!Q104</f>
        <v>4.0583646630518527E-5</v>
      </c>
      <c r="Z41" s="70">
        <f>$F$41*[5]production!R104</f>
        <v>9.7751605132063443E-7</v>
      </c>
      <c r="AA41" s="70">
        <f>$F$41*[5]production!S104</f>
        <v>6.2520094408991728E-2</v>
      </c>
      <c r="AB41" s="70">
        <f>$F$41*[5]production!T104</f>
        <v>1.2061391557130893E-3</v>
      </c>
      <c r="AC41" s="70">
        <f>$F$41*[5]production!U104</f>
        <v>4.4345572810077498E-2</v>
      </c>
      <c r="AD41" s="70">
        <f>$F$41*[5]production!V104</f>
        <v>2.8079627748720183E-5</v>
      </c>
      <c r="AE41" s="70">
        <f>$F$41*[5]production!W104</f>
        <v>3.4214686116679698E-4</v>
      </c>
      <c r="AF41" s="70">
        <f>$F$41*[5]production!X104</f>
        <v>-6.4657700131055454E-5</v>
      </c>
      <c r="AG41" s="70">
        <f>$F$41*[5]production!Y104</f>
        <v>3.099203432900915E-9</v>
      </c>
      <c r="AH41" s="70">
        <f>$F$41*[5]production!Z104</f>
        <v>2.9664964515235539E-5</v>
      </c>
      <c r="AI41" s="70">
        <f>$F$41*[5]production!AA104</f>
        <v>8.9704721585632033E-5</v>
      </c>
      <c r="AJ41" s="70">
        <f>$F$41*[5]production!AB104</f>
        <v>7.5046853777195006E-5</v>
      </c>
      <c r="AK41" s="70">
        <f>$F$41*[5]production!AC104</f>
        <v>9.0474649482484776E-6</v>
      </c>
      <c r="AL41" s="70">
        <f>$F$41*[5]production!AD104</f>
        <v>1.6605428036973822E-3</v>
      </c>
      <c r="AM41" s="70">
        <f>$F$41*[5]production!AE104</f>
        <v>1.1992033073595845E-5</v>
      </c>
      <c r="AN41" s="70">
        <f>$F$41*[5]production!AF104</f>
        <v>6.7534371661279527E-4</v>
      </c>
      <c r="AO41" s="70">
        <f>$F$41*[5]production!AG104</f>
        <v>7.8011238612123808E-4</v>
      </c>
      <c r="AP41" s="70">
        <f>$F$41*[5]production!AH104</f>
        <v>8.0429851773334226E-4</v>
      </c>
    </row>
    <row r="43" spans="1:43">
      <c r="A43" s="65" t="s">
        <v>153</v>
      </c>
      <c r="F43" s="64">
        <f>F8+F23</f>
        <v>5.1540000000000002E-2</v>
      </c>
      <c r="G43" s="63" t="s">
        <v>155</v>
      </c>
    </row>
  </sheetData>
  <mergeCells count="10">
    <mergeCell ref="L1:L2"/>
    <mergeCell ref="M1:U1"/>
    <mergeCell ref="V1:AM1"/>
    <mergeCell ref="AN1:AP1"/>
    <mergeCell ref="A1:A2"/>
    <mergeCell ref="B1:B2"/>
    <mergeCell ref="C1:C2"/>
    <mergeCell ref="D1:D2"/>
    <mergeCell ref="E1:E2"/>
    <mergeCell ref="F1:F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65589-257D-4152-9D9D-32ED2294AB59}">
  <dimension ref="A1:AM20"/>
  <sheetViews>
    <sheetView zoomScale="85" zoomScaleNormal="85" workbookViewId="0">
      <selection activeCell="G26" sqref="G26"/>
    </sheetView>
  </sheetViews>
  <sheetFormatPr defaultRowHeight="15"/>
  <cols>
    <col min="2" max="2" width="32.140625" customWidth="1"/>
    <col min="3" max="7" width="22.5703125" customWidth="1"/>
    <col min="8" max="8" width="23.140625" customWidth="1"/>
    <col min="10" max="17" width="0" hidden="1" customWidth="1"/>
  </cols>
  <sheetData>
    <row r="1" spans="1:39">
      <c r="I1" s="91" t="s">
        <v>36</v>
      </c>
      <c r="J1" s="92" t="s">
        <v>37</v>
      </c>
      <c r="K1" s="92"/>
      <c r="L1" s="92"/>
      <c r="M1" s="92"/>
      <c r="N1" s="92"/>
      <c r="O1" s="92"/>
      <c r="P1" s="92"/>
      <c r="Q1" s="92"/>
      <c r="R1" s="92"/>
      <c r="S1" s="93" t="s">
        <v>38</v>
      </c>
      <c r="T1" s="93"/>
      <c r="U1" s="93"/>
      <c r="V1" s="93"/>
      <c r="W1" s="93"/>
      <c r="X1" s="93"/>
      <c r="Y1" s="93"/>
      <c r="Z1" s="93"/>
      <c r="AA1" s="93"/>
      <c r="AB1" s="93"/>
      <c r="AC1" s="93"/>
      <c r="AD1" s="93"/>
      <c r="AE1" s="93"/>
      <c r="AF1" s="93"/>
      <c r="AG1" s="93"/>
      <c r="AH1" s="93"/>
      <c r="AI1" s="93"/>
      <c r="AJ1" s="93"/>
      <c r="AK1" s="92" t="s">
        <v>39</v>
      </c>
      <c r="AL1" s="92"/>
      <c r="AM1" s="92"/>
    </row>
    <row r="2" spans="1:39" ht="15.75" thickBot="1">
      <c r="A2" s="36" t="s">
        <v>150</v>
      </c>
      <c r="C2" t="s">
        <v>25</v>
      </c>
      <c r="D2" t="s">
        <v>26</v>
      </c>
      <c r="E2" t="s">
        <v>27</v>
      </c>
      <c r="I2" s="91"/>
      <c r="J2" s="7" t="s">
        <v>40</v>
      </c>
      <c r="K2" s="7" t="s">
        <v>41</v>
      </c>
      <c r="L2" s="7" t="s">
        <v>42</v>
      </c>
      <c r="M2" s="7" t="s">
        <v>43</v>
      </c>
      <c r="N2" s="7" t="s">
        <v>44</v>
      </c>
      <c r="O2" s="7" t="s">
        <v>45</v>
      </c>
      <c r="P2" s="7" t="s">
        <v>46</v>
      </c>
      <c r="Q2" s="7" t="s">
        <v>47</v>
      </c>
      <c r="R2" s="7" t="s">
        <v>48</v>
      </c>
      <c r="S2" s="7" t="s">
        <v>49</v>
      </c>
      <c r="T2" s="7" t="s">
        <v>50</v>
      </c>
      <c r="U2" s="7" t="s">
        <v>51</v>
      </c>
      <c r="V2" s="7" t="s">
        <v>52</v>
      </c>
      <c r="W2" s="7" t="s">
        <v>53</v>
      </c>
      <c r="X2" s="7" t="s">
        <v>54</v>
      </c>
      <c r="Y2" s="7" t="s">
        <v>55</v>
      </c>
      <c r="Z2" s="7" t="s">
        <v>56</v>
      </c>
      <c r="AA2" s="7" t="s">
        <v>57</v>
      </c>
      <c r="AB2" s="7" t="s">
        <v>58</v>
      </c>
      <c r="AC2" s="7" t="s">
        <v>59</v>
      </c>
      <c r="AD2" s="7" t="s">
        <v>60</v>
      </c>
      <c r="AE2" s="7" t="s">
        <v>61</v>
      </c>
      <c r="AF2" s="7" t="s">
        <v>62</v>
      </c>
      <c r="AG2" s="7" t="s">
        <v>63</v>
      </c>
      <c r="AH2" s="7" t="s">
        <v>64</v>
      </c>
      <c r="AI2" s="7" t="s">
        <v>65</v>
      </c>
      <c r="AJ2" s="7" t="s">
        <v>66</v>
      </c>
      <c r="AK2" s="8" t="s">
        <v>67</v>
      </c>
      <c r="AL2" s="8" t="s">
        <v>68</v>
      </c>
      <c r="AM2" s="8" t="s">
        <v>69</v>
      </c>
    </row>
    <row r="3" spans="1:39">
      <c r="B3" s="40" t="s">
        <v>28</v>
      </c>
      <c r="C3" s="41"/>
      <c r="D3" s="42"/>
      <c r="E3" s="41"/>
      <c r="F3" s="43"/>
      <c r="H3" t="s">
        <v>145</v>
      </c>
      <c r="I3">
        <f>$F4*[2]production!D$7</f>
        <v>1.6328160013062525E-2</v>
      </c>
      <c r="J3">
        <f>$F4*[2]production!E$7</f>
        <v>1.3259960010607967E-4</v>
      </c>
      <c r="K3">
        <f>$F4*[2]production!F$7</f>
        <v>0.28575200022860153</v>
      </c>
      <c r="L3">
        <f>$F4*[2]production!G$7</f>
        <v>9.3718100074974457E-6</v>
      </c>
      <c r="M3">
        <f>$F4*[2]production!H$7</f>
        <v>9.8603300078882613E-4</v>
      </c>
      <c r="N3">
        <f>$F4*[2]production!I$7</f>
        <v>1.0729040008583231E-6</v>
      </c>
      <c r="O3">
        <f>$F4*[2]production!J$7</f>
        <v>6.4542600051634072E-8</v>
      </c>
      <c r="P3">
        <f>$F4*[2]production!K$7</f>
        <v>3.8375500030700388E-4</v>
      </c>
      <c r="Q3">
        <f>$F4*[2]production!L$7</f>
        <v>4.1965800033572636E-5</v>
      </c>
      <c r="R3">
        <f>$F4*[2]production!M$7</f>
        <v>0.28730686288644547</v>
      </c>
      <c r="S3">
        <f>$F4*[2]production!N$7</f>
        <v>1.8693710014954964E-5</v>
      </c>
      <c r="T3">
        <f>$F4*[2]production!O$7</f>
        <v>1.5409770012327814E-2</v>
      </c>
      <c r="U3">
        <f>$F4*[2]production!P$7</f>
        <v>6.8057000054445585E-3</v>
      </c>
      <c r="V3">
        <f>$F4*[2]production!Q$7</f>
        <v>5.8673000046938391E-5</v>
      </c>
      <c r="W3">
        <f>$F4*[2]production!R$7</f>
        <v>2.8632700022906155E-7</v>
      </c>
      <c r="X3">
        <f>$F4*[2]production!S$7</f>
        <v>0.12002550009602038</v>
      </c>
      <c r="Y3">
        <f>$F4*[2]production!T$7</f>
        <v>9.7129000077703195E-5</v>
      </c>
      <c r="Z3">
        <f>$F4*[2]production!U$7</f>
        <v>3.6096200028876951E-2</v>
      </c>
      <c r="AA3">
        <f>$F4*[2]production!V$7</f>
        <v>1.4139250011311397E-5</v>
      </c>
      <c r="AB3">
        <f>$F4*[2]production!W$7</f>
        <v>6.8977000055181581E-5</v>
      </c>
      <c r="AC3">
        <f>$F4*[2]production!X$7</f>
        <v>2.5380500020304394E-6</v>
      </c>
      <c r="AD3">
        <f>$F4*[2]production!Y$7</f>
        <v>1.3637620010910093E-9</v>
      </c>
      <c r="AE3">
        <f>$F4*[2]production!Z$7</f>
        <v>1.7218260013774604E-5</v>
      </c>
      <c r="AF3">
        <f>$F4*[2]production!AA$7</f>
        <v>4.6312800037050232E-5</v>
      </c>
      <c r="AG3">
        <f>$F4*[2]production!AB$7</f>
        <v>6.6700000053359981E-5</v>
      </c>
      <c r="AH3">
        <f>$F4*[2]production!AC$7</f>
        <v>1.1937690009550149E-6</v>
      </c>
      <c r="AI3">
        <f>$F4*[2]production!AD$7</f>
        <v>7.3625300058900238E-6</v>
      </c>
      <c r="AJ3">
        <f>$F4*[2]production!AE$7</f>
        <v>1.844278001475422E-6</v>
      </c>
      <c r="AK3">
        <f>$F4*[2]production!AF$7</f>
        <v>4.5112200036089749E-4</v>
      </c>
      <c r="AL3">
        <f>$F4*[2]production!AG$7</f>
        <v>1.3910860011128686E-3</v>
      </c>
      <c r="AM3">
        <f>$F4*[2]production!AH$7</f>
        <v>8.1928300065542631E-4</v>
      </c>
    </row>
    <row r="4" spans="1:39" ht="15.75" thickBot="1">
      <c r="B4" s="44" t="s">
        <v>145</v>
      </c>
      <c r="C4" s="45">
        <v>138</v>
      </c>
      <c r="D4" s="46">
        <f>60*10</f>
        <v>600</v>
      </c>
      <c r="E4" s="45">
        <f>C4*D4/1000000</f>
        <v>8.2799999999999999E-2</v>
      </c>
      <c r="F4" s="47">
        <f>E4*0.277777778</f>
        <v>2.3000000018399996E-2</v>
      </c>
      <c r="H4" t="s">
        <v>84</v>
      </c>
      <c r="I4">
        <f>$F6*[2]production!D$7</f>
        <v>1.4790000011831998E-2</v>
      </c>
      <c r="J4">
        <f>$F6*[2]production!E$7</f>
        <v>1.2010833342941998E-4</v>
      </c>
      <c r="K4">
        <f>$F6*[2]production!F$7</f>
        <v>0.25883333354039995</v>
      </c>
      <c r="L4">
        <f>$F6*[2]production!G$7</f>
        <v>8.488958340124499E-6</v>
      </c>
      <c r="M4">
        <f>$F6*[2]production!H$7</f>
        <v>8.931458340478498E-4</v>
      </c>
      <c r="N4">
        <f>$F6*[2]production!I$7</f>
        <v>9.718333341107997E-7</v>
      </c>
      <c r="O4">
        <f>$F6*[2]production!J$7</f>
        <v>5.8462500046769988E-8</v>
      </c>
      <c r="P4">
        <f>$F6*[2]production!K$7</f>
        <v>3.4760416694474991E-4</v>
      </c>
      <c r="Q4">
        <f>$F6*[2]production!L$7</f>
        <v>3.8012500030409996E-5</v>
      </c>
      <c r="R4">
        <f>$F6*[2]production!M$7</f>
        <v>0.2602417236290267</v>
      </c>
      <c r="S4">
        <f>$F6*[2]production!N$7</f>
        <v>1.6932708346879497E-5</v>
      </c>
      <c r="T4">
        <f>$F6*[2]production!O$7</f>
        <v>1.3958125011166497E-2</v>
      </c>
      <c r="U4">
        <f>$F6*[2]production!P$7</f>
        <v>6.1645833382649989E-3</v>
      </c>
      <c r="V4">
        <f>$F6*[2]production!Q$7</f>
        <v>5.3145833375849992E-5</v>
      </c>
      <c r="W4">
        <f>$F6*[2]production!R$7</f>
        <v>2.5935416687414999E-7</v>
      </c>
      <c r="X4">
        <f>$F6*[2]production!S$7</f>
        <v>0.10871875008697497</v>
      </c>
      <c r="Y4">
        <f>$F6*[2]production!T$7</f>
        <v>8.7979166737049995E-5</v>
      </c>
      <c r="Z4">
        <f>$F6*[2]production!U$7</f>
        <v>3.2695833359489994E-2</v>
      </c>
      <c r="AA4">
        <f>$F6*[2]production!V$7</f>
        <v>1.2807291676912498E-5</v>
      </c>
      <c r="AB4">
        <f>$F6*[2]production!W$7</f>
        <v>6.2479166716649989E-5</v>
      </c>
      <c r="AC4">
        <f>$F6*[2]production!X$7</f>
        <v>2.2989583351724996E-6</v>
      </c>
      <c r="AD4">
        <f>$F6*[2]production!Y$7</f>
        <v>1.2352916676548999E-9</v>
      </c>
      <c r="AE4">
        <f>$F6*[2]production!Z$7</f>
        <v>1.5596250012476997E-5</v>
      </c>
      <c r="AF4">
        <f>$F6*[2]production!AA$7</f>
        <v>4.1950000033559991E-5</v>
      </c>
      <c r="AG4">
        <f>$F6*[2]production!AB$7</f>
        <v>6.0416666714999987E-5</v>
      </c>
      <c r="AH4">
        <f>$F6*[2]production!AC$7</f>
        <v>1.0813125008650499E-6</v>
      </c>
      <c r="AI4">
        <f>$F6*[2]production!AD$7</f>
        <v>6.6689583386684999E-6</v>
      </c>
      <c r="AJ4">
        <f>$F6*[2]production!AE$7</f>
        <v>1.6705416680030996E-6</v>
      </c>
      <c r="AK4">
        <f>$F6*[2]production!AF$7</f>
        <v>4.0862500032689994E-4</v>
      </c>
      <c r="AL4">
        <f>$F6*[2]production!AG$7</f>
        <v>1.2600416676746998E-3</v>
      </c>
      <c r="AM4">
        <f>$F6*[2]production!AH$7</f>
        <v>7.4210416726034993E-4</v>
      </c>
    </row>
    <row r="5" spans="1:39">
      <c r="B5" s="40" t="s">
        <v>29</v>
      </c>
      <c r="C5" s="48"/>
      <c r="D5" s="42"/>
      <c r="E5" s="48"/>
      <c r="F5" s="49"/>
      <c r="H5" t="s">
        <v>88</v>
      </c>
      <c r="I5">
        <f>$F7*[2]production!D$7</f>
        <v>4.5637714322224454</v>
      </c>
      <c r="J5">
        <f>$F7*[2]production!E$7</f>
        <v>3.7062000029649593E-2</v>
      </c>
      <c r="K5">
        <f>$F7*[2]production!F$7</f>
        <v>79.868571492466273</v>
      </c>
      <c r="L5">
        <f>$F7*[2]production!G$7</f>
        <v>2.6194500020955596E-3</v>
      </c>
      <c r="M5">
        <f>$F7*[2]production!H$7</f>
        <v>0.27559928593476507</v>
      </c>
      <c r="N5">
        <f>$F7*[2]production!I$7</f>
        <v>2.9988000023990394E-4</v>
      </c>
      <c r="O5">
        <f>$F7*[2]production!J$7</f>
        <v>1.8039857157289026E-5</v>
      </c>
      <c r="P5">
        <f>$F7*[2]production!K$7</f>
        <v>0.10726071437152283</v>
      </c>
      <c r="Q5">
        <f>$F7*[2]production!L$7</f>
        <v>1.1729571437955085E-2</v>
      </c>
      <c r="R5">
        <f>$F7*[2]production!M$7</f>
        <v>80.303160434099667</v>
      </c>
      <c r="S5">
        <f>$F7*[2]production!N$7</f>
        <v>5.2249500041799592E-3</v>
      </c>
      <c r="T5">
        <f>$F7*[2]production!O$7</f>
        <v>4.3070785748742333</v>
      </c>
      <c r="U5">
        <f>$F7*[2]production!P$7</f>
        <v>1.9022142872360568</v>
      </c>
      <c r="V5">
        <f>$F7*[2]production!Q$7</f>
        <v>1.6399285727405139E-2</v>
      </c>
      <c r="W5">
        <f>$F7*[2]production!R$7</f>
        <v>8.0029285778309141E-5</v>
      </c>
      <c r="X5">
        <f>$F7*[2]production!S$7</f>
        <v>33.547500026837994</v>
      </c>
      <c r="Y5">
        <f>$F7*[2]production!T$7</f>
        <v>2.7147857164575427E-2</v>
      </c>
      <c r="Z5">
        <f>$F7*[2]production!U$7</f>
        <v>10.089000008071197</v>
      </c>
      <c r="AA5">
        <f>$F7*[2]production!V$7</f>
        <v>3.951964288875856E-3</v>
      </c>
      <c r="AB5">
        <f>$F7*[2]production!W$7</f>
        <v>1.9279285729709141E-2</v>
      </c>
      <c r="AC5">
        <f>$F7*[2]production!X$7</f>
        <v>7.0939285771037136E-4</v>
      </c>
      <c r="AD5">
        <f>$F7*[2]production!Y$7</f>
        <v>3.8117571459065481E-7</v>
      </c>
      <c r="AE5">
        <f>$F7*[2]production!Z$7</f>
        <v>4.8125571467071875E-3</v>
      </c>
      <c r="AF5">
        <f>$F7*[2]production!AA$7</f>
        <v>1.2944571438927084E-2</v>
      </c>
      <c r="AG5">
        <f>$F7*[2]production!AB$7</f>
        <v>1.8642857157771423E-2</v>
      </c>
      <c r="AH5">
        <f>$F7*[2]production!AC$7</f>
        <v>3.3366214312407252E-4</v>
      </c>
      <c r="AI5">
        <f>$F7*[2]production!AD$7</f>
        <v>2.0578500016462799E-3</v>
      </c>
      <c r="AJ5">
        <f>$F7*[2]production!AE$7</f>
        <v>5.1548142898381357E-4</v>
      </c>
      <c r="AK5">
        <f>$F7*[2]production!AF$7</f>
        <v>0.12609000010087199</v>
      </c>
      <c r="AL5">
        <f>$F7*[2]production!AG$7</f>
        <v>0.38881285745390737</v>
      </c>
      <c r="AM5">
        <f>$F7*[2]production!AH$7</f>
        <v>0.22899214304033655</v>
      </c>
    </row>
    <row r="6" spans="1:39">
      <c r="B6" s="50" t="s">
        <v>144</v>
      </c>
      <c r="C6" s="37">
        <v>2500</v>
      </c>
      <c r="D6" s="38">
        <f>1/120*3600</f>
        <v>30</v>
      </c>
      <c r="E6" s="51">
        <f>C6*D6/1000000</f>
        <v>7.4999999999999997E-2</v>
      </c>
      <c r="F6" s="52">
        <f t="shared" ref="F6:F16" si="0">E6*0.277777778</f>
        <v>2.0833333349999997E-2</v>
      </c>
      <c r="H6" t="s">
        <v>85</v>
      </c>
      <c r="I6">
        <f>$F9*[2]production!D$7</f>
        <v>2.1128571445474281E-2</v>
      </c>
      <c r="J6">
        <f>$F9*[2]production!E$7</f>
        <v>1.7158333347059996E-4</v>
      </c>
      <c r="K6">
        <f>$F9*[2]production!F$7</f>
        <v>0.36976190505771422</v>
      </c>
      <c r="L6">
        <f>$F9*[2]production!G$7</f>
        <v>1.2127083343034997E-5</v>
      </c>
      <c r="M6">
        <f>$F9*[2]production!H$7</f>
        <v>1.275922620068357E-3</v>
      </c>
      <c r="N6">
        <f>$F9*[2]production!I$7</f>
        <v>1.3883333344439998E-6</v>
      </c>
      <c r="O6">
        <f>$F9*[2]production!J$7</f>
        <v>8.3517857209671417E-8</v>
      </c>
      <c r="P6">
        <f>$F9*[2]production!K$7</f>
        <v>4.9657738134964273E-4</v>
      </c>
      <c r="Q6">
        <f>$F9*[2]production!L$7</f>
        <v>5.4303571472014274E-5</v>
      </c>
      <c r="R6">
        <f>$F9*[2]production!M$7</f>
        <v>0.37177389089860957</v>
      </c>
      <c r="S6">
        <f>$F9*[2]production!N$7</f>
        <v>2.4189583352684997E-5</v>
      </c>
      <c r="T6">
        <f>$F9*[2]production!O$7</f>
        <v>1.9940178587380709E-2</v>
      </c>
      <c r="U6">
        <f>$F9*[2]production!P$7</f>
        <v>8.806547626092856E-3</v>
      </c>
      <c r="V6">
        <f>$F9*[2]production!Q$7</f>
        <v>7.5922619108357133E-5</v>
      </c>
      <c r="W6">
        <f>$F9*[2]production!R$7</f>
        <v>3.7050595267735709E-7</v>
      </c>
      <c r="X6">
        <f>$F9*[2]production!S$7</f>
        <v>0.15531250012424996</v>
      </c>
      <c r="Y6">
        <f>$F9*[2]production!T$7</f>
        <v>1.2568452391007142E-4</v>
      </c>
      <c r="Z6">
        <f>$F9*[2]production!U$7</f>
        <v>4.6708333370699989E-2</v>
      </c>
      <c r="AA6">
        <f>$F9*[2]production!V$7</f>
        <v>1.8296130967017852E-5</v>
      </c>
      <c r="AB6">
        <f>$F9*[2]production!W$7</f>
        <v>8.9255952452357121E-5</v>
      </c>
      <c r="AC6">
        <f>$F9*[2]production!X$7</f>
        <v>3.2842261931035708E-6</v>
      </c>
      <c r="AD6">
        <f>$F9*[2]production!Y$7</f>
        <v>1.7647023823641425E-9</v>
      </c>
      <c r="AE6">
        <f>$F9*[2]production!Z$7</f>
        <v>2.2280357160681425E-5</v>
      </c>
      <c r="AF6">
        <f>$F9*[2]production!AA$7</f>
        <v>5.9928571476514276E-5</v>
      </c>
      <c r="AG6">
        <f>$F9*[2]production!AB$7</f>
        <v>8.6309523878571413E-5</v>
      </c>
      <c r="AH6">
        <f>$F9*[2]production!AC$7</f>
        <v>1.5447321440929283E-6</v>
      </c>
      <c r="AI6">
        <f>$F9*[2]production!AD$7</f>
        <v>9.5270833409549991E-6</v>
      </c>
      <c r="AJ6">
        <f>$F9*[2]production!AE$7</f>
        <v>2.3864880971472853E-6</v>
      </c>
      <c r="AK6">
        <f>$F9*[2]production!AF$7</f>
        <v>5.8375000046699988E-4</v>
      </c>
      <c r="AL6">
        <f>$F9*[2]production!AG$7</f>
        <v>1.8000595252495712E-3</v>
      </c>
      <c r="AM6">
        <f>$F9*[2]production!AH$7</f>
        <v>1.0601488103719283E-3</v>
      </c>
    </row>
    <row r="7" spans="1:39" ht="15.75" thickBot="1">
      <c r="A7">
        <v>150</v>
      </c>
      <c r="B7" s="44" t="s">
        <v>140</v>
      </c>
      <c r="C7" s="45">
        <f>12000/140*A7</f>
        <v>12857.142857142857</v>
      </c>
      <c r="D7" s="46">
        <f>30*60</f>
        <v>1800</v>
      </c>
      <c r="E7" s="45">
        <f>C7*D7/1000000</f>
        <v>23.142857142857142</v>
      </c>
      <c r="F7" s="47">
        <f t="shared" si="0"/>
        <v>6.4285714337142847</v>
      </c>
      <c r="H7" t="s">
        <v>89</v>
      </c>
      <c r="I7">
        <f>$F10*[2]production!D$7</f>
        <v>7.0992000056793583E-2</v>
      </c>
      <c r="J7">
        <f>$F10*[2]production!E$7</f>
        <v>5.7652000046121588E-4</v>
      </c>
      <c r="K7">
        <f>$F10*[2]production!F$7</f>
        <v>1.2424000009939198</v>
      </c>
      <c r="L7">
        <f>$F10*[2]production!G$7</f>
        <v>4.0747000032597597E-5</v>
      </c>
      <c r="M7">
        <f>$F10*[2]production!H$7</f>
        <v>4.2871000034296796E-3</v>
      </c>
      <c r="N7">
        <f>$F10*[2]production!I$7</f>
        <v>4.6648000037318389E-6</v>
      </c>
      <c r="O7">
        <f>$F10*[2]production!J$7</f>
        <v>2.8062000022449595E-7</v>
      </c>
      <c r="P7">
        <f>$F10*[2]production!K$7</f>
        <v>1.6685000013347995E-3</v>
      </c>
      <c r="Q7">
        <f>$F10*[2]production!L$7</f>
        <v>1.8246000014596797E-4</v>
      </c>
      <c r="R7">
        <f>$F10*[2]production!M$7</f>
        <v>1.2491602734193281</v>
      </c>
      <c r="S7">
        <f>$F10*[2]production!N$7</f>
        <v>8.1277000065021584E-5</v>
      </c>
      <c r="T7">
        <f>$F10*[2]production!O$7</f>
        <v>6.6999000053599184E-2</v>
      </c>
      <c r="U7">
        <f>$F10*[2]production!P$7</f>
        <v>2.9590000023671997E-2</v>
      </c>
      <c r="V7">
        <f>$F10*[2]production!Q$7</f>
        <v>2.5510000020407994E-4</v>
      </c>
      <c r="W7">
        <f>$F10*[2]production!R$7</f>
        <v>1.2449000009959199E-6</v>
      </c>
      <c r="X7">
        <f>$F10*[2]production!S$7</f>
        <v>0.52185000041747986</v>
      </c>
      <c r="Y7">
        <f>$F10*[2]production!T$7</f>
        <v>4.2230000033783996E-4</v>
      </c>
      <c r="Z7">
        <f>$F10*[2]production!U$7</f>
        <v>0.15694000012555195</v>
      </c>
      <c r="AA7">
        <f>$F10*[2]production!V$7</f>
        <v>6.1475000049179983E-5</v>
      </c>
      <c r="AB7">
        <f>$F10*[2]production!W$7</f>
        <v>2.9990000023991993E-4</v>
      </c>
      <c r="AC7">
        <f>$F10*[2]production!X$7</f>
        <v>1.1035000008827998E-5</v>
      </c>
      <c r="AD7">
        <f>$F10*[2]production!Y$7</f>
        <v>5.9294000047435191E-9</v>
      </c>
      <c r="AE7">
        <f>$F10*[2]production!Z$7</f>
        <v>7.4862000059889582E-5</v>
      </c>
      <c r="AF7">
        <f>$F10*[2]production!AA$7</f>
        <v>2.0136000016108795E-4</v>
      </c>
      <c r="AG7">
        <f>$F10*[2]production!AB$7</f>
        <v>2.9000000023199991E-4</v>
      </c>
      <c r="AH7">
        <f>$F10*[2]production!AC$7</f>
        <v>5.1903000041522395E-6</v>
      </c>
      <c r="AI7">
        <f>$F10*[2]production!AD$7</f>
        <v>3.2011000025608797E-5</v>
      </c>
      <c r="AJ7">
        <f>$F10*[2]production!AE$7</f>
        <v>8.0186000064148784E-6</v>
      </c>
      <c r="AK7">
        <f>$F10*[2]production!AF$7</f>
        <v>1.9614000015691197E-3</v>
      </c>
      <c r="AL7">
        <f>$F10*[2]production!AG$7</f>
        <v>6.0482000048385593E-3</v>
      </c>
      <c r="AM7">
        <f>$F10*[2]production!AH$7</f>
        <v>3.5621000028496796E-3</v>
      </c>
    </row>
    <row r="8" spans="1:39">
      <c r="B8" s="40" t="s">
        <v>30</v>
      </c>
      <c r="C8" s="48"/>
      <c r="D8" s="42"/>
      <c r="E8" s="48"/>
      <c r="F8" s="49"/>
      <c r="H8" t="s">
        <v>86</v>
      </c>
      <c r="I8">
        <f>$F11*[2]production!D$7</f>
        <v>2.1128571445474281E-2</v>
      </c>
      <c r="J8">
        <f>$F11*[2]production!E$7</f>
        <v>1.7158333347059996E-4</v>
      </c>
      <c r="K8">
        <f>$F11*[2]production!F$7</f>
        <v>0.36976190505771422</v>
      </c>
      <c r="L8">
        <f>$F11*[2]production!G$7</f>
        <v>1.2127083343034997E-5</v>
      </c>
      <c r="M8">
        <f>$F11*[2]production!H$7</f>
        <v>1.275922620068357E-3</v>
      </c>
      <c r="N8">
        <f>$F11*[2]production!I$7</f>
        <v>1.3883333344439998E-6</v>
      </c>
      <c r="O8">
        <f>$F11*[2]production!J$7</f>
        <v>8.3517857209671417E-8</v>
      </c>
      <c r="P8">
        <f>$F11*[2]production!K$7</f>
        <v>4.9657738134964273E-4</v>
      </c>
      <c r="Q8">
        <f>$F11*[2]production!L$7</f>
        <v>5.4303571472014274E-5</v>
      </c>
      <c r="R8">
        <f>$F11*[2]production!M$7</f>
        <v>0.37177389089860957</v>
      </c>
      <c r="S8">
        <f>$F11*[2]production!N$7</f>
        <v>2.4189583352684997E-5</v>
      </c>
      <c r="T8">
        <f>$F11*[2]production!O$7</f>
        <v>1.9940178587380709E-2</v>
      </c>
      <c r="U8">
        <f>$F11*[2]production!P$7</f>
        <v>8.806547626092856E-3</v>
      </c>
      <c r="V8">
        <f>$F11*[2]production!Q$7</f>
        <v>7.5922619108357133E-5</v>
      </c>
      <c r="W8">
        <f>$F11*[2]production!R$7</f>
        <v>3.7050595267735709E-7</v>
      </c>
      <c r="X8">
        <f>$F11*[2]production!S$7</f>
        <v>0.15531250012424996</v>
      </c>
      <c r="Y8">
        <f>$F11*[2]production!T$7</f>
        <v>1.2568452391007142E-4</v>
      </c>
      <c r="Z8">
        <f>$F11*[2]production!U$7</f>
        <v>4.6708333370699989E-2</v>
      </c>
      <c r="AA8">
        <f>$F11*[2]production!V$7</f>
        <v>1.8296130967017852E-5</v>
      </c>
      <c r="AB8">
        <f>$F11*[2]production!W$7</f>
        <v>8.9255952452357121E-5</v>
      </c>
      <c r="AC8">
        <f>$F11*[2]production!X$7</f>
        <v>3.2842261931035708E-6</v>
      </c>
      <c r="AD8">
        <f>$F11*[2]production!Y$7</f>
        <v>1.7647023823641425E-9</v>
      </c>
      <c r="AE8">
        <f>$F11*[2]production!Z$7</f>
        <v>2.2280357160681425E-5</v>
      </c>
      <c r="AF8">
        <f>$F11*[2]production!AA$7</f>
        <v>5.9928571476514276E-5</v>
      </c>
      <c r="AG8">
        <f>$F11*[2]production!AB$7</f>
        <v>8.6309523878571413E-5</v>
      </c>
      <c r="AH8">
        <f>$F11*[2]production!AC$7</f>
        <v>1.5447321440929283E-6</v>
      </c>
      <c r="AI8">
        <f>$F11*[2]production!AD$7</f>
        <v>9.5270833409549991E-6</v>
      </c>
      <c r="AJ8">
        <f>$F11*[2]production!AE$7</f>
        <v>2.3864880971472853E-6</v>
      </c>
      <c r="AK8">
        <f>$F11*[2]production!AF$7</f>
        <v>5.8375000046699988E-4</v>
      </c>
      <c r="AL8">
        <f>$F11*[2]production!AG$7</f>
        <v>1.8000595252495712E-3</v>
      </c>
      <c r="AM8">
        <f>$F11*[2]production!AH$7</f>
        <v>1.0601488103719283E-3</v>
      </c>
    </row>
    <row r="9" spans="1:39">
      <c r="B9" s="50" t="s">
        <v>139</v>
      </c>
      <c r="C9" s="37">
        <v>2500</v>
      </c>
      <c r="D9" s="38">
        <f>1/84*3600</f>
        <v>42.857142857142854</v>
      </c>
      <c r="E9" s="51">
        <f>C9*D9/1000000</f>
        <v>0.10714285714285714</v>
      </c>
      <c r="F9" s="52">
        <f t="shared" si="0"/>
        <v>2.9761904785714281E-2</v>
      </c>
      <c r="H9" t="s">
        <v>90</v>
      </c>
      <c r="I9">
        <f>$F12*[2]production!D$7</f>
        <v>2.2818857161112227</v>
      </c>
      <c r="J9">
        <f>$F12*[2]production!E$7</f>
        <v>1.8531000014824797E-2</v>
      </c>
      <c r="K9">
        <f>$F12*[2]production!F$7</f>
        <v>39.934285746233137</v>
      </c>
      <c r="L9">
        <f>$F12*[2]production!G$7</f>
        <v>1.3097250010477798E-3</v>
      </c>
      <c r="M9">
        <f>$F12*[2]production!H$7</f>
        <v>0.13779964296738254</v>
      </c>
      <c r="N9">
        <f>$F12*[2]production!I$7</f>
        <v>1.4994000011995197E-4</v>
      </c>
      <c r="O9">
        <f>$F12*[2]production!J$7</f>
        <v>9.0199285786445132E-6</v>
      </c>
      <c r="P9">
        <f>$F12*[2]production!K$7</f>
        <v>5.3630357185761417E-2</v>
      </c>
      <c r="Q9">
        <f>$F12*[2]production!L$7</f>
        <v>5.8647857189775424E-3</v>
      </c>
      <c r="R9">
        <f>$F12*[2]production!M$7</f>
        <v>40.151580217049833</v>
      </c>
      <c r="S9">
        <f>$F12*[2]production!N$7</f>
        <v>2.6124750020899796E-3</v>
      </c>
      <c r="T9">
        <f>$F12*[2]production!O$7</f>
        <v>2.1535392874371166</v>
      </c>
      <c r="U9">
        <f>$F12*[2]production!P$7</f>
        <v>0.95110714361802839</v>
      </c>
      <c r="V9">
        <f>$F12*[2]production!Q$7</f>
        <v>8.1996428637025696E-3</v>
      </c>
      <c r="W9">
        <f>$F12*[2]production!R$7</f>
        <v>4.0014642889154571E-5</v>
      </c>
      <c r="X9">
        <f>$F12*[2]production!S$7</f>
        <v>16.773750013418997</v>
      </c>
      <c r="Y9">
        <f>$F12*[2]production!T$7</f>
        <v>1.3573928582287714E-2</v>
      </c>
      <c r="Z9">
        <f>$F12*[2]production!U$7</f>
        <v>5.0445000040355987</v>
      </c>
      <c r="AA9">
        <f>$F12*[2]production!V$7</f>
        <v>1.975982144437928E-3</v>
      </c>
      <c r="AB9">
        <f>$F12*[2]production!W$7</f>
        <v>9.6396428648545703E-3</v>
      </c>
      <c r="AC9">
        <f>$F12*[2]production!X$7</f>
        <v>3.5469642885518568E-4</v>
      </c>
      <c r="AD9">
        <f>$F12*[2]production!Y$7</f>
        <v>1.905878572953274E-7</v>
      </c>
      <c r="AE9">
        <f>$F12*[2]production!Z$7</f>
        <v>2.4062785733535937E-3</v>
      </c>
      <c r="AF9">
        <f>$F12*[2]production!AA$7</f>
        <v>6.4722857194635421E-3</v>
      </c>
      <c r="AG9">
        <f>$F12*[2]production!AB$7</f>
        <v>9.3214285788857116E-3</v>
      </c>
      <c r="AH9">
        <f>$F12*[2]production!AC$7</f>
        <v>1.6683107156203626E-4</v>
      </c>
      <c r="AI9">
        <f>$F12*[2]production!AD$7</f>
        <v>1.0289250008231399E-3</v>
      </c>
      <c r="AJ9">
        <f>$F12*[2]production!AE$7</f>
        <v>2.5774071449190678E-4</v>
      </c>
      <c r="AK9">
        <f>$F12*[2]production!AF$7</f>
        <v>6.3045000050435993E-2</v>
      </c>
      <c r="AL9">
        <f>$F12*[2]production!AG$7</f>
        <v>0.19440642872695368</v>
      </c>
      <c r="AM9">
        <f>$F12*[2]production!AH$7</f>
        <v>0.11449607152016827</v>
      </c>
    </row>
    <row r="10" spans="1:39">
      <c r="A10">
        <v>70</v>
      </c>
      <c r="B10" s="53" t="s">
        <v>140</v>
      </c>
      <c r="C10" s="54">
        <f>12000/140*A10</f>
        <v>6000</v>
      </c>
      <c r="D10" s="55">
        <v>60</v>
      </c>
      <c r="E10" s="54">
        <f>C10*D10/1000000</f>
        <v>0.36</v>
      </c>
      <c r="F10" s="56">
        <f t="shared" si="0"/>
        <v>0.10000000007999998</v>
      </c>
      <c r="H10" t="s">
        <v>87</v>
      </c>
      <c r="I10">
        <f>$F14*[2]production!D$7</f>
        <v>9.8600000078879993E-2</v>
      </c>
      <c r="J10">
        <f>$F14*[2]production!E$7</f>
        <v>8.0072222286279996E-4</v>
      </c>
      <c r="K10">
        <f>$F14*[2]production!F$7</f>
        <v>1.7255555569359997</v>
      </c>
      <c r="L10">
        <f>$F14*[2]production!G$7</f>
        <v>5.6593055600829996E-5</v>
      </c>
      <c r="M10">
        <f>$F14*[2]production!H$7</f>
        <v>5.9543055603189995E-3</v>
      </c>
      <c r="N10">
        <f>$F14*[2]production!I$7</f>
        <v>6.4788888940719992E-6</v>
      </c>
      <c r="O10">
        <f>$F14*[2]production!J$7</f>
        <v>3.8975000031179993E-7</v>
      </c>
      <c r="P10">
        <f>$F14*[2]production!K$7</f>
        <v>2.3173611129649998E-3</v>
      </c>
      <c r="Q10">
        <f>$F14*[2]production!L$7</f>
        <v>2.5341666686939999E-4</v>
      </c>
      <c r="R10">
        <f>$F14*[2]production!M$7</f>
        <v>1.7349448241935115</v>
      </c>
      <c r="S10">
        <f>$F14*[2]production!N$7</f>
        <v>1.1288472231252999E-4</v>
      </c>
      <c r="T10">
        <f>$F14*[2]production!O$7</f>
        <v>9.3054166741109987E-2</v>
      </c>
      <c r="U10">
        <f>$F14*[2]production!P$7</f>
        <v>4.1097222255099992E-2</v>
      </c>
      <c r="V10">
        <f>$F14*[2]production!Q$7</f>
        <v>3.5430555583899995E-4</v>
      </c>
      <c r="W10">
        <f>$F14*[2]production!R$7</f>
        <v>1.729027779161E-6</v>
      </c>
      <c r="X10">
        <f>$F14*[2]production!S$7</f>
        <v>0.7247916672464999</v>
      </c>
      <c r="Y10">
        <f>$F14*[2]production!T$7</f>
        <v>5.8652777824699993E-4</v>
      </c>
      <c r="Z10">
        <f>$F14*[2]production!U$7</f>
        <v>0.21797222239659997</v>
      </c>
      <c r="AA10">
        <f>$F14*[2]production!V$7</f>
        <v>8.5381944512749982E-5</v>
      </c>
      <c r="AB10">
        <f>$F14*[2]production!W$7</f>
        <v>4.1652777811099993E-4</v>
      </c>
      <c r="AC10">
        <f>$F14*[2]production!X$7</f>
        <v>1.5326388901149997E-5</v>
      </c>
      <c r="AD10">
        <f>$F14*[2]production!Y$7</f>
        <v>8.2352777843660001E-9</v>
      </c>
      <c r="AE10">
        <f>$F14*[2]production!Z$7</f>
        <v>1.0397500008317998E-4</v>
      </c>
      <c r="AF10">
        <f>$F14*[2]production!AA$7</f>
        <v>2.7966666689039997E-4</v>
      </c>
      <c r="AG10">
        <f>$F14*[2]production!AB$7</f>
        <v>4.0277777809999996E-4</v>
      </c>
      <c r="AH10">
        <f>$F14*[2]production!AC$7</f>
        <v>7.2087500057669995E-6</v>
      </c>
      <c r="AI10">
        <f>$F14*[2]production!AD$7</f>
        <v>4.4459722257790003E-5</v>
      </c>
      <c r="AJ10">
        <f>$F14*[2]production!AE$7</f>
        <v>1.1136944453353999E-5</v>
      </c>
      <c r="AK10">
        <f>$F14*[2]production!AF$7</f>
        <v>2.7241666688459995E-3</v>
      </c>
      <c r="AL10">
        <f>$F14*[2]production!AG$7</f>
        <v>8.4002777844979989E-3</v>
      </c>
      <c r="AM10">
        <f>$F14*[2]production!AH$7</f>
        <v>4.9473611150689994E-3</v>
      </c>
    </row>
    <row r="11" spans="1:39">
      <c r="B11" s="50" t="s">
        <v>141</v>
      </c>
      <c r="C11" s="37">
        <v>2500</v>
      </c>
      <c r="D11" s="38">
        <f>1/84*3600</f>
        <v>42.857142857142854</v>
      </c>
      <c r="E11" s="51">
        <f>C11*D11/1000000</f>
        <v>0.10714285714285714</v>
      </c>
      <c r="F11" s="52">
        <f t="shared" si="0"/>
        <v>2.9761904785714281E-2</v>
      </c>
      <c r="H11" t="s">
        <v>161</v>
      </c>
      <c r="I11">
        <f>$F16*[2]production!D$7</f>
        <v>4.4961600035969278</v>
      </c>
      <c r="J11">
        <f>$F16*[2]production!E$7</f>
        <v>3.6512933362543673E-2</v>
      </c>
      <c r="K11">
        <f>$F16*[2]production!F$7</f>
        <v>78.685333396281592</v>
      </c>
      <c r="L11">
        <f>$F16*[2]production!G$7</f>
        <v>2.5806433353978476E-3</v>
      </c>
      <c r="M11">
        <f>$F16*[2]production!H$7</f>
        <v>0.27151633355054638</v>
      </c>
      <c r="N11">
        <f>$F16*[2]production!I$7</f>
        <v>2.9543733356968317E-4</v>
      </c>
      <c r="O11">
        <f>$F16*[2]production!J$7</f>
        <v>1.7772600014218078E-5</v>
      </c>
      <c r="P11">
        <f>$F16*[2]production!K$7</f>
        <v>0.10567166675120397</v>
      </c>
      <c r="Q11">
        <f>$F16*[2]production!L$7</f>
        <v>1.1555800009244638E-2</v>
      </c>
      <c r="R11">
        <f>$F16*[2]production!M$7</f>
        <v>79.113483983224114</v>
      </c>
      <c r="S11">
        <f>$F16*[2]production!N$7</f>
        <v>5.1475433374513673E-3</v>
      </c>
      <c r="T11">
        <f>$F16*[2]production!O$7</f>
        <v>4.2432700033946151</v>
      </c>
      <c r="U11">
        <f>$F16*[2]production!P$7</f>
        <v>1.8740333348325597</v>
      </c>
      <c r="V11">
        <f>$F16*[2]production!Q$7</f>
        <v>1.6156333346258399E-2</v>
      </c>
      <c r="W11">
        <f>$F16*[2]production!R$7</f>
        <v>7.8843666729741597E-5</v>
      </c>
      <c r="X11">
        <f>$F16*[2]production!S$7</f>
        <v>33.050500026440396</v>
      </c>
      <c r="Y11">
        <f>$F16*[2]production!T$7</f>
        <v>2.6745666688063198E-2</v>
      </c>
      <c r="Z11">
        <f>$F16*[2]production!U$7</f>
        <v>9.9395333412849585</v>
      </c>
      <c r="AA11">
        <f>$F16*[2]production!V$7</f>
        <v>3.8934166697813994E-3</v>
      </c>
      <c r="AB11">
        <f>$F16*[2]production!W$7</f>
        <v>1.8993666681861598E-2</v>
      </c>
      <c r="AC11">
        <f>$F16*[2]production!X$7</f>
        <v>6.9888333389243992E-4</v>
      </c>
      <c r="AD11">
        <f>$F16*[2]production!Y$7</f>
        <v>3.7552866696708955E-7</v>
      </c>
      <c r="AE11">
        <f>$F16*[2]production!Z$7</f>
        <v>4.7412600037930073E-3</v>
      </c>
      <c r="AF11">
        <f>$F16*[2]production!AA$7</f>
        <v>1.2752800010202238E-2</v>
      </c>
      <c r="AG11">
        <f>$F16*[2]production!AB$7</f>
        <v>1.8366666681359996E-2</v>
      </c>
      <c r="AH11">
        <f>$F16*[2]production!AC$7</f>
        <v>3.2871900026297518E-4</v>
      </c>
      <c r="AI11">
        <f>$F16*[2]production!AD$7</f>
        <v>2.0273633349552241E-3</v>
      </c>
      <c r="AJ11">
        <f>$F16*[2]production!AE$7</f>
        <v>5.0784466707294227E-4</v>
      </c>
      <c r="AK11">
        <f>$F16*[2]production!AF$7</f>
        <v>0.12422200009937759</v>
      </c>
      <c r="AL11">
        <f>$F16*[2]production!AG$7</f>
        <v>0.38305266697310875</v>
      </c>
      <c r="AM11">
        <f>$F16*[2]production!AH$7</f>
        <v>0.22559966684714639</v>
      </c>
    </row>
    <row r="12" spans="1:39" ht="15.75" thickBot="1">
      <c r="A12">
        <v>150</v>
      </c>
      <c r="B12" s="44" t="s">
        <v>142</v>
      </c>
      <c r="C12" s="45">
        <f>12000/140*A12</f>
        <v>12857.142857142857</v>
      </c>
      <c r="D12" s="46">
        <f>60*15</f>
        <v>900</v>
      </c>
      <c r="E12" s="45">
        <f>C12*D12/1000000</f>
        <v>11.571428571428571</v>
      </c>
      <c r="F12" s="47">
        <f t="shared" si="0"/>
        <v>3.2142857168571424</v>
      </c>
      <c r="H12" t="s">
        <v>73</v>
      </c>
      <c r="I12">
        <f>$F18*[2]production!D$7</f>
        <v>8.8740000070991979E-3</v>
      </c>
      <c r="J12">
        <f>$F18*[2]production!E$7</f>
        <v>7.2065000057651985E-5</v>
      </c>
      <c r="K12">
        <f>$F18*[2]production!F$7</f>
        <v>0.15530000012423997</v>
      </c>
      <c r="L12">
        <f>$F18*[2]production!G$7</f>
        <v>5.0933750040746996E-6</v>
      </c>
      <c r="M12">
        <f>$F18*[2]production!H$7</f>
        <v>5.3588750042870995E-4</v>
      </c>
      <c r="N12">
        <f>$F18*[2]production!I$7</f>
        <v>5.8310000046647986E-7</v>
      </c>
      <c r="O12">
        <f>$F18*[2]production!J$7</f>
        <v>3.5077500028061994E-8</v>
      </c>
      <c r="P12">
        <f>$F18*[2]production!K$7</f>
        <v>2.0856250016684994E-4</v>
      </c>
      <c r="Q12">
        <f>$F18*[2]production!L$7</f>
        <v>2.2807500018245996E-5</v>
      </c>
      <c r="R12">
        <f>$F18*[2]production!M$7</f>
        <v>0.15614503417741601</v>
      </c>
      <c r="S12">
        <f>$F18*[2]production!N$7</f>
        <v>1.0159625008127698E-5</v>
      </c>
      <c r="T12">
        <f>$F18*[2]production!O$7</f>
        <v>8.374875006699898E-3</v>
      </c>
      <c r="U12">
        <f>$F18*[2]production!P$7</f>
        <v>3.6987500029589996E-3</v>
      </c>
      <c r="V12">
        <f>$F18*[2]production!Q$7</f>
        <v>3.1887500025509992E-5</v>
      </c>
      <c r="W12">
        <f>$F18*[2]production!R$7</f>
        <v>1.5561250012448999E-7</v>
      </c>
      <c r="X12">
        <f>$F18*[2]production!S$7</f>
        <v>6.5231250052184983E-2</v>
      </c>
      <c r="Y12">
        <f>$F18*[2]production!T$7</f>
        <v>5.2787500042229995E-5</v>
      </c>
      <c r="Z12">
        <f>$F18*[2]production!U$7</f>
        <v>1.9617500015693994E-2</v>
      </c>
      <c r="AA12">
        <f>$F18*[2]production!V$7</f>
        <v>7.6843750061474979E-6</v>
      </c>
      <c r="AB12">
        <f>$F18*[2]production!W$7</f>
        <v>3.7487500029989991E-5</v>
      </c>
      <c r="AC12">
        <f>$F18*[2]production!X$7</f>
        <v>1.3793750011034997E-6</v>
      </c>
      <c r="AD12">
        <f>$F18*[2]production!Y$7</f>
        <v>7.4117500059293989E-10</v>
      </c>
      <c r="AE12">
        <f>$F18*[2]production!Z$7</f>
        <v>9.3577500074861978E-6</v>
      </c>
      <c r="AF12">
        <f>$F18*[2]production!AA$7</f>
        <v>2.5170000020135994E-5</v>
      </c>
      <c r="AG12">
        <f>$F18*[2]production!AB$7</f>
        <v>3.6250000028999989E-5</v>
      </c>
      <c r="AH12">
        <f>$F18*[2]production!AC$7</f>
        <v>6.4878750051902993E-7</v>
      </c>
      <c r="AI12">
        <f>$F18*[2]production!AD$7</f>
        <v>4.0013750032010996E-6</v>
      </c>
      <c r="AJ12">
        <f>$F18*[2]production!AE$7</f>
        <v>1.0023250008018598E-6</v>
      </c>
      <c r="AK12">
        <f>$F18*[2]production!AF$7</f>
        <v>2.4517500019613996E-4</v>
      </c>
      <c r="AL12">
        <f>$F18*[2]production!AG$7</f>
        <v>7.5602500060481992E-4</v>
      </c>
      <c r="AM12">
        <f>$F18*[2]production!AH$7</f>
        <v>4.4526250035620995E-4</v>
      </c>
    </row>
    <row r="13" spans="1:39">
      <c r="B13" s="40" t="s">
        <v>31</v>
      </c>
      <c r="C13" s="48"/>
      <c r="D13" s="42"/>
      <c r="E13" s="48"/>
      <c r="F13" s="49"/>
    </row>
    <row r="14" spans="1:39" ht="15.75" thickBot="1">
      <c r="B14" s="50" t="s">
        <v>143</v>
      </c>
      <c r="C14" s="37">
        <v>2500</v>
      </c>
      <c r="D14" s="38">
        <f>1/18*3600</f>
        <v>200</v>
      </c>
      <c r="E14" s="51">
        <f>C14*D14/1000000</f>
        <v>0.5</v>
      </c>
      <c r="F14" s="52">
        <f t="shared" si="0"/>
        <v>0.13888888899999999</v>
      </c>
    </row>
    <row r="15" spans="1:39">
      <c r="B15" s="40" t="s">
        <v>32</v>
      </c>
      <c r="C15" s="48"/>
      <c r="D15" s="42"/>
      <c r="E15" s="48"/>
      <c r="F15" s="49"/>
    </row>
    <row r="16" spans="1:39" ht="15.75" thickBot="1">
      <c r="A16">
        <v>150</v>
      </c>
      <c r="B16" s="44" t="s">
        <v>33</v>
      </c>
      <c r="C16" s="45">
        <f>(2.8*10000/240*A16*'material inventory'!C25+57500)</f>
        <v>71500</v>
      </c>
      <c r="D16" s="46">
        <f>'material inventory'!B25/33*60</f>
        <v>109.09090909090909</v>
      </c>
      <c r="E16" s="45">
        <f>(C16*D16+50000*5*60)/1000000</f>
        <v>22.8</v>
      </c>
      <c r="F16" s="47">
        <f t="shared" si="0"/>
        <v>6.3333333383999992</v>
      </c>
    </row>
    <row r="17" spans="2:18">
      <c r="B17" s="58" t="s">
        <v>72</v>
      </c>
      <c r="C17" s="59"/>
      <c r="D17" s="60"/>
      <c r="E17" s="59"/>
      <c r="F17" s="56"/>
      <c r="H17" s="3" t="s">
        <v>145</v>
      </c>
      <c r="I17" s="3">
        <v>1.6328160013062525E-2</v>
      </c>
      <c r="J17" s="3"/>
      <c r="K17" s="3"/>
      <c r="L17" s="3"/>
      <c r="M17" s="3"/>
      <c r="N17" s="3"/>
      <c r="O17" s="3"/>
      <c r="P17" s="3"/>
      <c r="Q17" s="3"/>
      <c r="R17" s="3">
        <v>0.28730686288644547</v>
      </c>
    </row>
    <row r="18" spans="2:18" ht="15.75" thickBot="1">
      <c r="B18" s="57" t="s">
        <v>73</v>
      </c>
      <c r="C18" s="45">
        <v>1500</v>
      </c>
      <c r="D18" s="46">
        <f>1/120*3600</f>
        <v>30</v>
      </c>
      <c r="E18" s="45">
        <f>C18*D18/1000000</f>
        <v>4.4999999999999998E-2</v>
      </c>
      <c r="F18" s="47">
        <f t="shared" ref="F18" si="1">E18*0.277777778</f>
        <v>1.2500000009999998E-2</v>
      </c>
    </row>
    <row r="20" spans="2:18">
      <c r="B20" t="s">
        <v>34</v>
      </c>
      <c r="E20" s="29">
        <f>SUM(E3:E19)*0.277777778</f>
        <v>16.330936521001259</v>
      </c>
      <c r="F20" s="29">
        <f>SUM(F4:F19)</f>
        <v>16.330936521001256</v>
      </c>
    </row>
  </sheetData>
  <mergeCells count="4">
    <mergeCell ref="I1:I2"/>
    <mergeCell ref="J1:R1"/>
    <mergeCell ref="S1:AJ1"/>
    <mergeCell ref="AK1:AM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FE37F-8A7A-4EFA-9E3A-EF018A09AAD1}">
  <dimension ref="A1:Y39"/>
  <sheetViews>
    <sheetView topLeftCell="A13" zoomScaleNormal="100" workbookViewId="0">
      <selection activeCell="H31" sqref="H31"/>
    </sheetView>
  </sheetViews>
  <sheetFormatPr defaultRowHeight="15"/>
  <cols>
    <col min="1" max="1" width="29.85546875" customWidth="1"/>
    <col min="2" max="14" width="9.28515625" bestFit="1" customWidth="1"/>
    <col min="15" max="15" width="12" bestFit="1" customWidth="1"/>
    <col min="16" max="24" width="9.28515625" bestFit="1" customWidth="1"/>
  </cols>
  <sheetData>
    <row r="1" spans="1:25" s="72" customFormat="1">
      <c r="B1" s="72" t="s">
        <v>70</v>
      </c>
      <c r="C1" s="72" t="s">
        <v>71</v>
      </c>
      <c r="D1" s="72" t="s">
        <v>49</v>
      </c>
      <c r="E1" s="72" t="s">
        <v>50</v>
      </c>
      <c r="F1" s="72" t="s">
        <v>51</v>
      </c>
      <c r="G1" s="72" t="s">
        <v>52</v>
      </c>
      <c r="H1" s="72" t="s">
        <v>53</v>
      </c>
      <c r="I1" s="72" t="s">
        <v>54</v>
      </c>
      <c r="J1" s="72" t="s">
        <v>55</v>
      </c>
      <c r="K1" s="72" t="s">
        <v>56</v>
      </c>
      <c r="L1" s="72" t="s">
        <v>57</v>
      </c>
      <c r="M1" s="72" t="s">
        <v>58</v>
      </c>
      <c r="N1" s="72" t="s">
        <v>59</v>
      </c>
      <c r="O1" s="72" t="s">
        <v>60</v>
      </c>
      <c r="P1" s="72" t="s">
        <v>61</v>
      </c>
      <c r="Q1" s="72" t="s">
        <v>62</v>
      </c>
      <c r="R1" s="72" t="s">
        <v>63</v>
      </c>
      <c r="S1" s="72" t="s">
        <v>64</v>
      </c>
      <c r="T1" s="72" t="s">
        <v>65</v>
      </c>
      <c r="U1" s="72" t="s">
        <v>66</v>
      </c>
      <c r="V1" s="72" t="s">
        <v>67</v>
      </c>
      <c r="W1" s="72" t="s">
        <v>68</v>
      </c>
      <c r="X1" s="72" t="s">
        <v>69</v>
      </c>
    </row>
    <row r="2" spans="1:25">
      <c r="A2" s="73" t="str">
        <f>'material inventory'!K3</f>
        <v>ITO glass</v>
      </c>
      <c r="B2">
        <f>'material inventory'!L3</f>
        <v>16.837863429999999</v>
      </c>
      <c r="C2">
        <f>'material inventory'!U3</f>
        <v>292.22870408888105</v>
      </c>
      <c r="D2" s="9">
        <f>'material inventory'!V3</f>
        <v>5.4035999599999995E-2</v>
      </c>
      <c r="E2" s="9">
        <f>'material inventory'!W3</f>
        <v>15.863857979999999</v>
      </c>
      <c r="F2" s="9">
        <f>'material inventory'!X3</f>
        <v>6.8711502629999996</v>
      </c>
      <c r="G2" s="9">
        <f>'material inventory'!Y3</f>
        <v>8.2522552700000001E-2</v>
      </c>
      <c r="H2" s="9">
        <f>'material inventory'!Z3</f>
        <v>1.0550032339999998E-3</v>
      </c>
      <c r="I2" s="9">
        <f>'material inventory'!AA3</f>
        <v>165.51815009999999</v>
      </c>
      <c r="J2" s="9">
        <f>'material inventory'!AB3</f>
        <v>0.16734019</v>
      </c>
      <c r="K2" s="9">
        <f>'material inventory'!AC3</f>
        <v>66.525372399999995</v>
      </c>
      <c r="L2" s="9">
        <f>'material inventory'!AD3</f>
        <v>1.5045233709999998E-2</v>
      </c>
      <c r="M2" s="9">
        <f>'material inventory'!AE3</f>
        <v>0.64124742970000004</v>
      </c>
      <c r="N2" s="9">
        <f>'material inventory'!AF3</f>
        <v>2.6055490222000001E-3</v>
      </c>
      <c r="O2" s="9">
        <f>'material inventory'!AG3</f>
        <v>1.3754312987000001E-6</v>
      </c>
      <c r="P2" s="9">
        <f>'material inventory'!AH3</f>
        <v>1.994535221E-2</v>
      </c>
      <c r="Q2" s="9">
        <f>'material inventory'!AI3</f>
        <v>4.8864307230000001E-2</v>
      </c>
      <c r="R2" s="9">
        <f>'material inventory'!AJ3</f>
        <v>7.2168691110000002E-2</v>
      </c>
      <c r="S2" s="9">
        <f>'material inventory'!AK3</f>
        <v>7.877002793E-3</v>
      </c>
      <c r="T2" s="9">
        <f>'material inventory'!AL3</f>
        <v>1.5844954200000001E-2</v>
      </c>
      <c r="U2" s="9">
        <f>'material inventory'!AM3</f>
        <v>1.0150023860000001E-2</v>
      </c>
      <c r="V2" s="9">
        <f>'material inventory'!AN3</f>
        <v>0.48907124690000003</v>
      </c>
      <c r="W2" s="9">
        <f>'material inventory'!AO3</f>
        <v>1.723918898</v>
      </c>
      <c r="X2" s="9">
        <f>'material inventory'!AP3</f>
        <v>0.8537033906</v>
      </c>
      <c r="Y2" s="9"/>
    </row>
    <row r="3" spans="1:25">
      <c r="A3" s="73" t="str">
        <f>'material inventory'!K4</f>
        <v>SnO₂</v>
      </c>
      <c r="B3">
        <f>'material inventory'!L4</f>
        <v>2.4568249999999997E-3</v>
      </c>
      <c r="C3">
        <f>'material inventory'!U4</f>
        <v>3.7774549302499995E-2</v>
      </c>
      <c r="D3">
        <f>'material inventory'!V4</f>
        <v>8.3811440000000005E-5</v>
      </c>
      <c r="E3">
        <f>'material inventory'!W4</f>
        <v>2.3021180000000001E-3</v>
      </c>
      <c r="F3">
        <f>'material inventory'!X4</f>
        <v>6.9602859999999989E-4</v>
      </c>
      <c r="G3">
        <f>'material inventory'!Y4</f>
        <v>2.9951719999999998E-5</v>
      </c>
      <c r="H3">
        <f>'material inventory'!Z4</f>
        <v>1.152032E-6</v>
      </c>
      <c r="I3">
        <f>'material inventory'!AA4</f>
        <v>4.1616599999999997E-2</v>
      </c>
      <c r="J3">
        <f>'material inventory'!AB4</f>
        <v>3.7620349999999998E-4</v>
      </c>
      <c r="K3">
        <f>'material inventory'!AC4</f>
        <v>3.46249E-2</v>
      </c>
      <c r="L3">
        <f>'material inventory'!AD4</f>
        <v>6.8251779999999993E-6</v>
      </c>
      <c r="M3">
        <f>'material inventory'!AE4</f>
        <v>0.17148430000000001</v>
      </c>
      <c r="N3">
        <f>'material inventory'!AF4</f>
        <v>9.9233489999999994E-6</v>
      </c>
      <c r="O3">
        <f>'material inventory'!AG4</f>
        <v>1.865519E-10</v>
      </c>
      <c r="P3">
        <f>'material inventory'!AH4</f>
        <v>3.5545079999999998E-5</v>
      </c>
      <c r="Q3">
        <f>'material inventory'!AI4</f>
        <v>2.218579E-5</v>
      </c>
      <c r="R3">
        <f>'material inventory'!AJ4</f>
        <v>5.3838869999999995E-5</v>
      </c>
      <c r="S3">
        <f>'material inventory'!AK4</f>
        <v>1.2497629E-6</v>
      </c>
      <c r="T3">
        <f>'material inventory'!AL4</f>
        <v>1.5145439999999998E-4</v>
      </c>
      <c r="U3">
        <f>'material inventory'!AM4</f>
        <v>8.1679179999999994E-6</v>
      </c>
      <c r="V3">
        <f>'material inventory'!AN4</f>
        <v>8.4645439999999988E-4</v>
      </c>
      <c r="W3">
        <f>'material inventory'!AO4</f>
        <v>4.4846959999999994E-4</v>
      </c>
      <c r="X3">
        <f>'material inventory'!AP4</f>
        <v>8.0451809999999985E-3</v>
      </c>
    </row>
    <row r="4" spans="1:25">
      <c r="A4" s="73" t="str">
        <f>'material inventory'!K5</f>
        <v>H₂O</v>
      </c>
      <c r="B4">
        <f>'material inventory'!L5</f>
        <v>8.8302478460674152E-6</v>
      </c>
      <c r="C4">
        <f>'material inventory'!U5</f>
        <v>1.2149445721202592E-4</v>
      </c>
      <c r="D4">
        <f>'material inventory'!V5</f>
        <v>4.0650454105617978E-7</v>
      </c>
      <c r="E4">
        <f>'material inventory'!W5</f>
        <v>8.1223889925093627E-6</v>
      </c>
      <c r="F4">
        <f>'material inventory'!X5</f>
        <v>2.3363395761423218E-6</v>
      </c>
      <c r="G4">
        <f>'material inventory'!Y5</f>
        <v>1.2175476300749064E-7</v>
      </c>
      <c r="H4">
        <f>'material inventory'!Z5</f>
        <v>4.3147974713483149E-9</v>
      </c>
      <c r="I4">
        <f>'material inventory'!AA5</f>
        <v>1.6144451533333333E-4</v>
      </c>
      <c r="J4">
        <f>'material inventory'!AB5</f>
        <v>8.8114999737827709E-7</v>
      </c>
      <c r="K4">
        <f>'material inventory'!AC5</f>
        <v>1.3864811603370785E-4</v>
      </c>
      <c r="L4">
        <f>'material inventory'!AD5</f>
        <v>8.6985060408239692E-9</v>
      </c>
      <c r="M4">
        <f>'material inventory'!AE5</f>
        <v>5.8047466187265916E-7</v>
      </c>
      <c r="N4">
        <f>'material inventory'!AF5</f>
        <v>1.1204640535955055E-9</v>
      </c>
      <c r="O4">
        <f>'material inventory'!AG5</f>
        <v>3.7007793190636704E-12</v>
      </c>
      <c r="P4">
        <f>'material inventory'!AH5</f>
        <v>2.8897058280898875E-8</v>
      </c>
      <c r="Q4">
        <f>'material inventory'!AI5</f>
        <v>2.4850558062921346E-8</v>
      </c>
      <c r="R4">
        <f>'material inventory'!AJ5</f>
        <v>4.4715195496629214E-8</v>
      </c>
      <c r="S4">
        <f>'material inventory'!AK5</f>
        <v>7.2209710250936319E-9</v>
      </c>
      <c r="T4">
        <f>'material inventory'!AL5</f>
        <v>7.7332439677902621E-8</v>
      </c>
      <c r="U4">
        <f>'material inventory'!AM5</f>
        <v>6.6362400895131081E-6</v>
      </c>
      <c r="V4">
        <f>'material inventory'!AN5</f>
        <v>3.8056660640074902E-7</v>
      </c>
      <c r="W4">
        <f>'material inventory'!AO5</f>
        <v>1.4535681411610486E-6</v>
      </c>
      <c r="X4">
        <f>'material inventory'!AP5</f>
        <v>3.0709014802247193E-7</v>
      </c>
    </row>
    <row r="5" spans="1:25">
      <c r="A5" s="73" t="str">
        <f>'material inventory'!K6</f>
        <v>PbI₂</v>
      </c>
      <c r="B5">
        <f>'material inventory'!L6</f>
        <v>5.0422090564514258E-3</v>
      </c>
      <c r="C5">
        <f>'material inventory'!U6</f>
        <v>5.9957782482828542E-2</v>
      </c>
      <c r="D5">
        <f>'material inventory'!V6</f>
        <v>1.1565162326536683E-3</v>
      </c>
      <c r="E5">
        <f>'material inventory'!W6</f>
        <v>4.3062105914821154E-3</v>
      </c>
      <c r="F5">
        <f>'material inventory'!X6</f>
        <v>1.1429847300287359E-3</v>
      </c>
      <c r="G5">
        <f>'material inventory'!Y6</f>
        <v>7.8727651680289126E-5</v>
      </c>
      <c r="H5">
        <f>'material inventory'!Z6</f>
        <v>2.1857156972023847E-6</v>
      </c>
      <c r="I5">
        <f>'material inventory'!AA6</f>
        <v>0.17226746119752853</v>
      </c>
      <c r="J5">
        <f>'material inventory'!AB6</f>
        <v>2.1167015731840812E-4</v>
      </c>
      <c r="K5">
        <f>'material inventory'!AC6</f>
        <v>8.6393534830036825E-2</v>
      </c>
      <c r="L5">
        <f>'material inventory'!AD6</f>
        <v>5.6988046515963701E-6</v>
      </c>
      <c r="M5">
        <f>'material inventory'!AE6</f>
        <v>6.9841964855818972E-4</v>
      </c>
      <c r="N5">
        <f>'material inventory'!AF6</f>
        <v>7.3256467256111374E-7</v>
      </c>
      <c r="O5">
        <f>'material inventory'!AG6</f>
        <v>4.930002572746055E-10</v>
      </c>
      <c r="P5">
        <f>'material inventory'!AH6</f>
        <v>1.2204319824454714E-5</v>
      </c>
      <c r="Q5">
        <f>'material inventory'!AI6</f>
        <v>1.717811533053855E-5</v>
      </c>
      <c r="R5">
        <f>'material inventory'!AJ6</f>
        <v>3.4526488572112408E-5</v>
      </c>
      <c r="S5">
        <f>'material inventory'!AK6</f>
        <v>5.9397861550244718E-6</v>
      </c>
      <c r="T5">
        <f>'material inventory'!AL6</f>
        <v>4.4415082981350911E-5</v>
      </c>
      <c r="U5">
        <f>'material inventory'!AM6</f>
        <v>1.2969462472460564E-5</v>
      </c>
      <c r="V5">
        <f>'material inventory'!AN6</f>
        <v>2.1121004127393715E-4</v>
      </c>
      <c r="W5">
        <f>'material inventory'!AO6</f>
        <v>1.3483806055473559E-3</v>
      </c>
      <c r="X5">
        <f>'material inventory'!AP6</f>
        <v>1.6947277140148126E-4</v>
      </c>
    </row>
    <row r="6" spans="1:25">
      <c r="A6" s="73" t="str">
        <f>'material inventory'!K7</f>
        <v>DMF</v>
      </c>
      <c r="B6">
        <f>'material inventory'!L7</f>
        <v>4.7500373710823293E-3</v>
      </c>
      <c r="C6">
        <f>'material inventory'!U7</f>
        <v>0.12919759675539927</v>
      </c>
      <c r="D6">
        <f>'material inventory'!V7</f>
        <v>1.9332512647229737E-4</v>
      </c>
      <c r="E6">
        <f>'material inventory'!W7</f>
        <v>4.2994711252722683E-3</v>
      </c>
      <c r="F6">
        <f>'material inventory'!X7</f>
        <v>2.8911610798755334E-3</v>
      </c>
      <c r="G6">
        <f>'material inventory'!Y7</f>
        <v>6.0497732363907156E-5</v>
      </c>
      <c r="H6">
        <f>'material inventory'!Z7</f>
        <v>1.6320160204258645E-6</v>
      </c>
      <c r="I6">
        <f>'material inventory'!AA7</f>
        <v>9.8548500064594619E-2</v>
      </c>
      <c r="J6">
        <f>'material inventory'!AB7</f>
        <v>4.255310984747038E-4</v>
      </c>
      <c r="K6">
        <f>'material inventory'!AC7</f>
        <v>6.4020582671972553E-2</v>
      </c>
      <c r="L6">
        <f>'material inventory'!AD7</f>
        <v>2.074696526856419E-5</v>
      </c>
      <c r="M6">
        <f>'material inventory'!AE7</f>
        <v>2.7684755766870162E-4</v>
      </c>
      <c r="N6">
        <f>'material inventory'!AF7</f>
        <v>1.8153802129451024E-6</v>
      </c>
      <c r="O6">
        <f>'material inventory'!AG7</f>
        <v>8.6402801264497348E-10</v>
      </c>
      <c r="P6">
        <f>'material inventory'!AH7</f>
        <v>1.198283752996475E-5</v>
      </c>
      <c r="Q6">
        <f>'material inventory'!AI7</f>
        <v>1.4535160839870376E-5</v>
      </c>
      <c r="R6">
        <f>'material inventory'!AJ7</f>
        <v>3.0530262566127512E-5</v>
      </c>
      <c r="S6">
        <f>'material inventory'!AK7</f>
        <v>3.0530262566127512E-5</v>
      </c>
      <c r="T6">
        <f>'material inventory'!AL7</f>
        <v>3.6691100216094834E-5</v>
      </c>
      <c r="U6">
        <f>'material inventory'!AM7</f>
        <v>1.2841802067850251E-5</v>
      </c>
      <c r="V6">
        <f>'material inventory'!AN7</f>
        <v>1.9129973656850858E-4</v>
      </c>
      <c r="W6">
        <f>'material inventory'!AO7</f>
        <v>8.4958465841303722E-4</v>
      </c>
      <c r="X6">
        <f>'material inventory'!AP7</f>
        <v>3.5949010636591902E-4</v>
      </c>
    </row>
    <row r="7" spans="1:25">
      <c r="A7" s="73" t="str">
        <f>'material inventory'!K8</f>
        <v>DMSO</v>
      </c>
      <c r="B7">
        <f>'material inventory'!L8</f>
        <v>1.2872013029725408E-4</v>
      </c>
      <c r="C7">
        <f>'material inventory'!U8</f>
        <v>5.9398302219234068E-3</v>
      </c>
      <c r="D7">
        <f>'material inventory'!V8</f>
        <v>5.4909841972030429E-6</v>
      </c>
      <c r="E7">
        <f>'material inventory'!W8</f>
        <v>1.0965949348575142E-4</v>
      </c>
      <c r="F7">
        <f>'material inventory'!X8</f>
        <v>1.321469894686838E-4</v>
      </c>
      <c r="G7">
        <f>'material inventory'!Y8</f>
        <v>2.3056273496296906E-6</v>
      </c>
      <c r="H7">
        <f>'material inventory'!Z8</f>
        <v>5.1284265523204184E-8</v>
      </c>
      <c r="I7">
        <f>'material inventory'!AA8</f>
        <v>3.4091165573764716E-3</v>
      </c>
      <c r="J7">
        <f>'material inventory'!AB8</f>
        <v>1.8777768850310674E-5</v>
      </c>
      <c r="K7">
        <f>'material inventory'!AC8</f>
        <v>1.9920393195340643E-3</v>
      </c>
      <c r="L7">
        <f>'material inventory'!AD8</f>
        <v>1.0082265782356754E-7</v>
      </c>
      <c r="M7">
        <f>'material inventory'!AE8</f>
        <v>1.1045030714069675E-5</v>
      </c>
      <c r="N7">
        <f>'material inventory'!AF8</f>
        <v>5.7604691580805651E-8</v>
      </c>
      <c r="O7">
        <f>'material inventory'!AG8</f>
        <v>3.2065465980712467E-11</v>
      </c>
      <c r="P7">
        <f>'material inventory'!AH8</f>
        <v>1.7444538137165673E-7</v>
      </c>
      <c r="Q7">
        <f>'material inventory'!AI8</f>
        <v>3.9958394575262895E-7</v>
      </c>
      <c r="R7">
        <f>'material inventory'!AJ8</f>
        <v>5.2103467360634722E-7</v>
      </c>
      <c r="S7">
        <f>'material inventory'!AK8</f>
        <v>9.8770597775350453E-8</v>
      </c>
      <c r="T7">
        <f>'material inventory'!AL8</f>
        <v>9.7089611826761539E-7</v>
      </c>
      <c r="U7">
        <f>'material inventory'!AM8</f>
        <v>3.8961766597299756E-7</v>
      </c>
      <c r="V7">
        <f>'material inventory'!AN8</f>
        <v>5.0412342775443964E-6</v>
      </c>
      <c r="W7">
        <f>'material inventory'!AO8</f>
        <v>2.7408790189476741E-5</v>
      </c>
      <c r="X7">
        <f>'material inventory'!AP8</f>
        <v>1.6357676293445947E-5</v>
      </c>
    </row>
    <row r="8" spans="1:25">
      <c r="A8" s="73" t="str">
        <f>'material inventory'!K9</f>
        <v>FAI</v>
      </c>
      <c r="B8">
        <f>'material inventory'!L9</f>
        <v>2.3900391307546311E-2</v>
      </c>
      <c r="C8">
        <f>'material inventory'!U9</f>
        <v>0.42337780030357741</v>
      </c>
      <c r="D8">
        <f>'material inventory'!V9</f>
        <v>4.0071858609145016E-4</v>
      </c>
      <c r="E8">
        <f>'material inventory'!W9</f>
        <v>2.2449264517362729E-2</v>
      </c>
      <c r="F8">
        <f>'material inventory'!X9</f>
        <v>9.8222529841333703E-3</v>
      </c>
      <c r="G8">
        <f>'material inventory'!Y9</f>
        <v>1.0409635536818083E-4</v>
      </c>
      <c r="H8">
        <f>'material inventory'!Z9</f>
        <v>7.9149825212425441E-7</v>
      </c>
      <c r="I8">
        <f>'material inventory'!AA9</f>
        <v>0.18720865269091699</v>
      </c>
      <c r="J8">
        <f>'material inventory'!AB9</f>
        <v>1.8275802588483812E-4</v>
      </c>
      <c r="K8">
        <f>'material inventory'!AC9</f>
        <v>6.4334320772800865E-2</v>
      </c>
      <c r="L8">
        <f>'material inventory'!AD9</f>
        <v>2.2124832456971906E-5</v>
      </c>
      <c r="M8">
        <f>'material inventory'!AE9</f>
        <v>1.2632995555055101E-4</v>
      </c>
      <c r="N8">
        <f>'material inventory'!AF9</f>
        <v>3.9476509931641219E-6</v>
      </c>
      <c r="O8">
        <f>'material inventory'!AG9</f>
        <v>4.3260993701717391E-8</v>
      </c>
      <c r="P8">
        <f>'material inventory'!AH9</f>
        <v>2.6229157242438755E-5</v>
      </c>
      <c r="Q8">
        <f>'material inventory'!AI9</f>
        <v>8.252845089191615E-5</v>
      </c>
      <c r="R8">
        <f>'material inventory'!AJ9</f>
        <v>9.9580630961408615E-5</v>
      </c>
      <c r="S8">
        <f>'material inventory'!AK9</f>
        <v>4.4460374592359155E-6</v>
      </c>
      <c r="T8">
        <f>'material inventory'!AL9</f>
        <v>3.12325654230292E-5</v>
      </c>
      <c r="U8">
        <f>'material inventory'!AM9</f>
        <v>1.1403084430121304E-4</v>
      </c>
      <c r="V8">
        <f>'material inventory'!AN9</f>
        <v>7.5344909269758117E-4</v>
      </c>
      <c r="W8">
        <f>'material inventory'!AO9</f>
        <v>2.1146675558059796E-3</v>
      </c>
      <c r="X8">
        <f>'material inventory'!AP9</f>
        <v>1.1836629040281308E-3</v>
      </c>
    </row>
    <row r="9" spans="1:25">
      <c r="A9" s="73" t="str">
        <f>'material inventory'!K10</f>
        <v>MABr</v>
      </c>
      <c r="B9">
        <f>'material inventory'!L10</f>
        <v>0.10592670348814012</v>
      </c>
      <c r="C9">
        <f>'material inventory'!U10</f>
        <v>1.865990772517371</v>
      </c>
      <c r="D9">
        <f>'material inventory'!V10</f>
        <v>9.3184804084650347E-4</v>
      </c>
      <c r="E9">
        <f>'material inventory'!W10</f>
        <v>9.9959832817936786E-2</v>
      </c>
      <c r="F9">
        <f>'material inventory'!X10</f>
        <v>4.404181504286072E-2</v>
      </c>
      <c r="G9">
        <f>'material inventory'!Y10</f>
        <v>4.3816934340566108E-4</v>
      </c>
      <c r="H9">
        <f>'material inventory'!Z10</f>
        <v>2.9028874154659117E-6</v>
      </c>
      <c r="I9">
        <f>'material inventory'!AA10</f>
        <v>0.83348033340664018</v>
      </c>
      <c r="J9">
        <f>'material inventory'!AB10</f>
        <v>6.8022974933055873E-4</v>
      </c>
      <c r="K9">
        <f>'material inventory'!AC10</f>
        <v>0.28071266628617775</v>
      </c>
      <c r="L9">
        <f>'material inventory'!AD10</f>
        <v>9.1835309695943455E-5</v>
      </c>
      <c r="M9">
        <f>'material inventory'!AE10</f>
        <v>4.741940063259119E-4</v>
      </c>
      <c r="N9">
        <f>'material inventory'!AF10</f>
        <v>1.6474646684041032E-5</v>
      </c>
      <c r="O9">
        <f>'material inventory'!AG10</f>
        <v>8.9082470468329715E-9</v>
      </c>
      <c r="P9">
        <f>'material inventory'!AH10</f>
        <v>1.1271609161813443E-4</v>
      </c>
      <c r="Q9">
        <f>'material inventory'!AI10</f>
        <v>3.0041284040379892E-4</v>
      </c>
      <c r="R9">
        <f>'material inventory'!AJ10</f>
        <v>4.3361296650024696E-4</v>
      </c>
      <c r="S9">
        <f>'material inventory'!AK10</f>
        <v>9.5812632476748983E-6</v>
      </c>
      <c r="T9">
        <f>'material inventory'!AL10</f>
        <v>6.382559339077191E-5</v>
      </c>
      <c r="U9">
        <f>'material inventory'!AM10</f>
        <v>1.4397051090085739E-5</v>
      </c>
      <c r="V9">
        <f>'material inventory'!AN10</f>
        <v>2.9652042399141158E-3</v>
      </c>
      <c r="W9">
        <f>'material inventory'!AO10</f>
        <v>9.3989369435878659E-3</v>
      </c>
      <c r="X9">
        <f>'material inventory'!AP10</f>
        <v>5.3031244613065487E-3</v>
      </c>
    </row>
    <row r="10" spans="1:25">
      <c r="A10" s="73" t="str">
        <f>'material inventory'!K11</f>
        <v>MACl</v>
      </c>
      <c r="B10">
        <f>'material inventory'!L11</f>
        <v>1.5715091537824337E-7</v>
      </c>
      <c r="C10">
        <f>'material inventory'!U11</f>
        <v>2.8340510885295118E-6</v>
      </c>
      <c r="D10">
        <f>'material inventory'!V11</f>
        <v>1.1836144422672211E-8</v>
      </c>
      <c r="E10">
        <f>'material inventory'!W11</f>
        <v>1.4345724286292965E-7</v>
      </c>
      <c r="F10">
        <f>'material inventory'!X11</f>
        <v>5.7648634581459628E-8</v>
      </c>
      <c r="G10">
        <f>'material inventory'!Y11</f>
        <v>1.6350461553441907E-9</v>
      </c>
      <c r="H10">
        <f>'material inventory'!Z11</f>
        <v>4.9193618574462125E-11</v>
      </c>
      <c r="I10">
        <f>'material inventory'!AA11</f>
        <v>2.2018453765540232E-6</v>
      </c>
      <c r="J10">
        <f>'material inventory'!AB11</f>
        <v>1.1909017353989011E-8</v>
      </c>
      <c r="K10">
        <f>'material inventory'!AC11</f>
        <v>2.1035108186325569E-6</v>
      </c>
      <c r="L10">
        <f>'material inventory'!AD11</f>
        <v>3.199677743319617E-10</v>
      </c>
      <c r="M10">
        <f>'material inventory'!AE11</f>
        <v>1.0188455252738115E-8</v>
      </c>
      <c r="N10">
        <f>'material inventory'!AF11</f>
        <v>2.2117080985836469E-11</v>
      </c>
      <c r="O10">
        <f>'material inventory'!AG11</f>
        <v>1.0753878960786548E-13</v>
      </c>
      <c r="P10">
        <f>'material inventory'!AH11</f>
        <v>3.0469079836916251E-10</v>
      </c>
      <c r="Q10">
        <f>'material inventory'!AI11</f>
        <v>4.6811346843864696E-10</v>
      </c>
      <c r="R10">
        <f>'material inventory'!AJ11</f>
        <v>7.0408714121268945E-10</v>
      </c>
      <c r="S10">
        <f>'material inventory'!AK11</f>
        <v>2.0014301823140826E-10</v>
      </c>
      <c r="T10">
        <f>'material inventory'!AL11</f>
        <v>1.3686648618319328E-9</v>
      </c>
      <c r="U10">
        <f>'material inventory'!AM11</f>
        <v>4.5201703782650214E-10</v>
      </c>
      <c r="V10">
        <f>'material inventory'!AN11</f>
        <v>6.1391786354720204E-9</v>
      </c>
      <c r="W10">
        <f>'material inventory'!AO11</f>
        <v>2.0566555724324775E-8</v>
      </c>
      <c r="X10">
        <f>'material inventory'!AP11</f>
        <v>7.3847497024772604E-9</v>
      </c>
    </row>
    <row r="11" spans="1:25">
      <c r="A11" s="73" t="str">
        <f>'material inventory'!K12</f>
        <v>Isopropanol</v>
      </c>
      <c r="B11">
        <f>'material inventory'!L12</f>
        <v>0.10111823698954497</v>
      </c>
      <c r="C11">
        <f>'material inventory'!U12</f>
        <v>3.3424294376453116</v>
      </c>
      <c r="D11">
        <f>'material inventory'!V12</f>
        <v>2.0334948890898962E-3</v>
      </c>
      <c r="E11">
        <f>'material inventory'!W12</f>
        <v>8.8099838481116063E-2</v>
      </c>
      <c r="F11">
        <f>'material inventory'!X12</f>
        <v>7.6499011226688771E-2</v>
      </c>
      <c r="G11">
        <f>'material inventory'!Y12</f>
        <v>5.13648084067148E-4</v>
      </c>
      <c r="H11">
        <f>'material inventory'!Z12</f>
        <v>1.4550593688047057E-5</v>
      </c>
      <c r="I11">
        <f>'material inventory'!AA12</f>
        <v>0.84655583324909012</v>
      </c>
      <c r="J11">
        <f>'material inventory'!AB12</f>
        <v>2.0418563445334212E-3</v>
      </c>
      <c r="K11">
        <f>'material inventory'!AC12</f>
        <v>0.6303208431367342</v>
      </c>
      <c r="L11">
        <f>'material inventory'!AD12</f>
        <v>6.1941218934617487E-5</v>
      </c>
      <c r="M11">
        <f>'material inventory'!AE12</f>
        <v>3.576764844129937E-3</v>
      </c>
      <c r="N11">
        <f>'material inventory'!AF12</f>
        <v>8.1449435840272536E-6</v>
      </c>
      <c r="O11">
        <f>'material inventory'!AG12</f>
        <v>3.5837973265228357E-9</v>
      </c>
      <c r="P11">
        <f>'material inventory'!AH12</f>
        <v>1.3345658122145685E-4</v>
      </c>
      <c r="Q11">
        <f>'material inventory'!AI12</f>
        <v>4.3550446869030897E-4</v>
      </c>
      <c r="R11">
        <f>'material inventory'!AJ12</f>
        <v>3.7447138134028625E-4</v>
      </c>
      <c r="S11">
        <f>'material inventory'!AK12</f>
        <v>2.9019787776743237E-5</v>
      </c>
      <c r="T11">
        <f>'material inventory'!AL12</f>
        <v>2.8835946504739905E-4</v>
      </c>
      <c r="U11">
        <f>'material inventory'!AM12</f>
        <v>2.3403215421532929E-4</v>
      </c>
      <c r="V11">
        <f>'material inventory'!AN12</f>
        <v>3.0381985153635415E-3</v>
      </c>
      <c r="W11">
        <f>'material inventory'!AO12</f>
        <v>9.1732364819495198E-3</v>
      </c>
      <c r="X11">
        <f>'material inventory'!AP12</f>
        <v>9.338804374506739E-3</v>
      </c>
    </row>
    <row r="12" spans="1:25">
      <c r="A12" s="73" t="str">
        <f>'material inventory'!K13</f>
        <v>Spiro-OMeTAD</v>
      </c>
      <c r="B12">
        <f>'material inventory'!L13</f>
        <v>3.1854997688690531E-2</v>
      </c>
      <c r="C12">
        <f>'material inventory'!U13</f>
        <v>0.51315829357722298</v>
      </c>
      <c r="D12">
        <f>'material inventory'!V13</f>
        <v>7.8013599885443392E-3</v>
      </c>
      <c r="E12">
        <f>'material inventory'!W13</f>
        <v>2.8796039540210532E-2</v>
      </c>
      <c r="F12">
        <f>'material inventory'!X13</f>
        <v>9.2947776112168434E-3</v>
      </c>
      <c r="G12">
        <f>'material inventory'!Y13</f>
        <v>1.9451980390817688E-3</v>
      </c>
      <c r="H12">
        <f>'material inventory'!Z13</f>
        <v>3.3525603958342744E-5</v>
      </c>
      <c r="I12">
        <f>'material inventory'!AA13</f>
        <v>1.7161301181877899</v>
      </c>
      <c r="J12">
        <f>'material inventory'!AB13</f>
        <v>2.9299040646063161E-3</v>
      </c>
      <c r="K12">
        <f>'material inventory'!AC13</f>
        <v>1.4513297679733899</v>
      </c>
      <c r="L12">
        <f>'material inventory'!AD13</f>
        <v>3.2239777810458959E-5</v>
      </c>
      <c r="M12">
        <f>'material inventory'!AE13</f>
        <v>1.3235796423309483E-3</v>
      </c>
      <c r="N12">
        <f>'material inventory'!AF13</f>
        <v>2.5121274428968426E-6</v>
      </c>
      <c r="O12">
        <f>'material inventory'!AG13</f>
        <v>2.7096452475587383E-9</v>
      </c>
      <c r="P12">
        <f>'material inventory'!AH13</f>
        <v>1.6252661850179367E-4</v>
      </c>
      <c r="Q12">
        <f>'material inventory'!AI13</f>
        <v>1.1470464708176844E-4</v>
      </c>
      <c r="R12">
        <f>'material inventory'!AJ13</f>
        <v>1.568970684035369E-4</v>
      </c>
      <c r="S12">
        <f>'material inventory'!AK13</f>
        <v>3.2522560468648425E-5</v>
      </c>
      <c r="T12">
        <f>'material inventory'!AL13</f>
        <v>4.2586530317103156E-4</v>
      </c>
      <c r="U12">
        <f>'material inventory'!AM13</f>
        <v>9.459875351242107E-5</v>
      </c>
      <c r="V12">
        <f>'material inventory'!AN13</f>
        <v>1.6718183193701055E-3</v>
      </c>
      <c r="W12">
        <f>'material inventory'!AO13</f>
        <v>1.3100562647919161E-2</v>
      </c>
      <c r="X12">
        <f>'material inventory'!AP13</f>
        <v>1.1759586659873685E-3</v>
      </c>
    </row>
    <row r="13" spans="1:25">
      <c r="A13" s="73" t="str">
        <f>'material inventory'!K14</f>
        <v>LiTFSI</v>
      </c>
      <c r="B13">
        <f>'material inventory'!L14</f>
        <v>1.4649900522011319E-3</v>
      </c>
      <c r="C13">
        <f>'material inventory'!U14</f>
        <v>2.2981147890881671E-2</v>
      </c>
      <c r="D13">
        <f>'material inventory'!V14</f>
        <v>1.2141262429749966E-4</v>
      </c>
      <c r="E13">
        <f>'material inventory'!W14</f>
        <v>1.2439437915481534E-3</v>
      </c>
      <c r="F13">
        <f>'material inventory'!X14</f>
        <v>4.9373212706919857E-4</v>
      </c>
      <c r="G13">
        <f>'material inventory'!Y14</f>
        <v>7.1618483248888081E-5</v>
      </c>
      <c r="H13">
        <f>'material inventory'!Z14</f>
        <v>1.3647384402122962E-6</v>
      </c>
      <c r="I13">
        <f>'material inventory'!AA14</f>
        <v>6.1338853395179353E-2</v>
      </c>
      <c r="J13">
        <f>'material inventory'!AB14</f>
        <v>6.680039675746206E-5</v>
      </c>
      <c r="K13">
        <f>'material inventory'!AC14</f>
        <v>5.0429304566276124E-2</v>
      </c>
      <c r="L13">
        <f>'material inventory'!AD14</f>
        <v>1.4932024710128888E-6</v>
      </c>
      <c r="M13">
        <f>'material inventory'!AE14</f>
        <v>4.4622593380279578E-5</v>
      </c>
      <c r="N13">
        <f>'material inventory'!AF14</f>
        <v>2.0870453143393951E-7</v>
      </c>
      <c r="O13">
        <f>'material inventory'!AG14</f>
        <v>1.7426242933250585E-10</v>
      </c>
      <c r="P13">
        <f>'material inventory'!AH14</f>
        <v>2.9797274082350321E-6</v>
      </c>
      <c r="Q13">
        <f>'material inventory'!AI14</f>
        <v>4.3641244305987771E-6</v>
      </c>
      <c r="R13">
        <f>'material inventory'!AJ14</f>
        <v>9.3743438308507202E-6</v>
      </c>
      <c r="S13">
        <f>'material inventory'!AK14</f>
        <v>1.1580500080251555E-6</v>
      </c>
      <c r="T13">
        <f>'material inventory'!AL14</f>
        <v>1.1766639613581072E-5</v>
      </c>
      <c r="U13">
        <f>'material inventory'!AM14</f>
        <v>2.9941549796394111E-6</v>
      </c>
      <c r="V13">
        <f>'material inventory'!AN14</f>
        <v>5.8282035630616664E-5</v>
      </c>
      <c r="W13">
        <f>'material inventory'!AO14</f>
        <v>4.6995750456150696E-4</v>
      </c>
      <c r="X13">
        <f>'material inventory'!AP14</f>
        <v>6.1274235870360458E-5</v>
      </c>
    </row>
    <row r="14" spans="1:25">
      <c r="A14" s="73" t="str">
        <f>'material inventory'!K15</f>
        <v>Acetonitrile</v>
      </c>
      <c r="B14">
        <f>'material inventory'!L15</f>
        <v>4.0681139631535285E-4</v>
      </c>
      <c r="C14">
        <f>'material inventory'!U15</f>
        <v>1.1011636458905816E-2</v>
      </c>
      <c r="D14">
        <f>'material inventory'!V15</f>
        <v>6.1321370740580926E-6</v>
      </c>
      <c r="E14">
        <f>'material inventory'!W15</f>
        <v>3.6670365183734448E-4</v>
      </c>
      <c r="F14">
        <f>'material inventory'!X15</f>
        <v>2.5298194173609969E-4</v>
      </c>
      <c r="G14">
        <f>'material inventory'!Y15</f>
        <v>1.7495034040829881E-6</v>
      </c>
      <c r="H14">
        <f>'material inventory'!Z15</f>
        <v>4.2736387303568476E-8</v>
      </c>
      <c r="I14">
        <f>'material inventory'!AA15</f>
        <v>2.8594967004149387E-3</v>
      </c>
      <c r="J14">
        <f>'material inventory'!AB15</f>
        <v>8.806751232796683E-6</v>
      </c>
      <c r="K14">
        <f>'material inventory'!AC15</f>
        <v>2.2375374704066394E-3</v>
      </c>
      <c r="L14">
        <f>'material inventory'!AD15</f>
        <v>1.6768068707053948E-6</v>
      </c>
      <c r="M14">
        <f>'material inventory'!AE15</f>
        <v>1.0748915408464733E-5</v>
      </c>
      <c r="N14">
        <f>'material inventory'!AF15</f>
        <v>4.1419074263900426E-8</v>
      </c>
      <c r="O14">
        <f>'material inventory'!AG15</f>
        <v>1.9870385789875524E-11</v>
      </c>
      <c r="P14">
        <f>'material inventory'!AH15</f>
        <v>6.2236808568298778E-7</v>
      </c>
      <c r="Q14">
        <f>'material inventory'!AI15</f>
        <v>9.4016860999170159E-7</v>
      </c>
      <c r="R14">
        <f>'material inventory'!AJ15</f>
        <v>2.6370193808464738E-6</v>
      </c>
      <c r="S14">
        <f>'material inventory'!AK15</f>
        <v>2.4546298615767646E-7</v>
      </c>
      <c r="T14">
        <f>'material inventory'!AL15</f>
        <v>9.8003702431867241E-7</v>
      </c>
      <c r="U14">
        <f>'material inventory'!AM15</f>
        <v>9.4382836688464751E-7</v>
      </c>
      <c r="V14">
        <f>'material inventory'!AN15</f>
        <v>1.2224784673195025E-5</v>
      </c>
      <c r="W14">
        <f>'material inventory'!AO15</f>
        <v>3.3758515012780094E-5</v>
      </c>
      <c r="X14">
        <f>'material inventory'!AP15</f>
        <v>3.08317067073859E-5</v>
      </c>
    </row>
    <row r="15" spans="1:25">
      <c r="A15" s="73" t="str">
        <f>'material inventory'!K16</f>
        <v>4-tert Butylpyridine</v>
      </c>
      <c r="B15">
        <f>'material inventory'!L16</f>
        <v>1.1128396373775934E-3</v>
      </c>
      <c r="C15">
        <f>'material inventory'!U16</f>
        <v>1.8248398073474791E-2</v>
      </c>
      <c r="D15">
        <f>'material inventory'!V16</f>
        <v>6.1938403845311212E-5</v>
      </c>
      <c r="E15">
        <f>'material inventory'!W16</f>
        <v>1.0203957566141081E-3</v>
      </c>
      <c r="F15">
        <f>'material inventory'!X16</f>
        <v>3.7439269842323654E-4</v>
      </c>
      <c r="G15">
        <f>'material inventory'!Y16</f>
        <v>1.4506964263568466E-5</v>
      </c>
      <c r="H15">
        <f>'material inventory'!Z16</f>
        <v>4.7809847215269716E-7</v>
      </c>
      <c r="I15">
        <f>'material inventory'!AA16</f>
        <v>2.1605369526970956E-2</v>
      </c>
      <c r="J15">
        <f>'material inventory'!AB16</f>
        <v>9.0296894216763493E-5</v>
      </c>
      <c r="K15">
        <f>'material inventory'!AC16</f>
        <v>1.7054440586887969E-2</v>
      </c>
      <c r="L15">
        <f>'material inventory'!AD16</f>
        <v>1.2539646062738592E-6</v>
      </c>
      <c r="M15">
        <f>'material inventory'!AE16</f>
        <v>6.776005974572615E-5</v>
      </c>
      <c r="N15">
        <f>'material inventory'!AF16</f>
        <v>1.5002808748879669E-7</v>
      </c>
      <c r="O15">
        <f>'material inventory'!AG16</f>
        <v>2.8164769752697098E-10</v>
      </c>
      <c r="P15">
        <f>'material inventory'!AH16</f>
        <v>2.8843293785228219E-6</v>
      </c>
      <c r="Q15">
        <f>'material inventory'!AI16</f>
        <v>3.1855498846804986E-6</v>
      </c>
      <c r="R15">
        <f>'material inventory'!AJ16</f>
        <v>5.6434931551867226E-6</v>
      </c>
      <c r="S15">
        <f>'material inventory'!AK16</f>
        <v>1.0400689386224068E-6</v>
      </c>
      <c r="T15">
        <f>'material inventory'!AL16</f>
        <v>9.1137019387219937E-6</v>
      </c>
      <c r="U15">
        <f>'material inventory'!AM16</f>
        <v>3.2733765900746895E-6</v>
      </c>
      <c r="V15">
        <f>'material inventory'!AN16</f>
        <v>4.6082421386887972E-5</v>
      </c>
      <c r="W15">
        <f>'material inventory'!AO16</f>
        <v>1.893945261809129E-4</v>
      </c>
      <c r="X15">
        <f>'material inventory'!AP16</f>
        <v>4.8034683581078842E-5</v>
      </c>
    </row>
    <row r="16" spans="1:25">
      <c r="A16" s="73" t="str">
        <f>'material inventory'!K17</f>
        <v>Chlorobenzene</v>
      </c>
      <c r="B16">
        <f>'material inventory'!L17</f>
        <v>1.3047440743568469E-2</v>
      </c>
      <c r="C16">
        <f>'material inventory'!U17</f>
        <v>0.3158692872487171</v>
      </c>
      <c r="D16">
        <f>'material inventory'!V17</f>
        <v>4.6090737261410801E-4</v>
      </c>
      <c r="E16">
        <f>'material inventory'!W17</f>
        <v>1.1100001473858924E-2</v>
      </c>
      <c r="F16">
        <f>'material inventory'!X17</f>
        <v>6.9761781112033213E-3</v>
      </c>
      <c r="G16">
        <f>'material inventory'!Y17</f>
        <v>4.0602499319502086E-4</v>
      </c>
      <c r="H16">
        <f>'material inventory'!Z17</f>
        <v>5.331316182572616E-6</v>
      </c>
      <c r="I16">
        <f>'material inventory'!AA17</f>
        <v>0.20279119668049797</v>
      </c>
      <c r="J16">
        <f>'material inventory'!AB17</f>
        <v>6.2446812946058113E-4</v>
      </c>
      <c r="K16">
        <f>'material inventory'!AC17</f>
        <v>0.16515009261410793</v>
      </c>
      <c r="L16">
        <f>'material inventory'!AD17</f>
        <v>1.0988546788381746E-5</v>
      </c>
      <c r="M16">
        <f>'material inventory'!AE17</f>
        <v>5.3337303634854794E-4</v>
      </c>
      <c r="N16">
        <f>'material inventory'!AF17</f>
        <v>1.0213997078838179E-6</v>
      </c>
      <c r="O16">
        <f>'material inventory'!AG17</f>
        <v>2.8614883996680505E-9</v>
      </c>
      <c r="P16">
        <f>'material inventory'!AH17</f>
        <v>3.3264998798340257E-5</v>
      </c>
      <c r="Q16">
        <f>'material inventory'!AI17</f>
        <v>8.8302690522821603E-5</v>
      </c>
      <c r="R16">
        <f>'material inventory'!AJ17</f>
        <v>5.9489441327800841E-5</v>
      </c>
      <c r="S16">
        <f>'material inventory'!AK17</f>
        <v>7.6622078539419105E-6</v>
      </c>
      <c r="T16">
        <f>'material inventory'!AL17</f>
        <v>1.087387319502075E-4</v>
      </c>
      <c r="U16">
        <f>'material inventory'!AM17</f>
        <v>3.407334704066391E-5</v>
      </c>
      <c r="V16">
        <f>'material inventory'!AN17</f>
        <v>4.9615441394190891E-4</v>
      </c>
      <c r="W16">
        <f>'material inventory'!AO17</f>
        <v>1.8521595963485482E-3</v>
      </c>
      <c r="X16">
        <f>'material inventory'!AP17</f>
        <v>8.6125904066390059E-4</v>
      </c>
    </row>
    <row r="17" spans="1:24">
      <c r="A17" s="73" t="str">
        <f>'material inventory'!K18</f>
        <v>Cu</v>
      </c>
      <c r="B17">
        <f>'material inventory'!L18</f>
        <v>4.3377008640000008E-3</v>
      </c>
      <c r="C17">
        <f>'material inventory'!U18</f>
        <v>6.2376082969804805E-2</v>
      </c>
      <c r="D17">
        <f>'material inventory'!V18</f>
        <v>3.1721840639999999E-4</v>
      </c>
      <c r="E17">
        <f>'material inventory'!W18</f>
        <v>3.9590584319999997E-3</v>
      </c>
      <c r="F17">
        <f>'material inventory'!X18</f>
        <v>1.149517824E-3</v>
      </c>
      <c r="G17">
        <f>'material inventory'!Y18</f>
        <v>4.2684579839999993E-3</v>
      </c>
      <c r="H17">
        <f>'material inventory'!Z18</f>
        <v>1.25755392E-4</v>
      </c>
      <c r="I17">
        <f>'material inventory'!AA18</f>
        <v>10.74253824</v>
      </c>
      <c r="J17">
        <f>'material inventory'!AB18</f>
        <v>4.0126464000000002E-4</v>
      </c>
      <c r="K17">
        <f>'material inventory'!AC18</f>
        <v>5.616930816</v>
      </c>
      <c r="L17">
        <f>'material inventory'!AD18</f>
        <v>2.584264704E-5</v>
      </c>
      <c r="M17">
        <f>'material inventory'!AE18</f>
        <v>4.118016E-2</v>
      </c>
      <c r="N17">
        <f>'material inventory'!AF18</f>
        <v>1.7120624639999999E-6</v>
      </c>
      <c r="O17">
        <f>'material inventory'!AG18</f>
        <v>2.581168128E-10</v>
      </c>
      <c r="P17">
        <f>'material inventory'!AH18</f>
        <v>1.2507586560000001E-4</v>
      </c>
      <c r="Q17">
        <f>'material inventory'!AI18</f>
        <v>8.0381091840000003E-5</v>
      </c>
      <c r="R17">
        <f>'material inventory'!AJ18</f>
        <v>4.1919037439999999E-4</v>
      </c>
      <c r="S17">
        <f>'material inventory'!AK18</f>
        <v>5.2917903360000002E-4</v>
      </c>
      <c r="T17">
        <f>'material inventory'!AL18</f>
        <v>3.7529640959999997E-4</v>
      </c>
      <c r="U17">
        <f>'material inventory'!AM18</f>
        <v>1.3898465279999999E-4</v>
      </c>
      <c r="V17">
        <f>'material inventory'!AN18</f>
        <v>1.9820666880000001E-3</v>
      </c>
      <c r="W17">
        <f>'material inventory'!AO18</f>
        <v>7.3806888959999997E-2</v>
      </c>
      <c r="X17">
        <f>'material inventory'!AP18</f>
        <v>2.0493311999999998E-3</v>
      </c>
    </row>
    <row r="18" spans="1:24">
      <c r="A18" s="73" t="str">
        <f>'material inventory'!K19</f>
        <v>Ar</v>
      </c>
      <c r="B18">
        <f>'material inventory'!L19</f>
        <v>0.17435194181818181</v>
      </c>
      <c r="C18">
        <f>'material inventory'!U19</f>
        <v>2.6195734909818178</v>
      </c>
      <c r="D18">
        <f>'material inventory'!V19</f>
        <v>9.1224029090909067E-3</v>
      </c>
      <c r="E18">
        <f>'material inventory'!W19</f>
        <v>0.1612671127272727</v>
      </c>
      <c r="F18">
        <f>'material inventory'!X19</f>
        <v>4.6310693818181814E-2</v>
      </c>
      <c r="G18">
        <f>'material inventory'!Y19</f>
        <v>2.292212945454545E-3</v>
      </c>
      <c r="H18">
        <f>'material inventory'!Z19</f>
        <v>9.4493614545454528E-5</v>
      </c>
      <c r="I18">
        <f>'material inventory'!AA19</f>
        <v>3.0353300363636362</v>
      </c>
      <c r="J18">
        <f>'material inventory'!AB19</f>
        <v>2.6864445090909086E-2</v>
      </c>
      <c r="K18">
        <f>'material inventory'!AC19</f>
        <v>2.6161224727272723</v>
      </c>
      <c r="L18">
        <f>'material inventory'!AD19</f>
        <v>1.5736177454545451E-4</v>
      </c>
      <c r="M18">
        <f>'material inventory'!AE19</f>
        <v>2.1028494545454542E-3</v>
      </c>
      <c r="N18">
        <f>'material inventory'!AF19</f>
        <v>1.9169242181818178E-5</v>
      </c>
      <c r="O18">
        <f>'material inventory'!AG19</f>
        <v>9.64981818181818E-9</v>
      </c>
      <c r="P18">
        <f>'material inventory'!AH19</f>
        <v>5.4048712727272716E-4</v>
      </c>
      <c r="Q18">
        <f>'material inventory'!AI19</f>
        <v>4.2998941090909086E-4</v>
      </c>
      <c r="R18">
        <f>'material inventory'!AJ19</f>
        <v>8.5158429090909072E-4</v>
      </c>
      <c r="S18">
        <f>'material inventory'!AK19</f>
        <v>5.8344584727272721E-5</v>
      </c>
      <c r="T18">
        <f>'material inventory'!AL19</f>
        <v>1.0372500363636363E-3</v>
      </c>
      <c r="U18">
        <f>'material inventory'!AM19</f>
        <v>6.8278545454545443E-4</v>
      </c>
      <c r="V18">
        <f>'material inventory'!AN19</f>
        <v>6.9018094545454534E-3</v>
      </c>
      <c r="W18">
        <f>'material inventory'!AO19</f>
        <v>2.7598155636363635E-2</v>
      </c>
      <c r="X18">
        <f>'material inventory'!AP19</f>
        <v>5.6508037818181808E-3</v>
      </c>
    </row>
    <row r="19" spans="1:24">
      <c r="A19" s="73" t="str">
        <f>'material inventory'!K20</f>
        <v>O₂</v>
      </c>
      <c r="B19">
        <f>'material inventory'!L20</f>
        <v>7.6841745454545455E-5</v>
      </c>
      <c r="C19">
        <f>'material inventory'!U20</f>
        <v>1.0469033187490908E-3</v>
      </c>
      <c r="D19">
        <f>'material inventory'!V20</f>
        <v>3.0219013818181814E-6</v>
      </c>
      <c r="E19">
        <f>'material inventory'!W20</f>
        <v>7.0931839999999993E-5</v>
      </c>
      <c r="F19">
        <f>'material inventory'!X20</f>
        <v>2.0077460363636363E-5</v>
      </c>
      <c r="G19">
        <f>'material inventory'!Y20</f>
        <v>9.2774487272727261E-7</v>
      </c>
      <c r="H19">
        <f>'material inventory'!Z20</f>
        <v>3.768586472727272E-8</v>
      </c>
      <c r="I19">
        <f>'material inventory'!AA20</f>
        <v>1.2544439272727272E-3</v>
      </c>
      <c r="J19">
        <f>'material inventory'!AB20</f>
        <v>7.800296727272727E-6</v>
      </c>
      <c r="K19">
        <f>'material inventory'!AC20</f>
        <v>1.0726056727272727E-3</v>
      </c>
      <c r="L19">
        <f>'material inventory'!AD20</f>
        <v>7.0114443636363631E-8</v>
      </c>
      <c r="M19">
        <f>'material inventory'!AE20</f>
        <v>7.8463563636363629E-7</v>
      </c>
      <c r="N19">
        <f>'material inventory'!AF20</f>
        <v>8.3335505454545451E-9</v>
      </c>
      <c r="O19">
        <f>'material inventory'!AG20</f>
        <v>3.4841195636363632E-12</v>
      </c>
      <c r="P19">
        <f>'material inventory'!AH20</f>
        <v>2.5893949090909089E-7</v>
      </c>
      <c r="Q19">
        <f>'material inventory'!AI20</f>
        <v>1.9396296727272729E-7</v>
      </c>
      <c r="R19">
        <f>'material inventory'!AJ20</f>
        <v>3.7955086545454546E-7</v>
      </c>
      <c r="S19">
        <f>'material inventory'!AK20</f>
        <v>2.4322731636363633E-8</v>
      </c>
      <c r="T19">
        <f>'material inventory'!AL20</f>
        <v>4.6189381818181811E-7</v>
      </c>
      <c r="U19">
        <f>'material inventory'!AM20</f>
        <v>2.8183307636363634E-7</v>
      </c>
      <c r="V19">
        <f>'material inventory'!AN20</f>
        <v>2.9375019636363634E-6</v>
      </c>
      <c r="W19">
        <f>'material inventory'!AO20</f>
        <v>1.1651141818181817E-5</v>
      </c>
      <c r="X19">
        <f>'material inventory'!AP20</f>
        <v>2.444015127272727E-6</v>
      </c>
    </row>
    <row r="20" spans="1:24">
      <c r="A20" s="73" t="str">
        <f>'material inventory'!K21</f>
        <v>Adhesive</v>
      </c>
      <c r="B20">
        <f>'material inventory'!L21</f>
        <v>5.8513339999999997E-2</v>
      </c>
      <c r="C20">
        <f>'material inventory'!U21</f>
        <v>1.121768096012</v>
      </c>
      <c r="D20">
        <f>'material inventory'!V21</f>
        <v>1.9549964000000002E-3</v>
      </c>
      <c r="E20">
        <f>'material inventory'!W21</f>
        <v>5.3267399999999999E-2</v>
      </c>
      <c r="F20">
        <f>'material inventory'!X21</f>
        <v>2.4177380000000002E-2</v>
      </c>
      <c r="G20">
        <f>'material inventory'!Y21</f>
        <v>6.0432339999999995E-4</v>
      </c>
      <c r="H20">
        <f>'material inventory'!Z21</f>
        <v>1.9439469999999997E-5</v>
      </c>
      <c r="I20">
        <f>'material inventory'!AA21</f>
        <v>0.90098060000000002</v>
      </c>
      <c r="J20">
        <f>'material inventory'!AB21</f>
        <v>3.5624719999999997E-3</v>
      </c>
      <c r="K20">
        <f>'material inventory'!AC21</f>
        <v>0.69086020000000004</v>
      </c>
      <c r="L20">
        <f>'material inventory'!AD21</f>
        <v>4.7078119999999994E-5</v>
      </c>
      <c r="M20">
        <f>'material inventory'!AE21</f>
        <v>3.4358179999999998E-3</v>
      </c>
      <c r="N20">
        <f>'material inventory'!AF21</f>
        <v>6.1276699999999994E-6</v>
      </c>
      <c r="O20">
        <f>'material inventory'!AG21</f>
        <v>5.7868959999999999E-9</v>
      </c>
      <c r="P20">
        <f>'material inventory'!AH21</f>
        <v>1.0165448000000001E-4</v>
      </c>
      <c r="Q20">
        <f>'material inventory'!AI21</f>
        <v>2.0535319999999998E-4</v>
      </c>
      <c r="R20">
        <f>'material inventory'!AJ21</f>
        <v>2.0896899999999998E-4</v>
      </c>
      <c r="S20">
        <f>'material inventory'!AK21</f>
        <v>4.8904199999999998E-5</v>
      </c>
      <c r="T20">
        <f>'material inventory'!AL21</f>
        <v>5.1992780000000005E-4</v>
      </c>
      <c r="U20">
        <f>'material inventory'!AM21</f>
        <v>1.6944567999999999E-4</v>
      </c>
      <c r="V20">
        <f>'material inventory'!AN21</f>
        <v>2.2575519999999999E-3</v>
      </c>
      <c r="W20">
        <f>'material inventory'!AO21</f>
        <v>8.1579719999999994E-3</v>
      </c>
      <c r="X20">
        <f>'material inventory'!AP21</f>
        <v>3.0584819999999995E-3</v>
      </c>
    </row>
    <row r="21" spans="1:24">
      <c r="A21" s="73" t="str">
        <f>'material inventory'!K22</f>
        <v>PET</v>
      </c>
      <c r="B21">
        <f>'material inventory'!L22</f>
        <v>0.19433649</v>
      </c>
      <c r="C21">
        <f>'material inventory'!U22</f>
        <v>4.876431431436</v>
      </c>
      <c r="D21">
        <f>'material inventory'!V22</f>
        <v>6.1952969999999998E-3</v>
      </c>
      <c r="E21">
        <f>'material inventory'!W22</f>
        <v>0.17387676999999999</v>
      </c>
      <c r="F21">
        <f>'material inventory'!X22</f>
        <v>0.10758629</v>
      </c>
      <c r="G21">
        <f>'material inventory'!Y22</f>
        <v>1.6921225000000001E-3</v>
      </c>
      <c r="H21">
        <f>'material inventory'!Z22</f>
        <v>5.3572875999999998E-5</v>
      </c>
      <c r="I21">
        <f>'material inventory'!AA22</f>
        <v>2.6013953999999999</v>
      </c>
      <c r="J21">
        <f>'material inventory'!AB22</f>
        <v>1.0938793E-2</v>
      </c>
      <c r="K21">
        <f>'material inventory'!AC22</f>
        <v>2.0643585999999998</v>
      </c>
      <c r="L21">
        <f>'material inventory'!AD22</f>
        <v>1.5557654999999999E-4</v>
      </c>
      <c r="M21">
        <f>'material inventory'!AE22</f>
        <v>8.7410389999999991E-3</v>
      </c>
      <c r="N21">
        <f>'material inventory'!AF22</f>
        <v>1.8848732999999998E-5</v>
      </c>
      <c r="O21">
        <f>'material inventory'!AG22</f>
        <v>8.897757E-9</v>
      </c>
      <c r="P21">
        <f>'material inventory'!AH22</f>
        <v>3.1222667999999997E-4</v>
      </c>
      <c r="Q21">
        <f>'material inventory'!AI22</f>
        <v>5.844594199999999E-4</v>
      </c>
      <c r="R21">
        <f>'material inventory'!AJ22</f>
        <v>7.4009149999999997E-4</v>
      </c>
      <c r="S21">
        <f>'material inventory'!AK22</f>
        <v>1.9091831E-4</v>
      </c>
      <c r="T21">
        <f>'material inventory'!AL22</f>
        <v>1.3298200999999998E-3</v>
      </c>
      <c r="U21">
        <f>'material inventory'!AM22</f>
        <v>3.5293016999999997E-4</v>
      </c>
      <c r="V21">
        <f>'material inventory'!AN22</f>
        <v>6.9066979999999993E-3</v>
      </c>
      <c r="W21">
        <f>'material inventory'!AO22</f>
        <v>2.4245015000000002E-2</v>
      </c>
      <c r="X21">
        <f>'material inventory'!AP22</f>
        <v>1.3306221999999999E-2</v>
      </c>
    </row>
    <row r="22" spans="1:24">
      <c r="A22" s="74" t="str">
        <f>'energy consumption'!H3</f>
        <v>UV/O₃ cleaning</v>
      </c>
      <c r="B22">
        <f>'energy consumption'!I3</f>
        <v>1.6328160013062525E-2</v>
      </c>
      <c r="C22">
        <f>'energy consumption'!R3</f>
        <v>0.28730686288644547</v>
      </c>
      <c r="D22">
        <f>'energy consumption'!S3</f>
        <v>1.8693710014954964E-5</v>
      </c>
      <c r="E22">
        <f>'energy consumption'!T3</f>
        <v>1.5409770012327814E-2</v>
      </c>
      <c r="F22">
        <f>'energy consumption'!U3</f>
        <v>6.8057000054445585E-3</v>
      </c>
      <c r="G22">
        <f>'energy consumption'!V3</f>
        <v>5.8673000046938391E-5</v>
      </c>
      <c r="H22">
        <f>'energy consumption'!W3</f>
        <v>2.8632700022906155E-7</v>
      </c>
      <c r="I22">
        <f>'energy consumption'!X3</f>
        <v>0.12002550009602038</v>
      </c>
      <c r="J22">
        <f>'energy consumption'!Y3</f>
        <v>9.7129000077703195E-5</v>
      </c>
      <c r="K22">
        <f>'energy consumption'!Z3</f>
        <v>3.6096200028876951E-2</v>
      </c>
      <c r="L22">
        <f>'energy consumption'!AA3</f>
        <v>1.4139250011311397E-5</v>
      </c>
      <c r="M22">
        <f>'energy consumption'!AB3</f>
        <v>6.8977000055181581E-5</v>
      </c>
      <c r="N22">
        <f>'energy consumption'!AC3</f>
        <v>2.5380500020304394E-6</v>
      </c>
      <c r="O22">
        <f>'energy consumption'!AD3</f>
        <v>1.3637620010910093E-9</v>
      </c>
      <c r="P22">
        <f>'energy consumption'!AE3</f>
        <v>1.7218260013774604E-5</v>
      </c>
      <c r="Q22">
        <f>'energy consumption'!AF3</f>
        <v>4.6312800037050232E-5</v>
      </c>
      <c r="R22">
        <f>'energy consumption'!AG3</f>
        <v>6.6700000053359981E-5</v>
      </c>
      <c r="S22">
        <f>'energy consumption'!AH3</f>
        <v>1.1937690009550149E-6</v>
      </c>
      <c r="T22">
        <f>'energy consumption'!AI3</f>
        <v>7.3625300058900238E-6</v>
      </c>
      <c r="U22">
        <f>'energy consumption'!AJ3</f>
        <v>1.844278001475422E-6</v>
      </c>
      <c r="V22">
        <f>'energy consumption'!AK3</f>
        <v>4.5112200036089749E-4</v>
      </c>
      <c r="W22">
        <f>'energy consumption'!AL3</f>
        <v>1.3910860011128686E-3</v>
      </c>
      <c r="X22">
        <f>'energy consumption'!AM3</f>
        <v>8.1928300065542631E-4</v>
      </c>
    </row>
    <row r="23" spans="1:24">
      <c r="A23" s="74" t="str">
        <f>'energy consumption'!H4</f>
        <v>ETL slot-die coating</v>
      </c>
      <c r="B23">
        <f>'energy consumption'!I4</f>
        <v>1.4790000011831998E-2</v>
      </c>
      <c r="C23">
        <f>'energy consumption'!R4</f>
        <v>0.2602417236290267</v>
      </c>
      <c r="D23">
        <f>'energy consumption'!S4</f>
        <v>1.6932708346879497E-5</v>
      </c>
      <c r="E23">
        <f>'energy consumption'!T4</f>
        <v>1.3958125011166497E-2</v>
      </c>
      <c r="F23">
        <f>'energy consumption'!U4</f>
        <v>6.1645833382649989E-3</v>
      </c>
      <c r="G23">
        <f>'energy consumption'!V4</f>
        <v>5.3145833375849992E-5</v>
      </c>
      <c r="H23">
        <f>'energy consumption'!W4</f>
        <v>2.5935416687414999E-7</v>
      </c>
      <c r="I23">
        <f>'energy consumption'!X4</f>
        <v>0.10871875008697497</v>
      </c>
      <c r="J23">
        <f>'energy consumption'!Y4</f>
        <v>8.7979166737049995E-5</v>
      </c>
      <c r="K23">
        <f>'energy consumption'!Z4</f>
        <v>3.2695833359489994E-2</v>
      </c>
      <c r="L23">
        <f>'energy consumption'!AA4</f>
        <v>1.2807291676912498E-5</v>
      </c>
      <c r="M23">
        <f>'energy consumption'!AB4</f>
        <v>6.2479166716649989E-5</v>
      </c>
      <c r="N23">
        <f>'energy consumption'!AC4</f>
        <v>2.2989583351724996E-6</v>
      </c>
      <c r="O23">
        <f>'energy consumption'!AD4</f>
        <v>1.2352916676548999E-9</v>
      </c>
      <c r="P23">
        <f>'energy consumption'!AE4</f>
        <v>1.5596250012476997E-5</v>
      </c>
      <c r="Q23">
        <f>'energy consumption'!AF4</f>
        <v>4.1950000033559991E-5</v>
      </c>
      <c r="R23">
        <f>'energy consumption'!AG4</f>
        <v>6.0416666714999987E-5</v>
      </c>
      <c r="S23">
        <f>'energy consumption'!AH4</f>
        <v>1.0813125008650499E-6</v>
      </c>
      <c r="T23">
        <f>'energy consumption'!AI4</f>
        <v>6.6689583386684999E-6</v>
      </c>
      <c r="U23">
        <f>'energy consumption'!AJ4</f>
        <v>1.6705416680030996E-6</v>
      </c>
      <c r="V23">
        <f>'energy consumption'!AK4</f>
        <v>4.0862500032689994E-4</v>
      </c>
      <c r="W23">
        <f>'energy consumption'!AL4</f>
        <v>1.2600416676746998E-3</v>
      </c>
      <c r="X23">
        <f>'energy consumption'!AM4</f>
        <v>7.4210416726034993E-4</v>
      </c>
    </row>
    <row r="24" spans="1:24">
      <c r="A24" s="74" t="str">
        <f>'energy consumption'!H5</f>
        <v>ETL annealing</v>
      </c>
      <c r="B24">
        <f>'energy consumption'!I5</f>
        <v>4.5637714322224454</v>
      </c>
      <c r="C24">
        <f>'energy consumption'!R5</f>
        <v>80.303160434099667</v>
      </c>
      <c r="D24">
        <f>'energy consumption'!S5</f>
        <v>5.2249500041799592E-3</v>
      </c>
      <c r="E24">
        <f>'energy consumption'!T5</f>
        <v>4.3070785748742333</v>
      </c>
      <c r="F24">
        <f>'energy consumption'!U5</f>
        <v>1.9022142872360568</v>
      </c>
      <c r="G24">
        <f>'energy consumption'!V5</f>
        <v>1.6399285727405139E-2</v>
      </c>
      <c r="H24">
        <f>'energy consumption'!W5</f>
        <v>8.0029285778309141E-5</v>
      </c>
      <c r="I24">
        <f>'energy consumption'!X5</f>
        <v>33.547500026837994</v>
      </c>
      <c r="J24">
        <f>'energy consumption'!Y5</f>
        <v>2.7147857164575427E-2</v>
      </c>
      <c r="K24">
        <f>'energy consumption'!Z5</f>
        <v>10.089000008071197</v>
      </c>
      <c r="L24">
        <f>'energy consumption'!AA5</f>
        <v>3.951964288875856E-3</v>
      </c>
      <c r="M24">
        <f>'energy consumption'!AB5</f>
        <v>1.9279285729709141E-2</v>
      </c>
      <c r="N24">
        <f>'energy consumption'!AC5</f>
        <v>7.0939285771037136E-4</v>
      </c>
      <c r="O24">
        <f>'energy consumption'!AD5</f>
        <v>3.8117571459065481E-7</v>
      </c>
      <c r="P24">
        <f>'energy consumption'!AE5</f>
        <v>4.8125571467071875E-3</v>
      </c>
      <c r="Q24">
        <f>'energy consumption'!AF5</f>
        <v>1.2944571438927084E-2</v>
      </c>
      <c r="R24">
        <f>'energy consumption'!AG5</f>
        <v>1.8642857157771423E-2</v>
      </c>
      <c r="S24">
        <f>'energy consumption'!AH5</f>
        <v>3.3366214312407252E-4</v>
      </c>
      <c r="T24">
        <f>'energy consumption'!AI5</f>
        <v>2.0578500016462799E-3</v>
      </c>
      <c r="U24">
        <f>'energy consumption'!AJ5</f>
        <v>5.1548142898381357E-4</v>
      </c>
      <c r="V24">
        <f>'energy consumption'!AK5</f>
        <v>0.12609000010087199</v>
      </c>
      <c r="W24">
        <f>'energy consumption'!AL5</f>
        <v>0.38881285745390737</v>
      </c>
      <c r="X24">
        <f>'energy consumption'!AM5</f>
        <v>0.22899214304033655</v>
      </c>
    </row>
    <row r="25" spans="1:24">
      <c r="A25" s="74" t="str">
        <f>'energy consumption'!H6</f>
        <v>PL 1st-step slot-die coating</v>
      </c>
      <c r="B25">
        <f>'energy consumption'!I6</f>
        <v>2.1128571445474281E-2</v>
      </c>
      <c r="C25">
        <f>'energy consumption'!R6</f>
        <v>0.37177389089860957</v>
      </c>
      <c r="D25">
        <f>'energy consumption'!S6</f>
        <v>2.4189583352684997E-5</v>
      </c>
      <c r="E25">
        <f>'energy consumption'!T6</f>
        <v>1.9940178587380709E-2</v>
      </c>
      <c r="F25">
        <f>'energy consumption'!U6</f>
        <v>8.806547626092856E-3</v>
      </c>
      <c r="G25">
        <f>'energy consumption'!V6</f>
        <v>7.5922619108357133E-5</v>
      </c>
      <c r="H25">
        <f>'energy consumption'!W6</f>
        <v>3.7050595267735709E-7</v>
      </c>
      <c r="I25">
        <f>'energy consumption'!X6</f>
        <v>0.15531250012424996</v>
      </c>
      <c r="J25">
        <f>'energy consumption'!Y6</f>
        <v>1.2568452391007142E-4</v>
      </c>
      <c r="K25">
        <f>'energy consumption'!Z6</f>
        <v>4.6708333370699989E-2</v>
      </c>
      <c r="L25">
        <f>'energy consumption'!AA6</f>
        <v>1.8296130967017852E-5</v>
      </c>
      <c r="M25">
        <f>'energy consumption'!AB6</f>
        <v>8.9255952452357121E-5</v>
      </c>
      <c r="N25">
        <f>'energy consumption'!AC6</f>
        <v>3.2842261931035708E-6</v>
      </c>
      <c r="O25">
        <f>'energy consumption'!AD6</f>
        <v>1.7647023823641425E-9</v>
      </c>
      <c r="P25">
        <f>'energy consumption'!AE6</f>
        <v>2.2280357160681425E-5</v>
      </c>
      <c r="Q25">
        <f>'energy consumption'!AF6</f>
        <v>5.9928571476514276E-5</v>
      </c>
      <c r="R25">
        <f>'energy consumption'!AG6</f>
        <v>8.6309523878571413E-5</v>
      </c>
      <c r="S25">
        <f>'energy consumption'!AH6</f>
        <v>1.5447321440929283E-6</v>
      </c>
      <c r="T25">
        <f>'energy consumption'!AI6</f>
        <v>9.5270833409549991E-6</v>
      </c>
      <c r="U25">
        <f>'energy consumption'!AJ6</f>
        <v>2.3864880971472853E-6</v>
      </c>
      <c r="V25">
        <f>'energy consumption'!AK6</f>
        <v>5.8375000046699988E-4</v>
      </c>
      <c r="W25">
        <f>'energy consumption'!AL6</f>
        <v>1.8000595252495712E-3</v>
      </c>
      <c r="X25">
        <f>'energy consumption'!AM6</f>
        <v>1.0601488103719283E-3</v>
      </c>
    </row>
    <row r="26" spans="1:24">
      <c r="A26" s="74" t="str">
        <f>'energy consumption'!H7</f>
        <v>PL annealing</v>
      </c>
      <c r="B26">
        <f>'energy consumption'!I7</f>
        <v>7.0992000056793583E-2</v>
      </c>
      <c r="C26">
        <f>'energy consumption'!R7</f>
        <v>1.2491602734193281</v>
      </c>
      <c r="D26">
        <f>'energy consumption'!S7</f>
        <v>8.1277000065021584E-5</v>
      </c>
      <c r="E26">
        <f>'energy consumption'!T7</f>
        <v>6.6999000053599184E-2</v>
      </c>
      <c r="F26">
        <f>'energy consumption'!U7</f>
        <v>2.9590000023671997E-2</v>
      </c>
      <c r="G26">
        <f>'energy consumption'!V7</f>
        <v>2.5510000020407994E-4</v>
      </c>
      <c r="H26">
        <f>'energy consumption'!W7</f>
        <v>1.2449000009959199E-6</v>
      </c>
      <c r="I26">
        <f>'energy consumption'!X7</f>
        <v>0.52185000041747986</v>
      </c>
      <c r="J26">
        <f>'energy consumption'!Y7</f>
        <v>4.2230000033783996E-4</v>
      </c>
      <c r="K26">
        <f>'energy consumption'!Z7</f>
        <v>0.15694000012555195</v>
      </c>
      <c r="L26">
        <f>'energy consumption'!AA7</f>
        <v>6.1475000049179983E-5</v>
      </c>
      <c r="M26">
        <f>'energy consumption'!AB7</f>
        <v>2.9990000023991993E-4</v>
      </c>
      <c r="N26">
        <f>'energy consumption'!AC7</f>
        <v>1.1035000008827998E-5</v>
      </c>
      <c r="O26">
        <f>'energy consumption'!AD7</f>
        <v>5.9294000047435191E-9</v>
      </c>
      <c r="P26">
        <f>'energy consumption'!AE7</f>
        <v>7.4862000059889582E-5</v>
      </c>
      <c r="Q26">
        <f>'energy consumption'!AF7</f>
        <v>2.0136000016108795E-4</v>
      </c>
      <c r="R26">
        <f>'energy consumption'!AG7</f>
        <v>2.9000000023199991E-4</v>
      </c>
      <c r="S26">
        <f>'energy consumption'!AH7</f>
        <v>5.1903000041522395E-6</v>
      </c>
      <c r="T26">
        <f>'energy consumption'!AI7</f>
        <v>3.2011000025608797E-5</v>
      </c>
      <c r="U26">
        <f>'energy consumption'!AJ7</f>
        <v>8.0186000064148784E-6</v>
      </c>
      <c r="V26">
        <f>'energy consumption'!AK7</f>
        <v>1.9614000015691197E-3</v>
      </c>
      <c r="W26">
        <f>'energy consumption'!AL7</f>
        <v>6.0482000048385593E-3</v>
      </c>
      <c r="X26">
        <f>'energy consumption'!AM7</f>
        <v>3.5621000028496796E-3</v>
      </c>
    </row>
    <row r="27" spans="1:24">
      <c r="A27" s="74" t="str">
        <f>'energy consumption'!H8</f>
        <v>PL 2nd-step slot-die coating</v>
      </c>
      <c r="B27">
        <f>'energy consumption'!I8</f>
        <v>2.1128571445474281E-2</v>
      </c>
      <c r="C27">
        <f>'energy consumption'!R8</f>
        <v>0.37177389089860957</v>
      </c>
      <c r="D27">
        <f>'energy consumption'!S8</f>
        <v>2.4189583352684997E-5</v>
      </c>
      <c r="E27">
        <f>'energy consumption'!T8</f>
        <v>1.9940178587380709E-2</v>
      </c>
      <c r="F27">
        <f>'energy consumption'!U8</f>
        <v>8.806547626092856E-3</v>
      </c>
      <c r="G27">
        <f>'energy consumption'!V8</f>
        <v>7.5922619108357133E-5</v>
      </c>
      <c r="H27">
        <f>'energy consumption'!W8</f>
        <v>3.7050595267735709E-7</v>
      </c>
      <c r="I27">
        <f>'energy consumption'!X8</f>
        <v>0.15531250012424996</v>
      </c>
      <c r="J27">
        <f>'energy consumption'!Y8</f>
        <v>1.2568452391007142E-4</v>
      </c>
      <c r="K27">
        <f>'energy consumption'!Z8</f>
        <v>4.6708333370699989E-2</v>
      </c>
      <c r="L27">
        <f>'energy consumption'!AA8</f>
        <v>1.8296130967017852E-5</v>
      </c>
      <c r="M27">
        <f>'energy consumption'!AB8</f>
        <v>8.9255952452357121E-5</v>
      </c>
      <c r="N27">
        <f>'energy consumption'!AC8</f>
        <v>3.2842261931035708E-6</v>
      </c>
      <c r="O27">
        <f>'energy consumption'!AD8</f>
        <v>1.7647023823641425E-9</v>
      </c>
      <c r="P27">
        <f>'energy consumption'!AE8</f>
        <v>2.2280357160681425E-5</v>
      </c>
      <c r="Q27">
        <f>'energy consumption'!AF8</f>
        <v>5.9928571476514276E-5</v>
      </c>
      <c r="R27">
        <f>'energy consumption'!AG8</f>
        <v>8.6309523878571413E-5</v>
      </c>
      <c r="S27">
        <f>'energy consumption'!AH8</f>
        <v>1.5447321440929283E-6</v>
      </c>
      <c r="T27">
        <f>'energy consumption'!AI8</f>
        <v>9.5270833409549991E-6</v>
      </c>
      <c r="U27">
        <f>'energy consumption'!AJ8</f>
        <v>2.3864880971472853E-6</v>
      </c>
      <c r="V27">
        <f>'energy consumption'!AK8</f>
        <v>5.8375000046699988E-4</v>
      </c>
      <c r="W27">
        <f>'energy consumption'!AL8</f>
        <v>1.8000595252495712E-3</v>
      </c>
      <c r="X27">
        <f>'energy consumption'!AM8</f>
        <v>1.0601488103719283E-3</v>
      </c>
    </row>
    <row r="28" spans="1:24">
      <c r="A28" s="74" t="str">
        <f>'energy consumption'!H9</f>
        <v>PL post-annealing</v>
      </c>
      <c r="B28">
        <f>'energy consumption'!I9</f>
        <v>2.2818857161112227</v>
      </c>
      <c r="C28">
        <f>'energy consumption'!R9</f>
        <v>40.151580217049833</v>
      </c>
      <c r="D28">
        <f>'energy consumption'!S9</f>
        <v>2.6124750020899796E-3</v>
      </c>
      <c r="E28">
        <f>'energy consumption'!T9</f>
        <v>2.1535392874371166</v>
      </c>
      <c r="F28">
        <f>'energy consumption'!U9</f>
        <v>0.95110714361802839</v>
      </c>
      <c r="G28">
        <f>'energy consumption'!V9</f>
        <v>8.1996428637025696E-3</v>
      </c>
      <c r="H28">
        <f>'energy consumption'!W9</f>
        <v>4.0014642889154571E-5</v>
      </c>
      <c r="I28">
        <f>'energy consumption'!X9</f>
        <v>16.773750013418997</v>
      </c>
      <c r="J28">
        <f>'energy consumption'!Y9</f>
        <v>1.3573928582287714E-2</v>
      </c>
      <c r="K28">
        <f>'energy consumption'!Z9</f>
        <v>5.0445000040355987</v>
      </c>
      <c r="L28">
        <f>'energy consumption'!AA9</f>
        <v>1.975982144437928E-3</v>
      </c>
      <c r="M28">
        <f>'energy consumption'!AB9</f>
        <v>9.6396428648545703E-3</v>
      </c>
      <c r="N28">
        <f>'energy consumption'!AC9</f>
        <v>3.5469642885518568E-4</v>
      </c>
      <c r="O28">
        <f>'energy consumption'!AD9</f>
        <v>1.905878572953274E-7</v>
      </c>
      <c r="P28">
        <f>'energy consumption'!AE9</f>
        <v>2.4062785733535937E-3</v>
      </c>
      <c r="Q28">
        <f>'energy consumption'!AF9</f>
        <v>6.4722857194635421E-3</v>
      </c>
      <c r="R28">
        <f>'energy consumption'!AG9</f>
        <v>9.3214285788857116E-3</v>
      </c>
      <c r="S28">
        <f>'energy consumption'!AH9</f>
        <v>1.6683107156203626E-4</v>
      </c>
      <c r="T28">
        <f>'energy consumption'!AI9</f>
        <v>1.0289250008231399E-3</v>
      </c>
      <c r="U28">
        <f>'energy consumption'!AJ9</f>
        <v>2.5774071449190678E-4</v>
      </c>
      <c r="V28">
        <f>'energy consumption'!AK9</f>
        <v>6.3045000050435993E-2</v>
      </c>
      <c r="W28">
        <f>'energy consumption'!AL9</f>
        <v>0.19440642872695368</v>
      </c>
      <c r="X28">
        <f>'energy consumption'!AM9</f>
        <v>0.11449607152016827</v>
      </c>
    </row>
    <row r="29" spans="1:24">
      <c r="A29" s="74" t="str">
        <f>'energy consumption'!H10</f>
        <v>HTL slot-die coating</v>
      </c>
      <c r="B29">
        <f>'energy consumption'!I10</f>
        <v>9.8600000078879993E-2</v>
      </c>
      <c r="C29">
        <f>'energy consumption'!R10</f>
        <v>1.7349448241935115</v>
      </c>
      <c r="D29">
        <f>'energy consumption'!S10</f>
        <v>1.1288472231252999E-4</v>
      </c>
      <c r="E29">
        <f>'energy consumption'!T10</f>
        <v>9.3054166741109987E-2</v>
      </c>
      <c r="F29">
        <f>'energy consumption'!U10</f>
        <v>4.1097222255099992E-2</v>
      </c>
      <c r="G29">
        <f>'energy consumption'!V10</f>
        <v>3.5430555583899995E-4</v>
      </c>
      <c r="H29">
        <f>'energy consumption'!W10</f>
        <v>1.729027779161E-6</v>
      </c>
      <c r="I29">
        <f>'energy consumption'!X10</f>
        <v>0.7247916672464999</v>
      </c>
      <c r="J29">
        <f>'energy consumption'!Y10</f>
        <v>5.8652777824699993E-4</v>
      </c>
      <c r="K29">
        <f>'energy consumption'!Z10</f>
        <v>0.21797222239659997</v>
      </c>
      <c r="L29">
        <f>'energy consumption'!AA10</f>
        <v>8.5381944512749982E-5</v>
      </c>
      <c r="M29">
        <f>'energy consumption'!AB10</f>
        <v>4.1652777811099993E-4</v>
      </c>
      <c r="N29">
        <f>'energy consumption'!AC10</f>
        <v>1.5326388901149997E-5</v>
      </c>
      <c r="O29">
        <f>'energy consumption'!AD10</f>
        <v>8.2352777843660001E-9</v>
      </c>
      <c r="P29">
        <f>'energy consumption'!AE10</f>
        <v>1.0397500008317998E-4</v>
      </c>
      <c r="Q29">
        <f>'energy consumption'!AF10</f>
        <v>2.7966666689039997E-4</v>
      </c>
      <c r="R29">
        <f>'energy consumption'!AG10</f>
        <v>4.0277777809999996E-4</v>
      </c>
      <c r="S29">
        <f>'energy consumption'!AH10</f>
        <v>7.2087500057669995E-6</v>
      </c>
      <c r="T29">
        <f>'energy consumption'!AI10</f>
        <v>4.4459722257790003E-5</v>
      </c>
      <c r="U29">
        <f>'energy consumption'!AJ10</f>
        <v>1.1136944453353999E-5</v>
      </c>
      <c r="V29">
        <f>'energy consumption'!AK10</f>
        <v>2.7241666688459995E-3</v>
      </c>
      <c r="W29">
        <f>'energy consumption'!AL10</f>
        <v>8.4002777844979989E-3</v>
      </c>
      <c r="X29">
        <f>'energy consumption'!AM10</f>
        <v>4.9473611150689994E-3</v>
      </c>
    </row>
    <row r="30" spans="1:24">
      <c r="A30" s="74" t="str">
        <f>'energy consumption'!H11</f>
        <v>Electrode sputtering</v>
      </c>
      <c r="B30">
        <f>'energy consumption'!I11</f>
        <v>4.4961600035969278</v>
      </c>
      <c r="C30">
        <f>'energy consumption'!R11</f>
        <v>79.113483983224114</v>
      </c>
      <c r="D30">
        <f>'energy consumption'!S11</f>
        <v>5.1475433374513673E-3</v>
      </c>
      <c r="E30">
        <f>'energy consumption'!T11</f>
        <v>4.2432700033946151</v>
      </c>
      <c r="F30">
        <f>'energy consumption'!U11</f>
        <v>1.8740333348325597</v>
      </c>
      <c r="G30">
        <f>'energy consumption'!V11</f>
        <v>1.6156333346258399E-2</v>
      </c>
      <c r="H30">
        <f>'energy consumption'!W11</f>
        <v>7.8843666729741597E-5</v>
      </c>
      <c r="I30">
        <f>'energy consumption'!X11</f>
        <v>33.050500026440396</v>
      </c>
      <c r="J30">
        <f>'energy consumption'!Y11</f>
        <v>2.6745666688063198E-2</v>
      </c>
      <c r="K30">
        <f>'energy consumption'!Z11</f>
        <v>9.9395333412849585</v>
      </c>
      <c r="L30">
        <f>'energy consumption'!AA11</f>
        <v>3.8934166697813994E-3</v>
      </c>
      <c r="M30">
        <f>'energy consumption'!AB11</f>
        <v>1.8993666681861598E-2</v>
      </c>
      <c r="N30">
        <f>'energy consumption'!AC11</f>
        <v>6.9888333389243992E-4</v>
      </c>
      <c r="O30">
        <f>'energy consumption'!AD11</f>
        <v>3.7552866696708955E-7</v>
      </c>
      <c r="P30">
        <f>'energy consumption'!AE11</f>
        <v>4.7412600037930073E-3</v>
      </c>
      <c r="Q30">
        <f>'energy consumption'!AF11</f>
        <v>1.2752800010202238E-2</v>
      </c>
      <c r="R30">
        <f>'energy consumption'!AG11</f>
        <v>1.8366666681359996E-2</v>
      </c>
      <c r="S30">
        <f>'energy consumption'!AH11</f>
        <v>3.2871900026297518E-4</v>
      </c>
      <c r="T30">
        <f>'energy consumption'!AI11</f>
        <v>2.0273633349552241E-3</v>
      </c>
      <c r="U30">
        <f>'energy consumption'!AJ11</f>
        <v>5.0784466707294227E-4</v>
      </c>
      <c r="V30">
        <f>'energy consumption'!AK11</f>
        <v>0.12422200009937759</v>
      </c>
      <c r="W30">
        <f>'energy consumption'!AL11</f>
        <v>0.38305266697310875</v>
      </c>
      <c r="X30">
        <f>'energy consumption'!AM11</f>
        <v>0.22559966684714639</v>
      </c>
    </row>
    <row r="31" spans="1:24">
      <c r="A31" s="74" t="str">
        <f>'energy consumption'!H12</f>
        <v>Lamination</v>
      </c>
      <c r="B31">
        <f>'energy consumption'!I12</f>
        <v>8.8740000070991979E-3</v>
      </c>
      <c r="C31">
        <f>'energy consumption'!R12</f>
        <v>0.15614503417741601</v>
      </c>
      <c r="D31">
        <f>'energy consumption'!S12</f>
        <v>1.0159625008127698E-5</v>
      </c>
      <c r="E31">
        <f>'energy consumption'!T12</f>
        <v>8.374875006699898E-3</v>
      </c>
      <c r="F31">
        <f>'energy consumption'!U12</f>
        <v>3.6987500029589996E-3</v>
      </c>
      <c r="G31">
        <f>'energy consumption'!V12</f>
        <v>3.1887500025509992E-5</v>
      </c>
      <c r="H31">
        <f>'energy consumption'!W12</f>
        <v>1.5561250012448999E-7</v>
      </c>
      <c r="I31">
        <f>'energy consumption'!X12</f>
        <v>6.5231250052184983E-2</v>
      </c>
      <c r="J31">
        <f>'energy consumption'!Y12</f>
        <v>5.2787500042229995E-5</v>
      </c>
      <c r="K31">
        <f>'energy consumption'!Z12</f>
        <v>1.9617500015693994E-2</v>
      </c>
      <c r="L31">
        <f>'energy consumption'!AA12</f>
        <v>7.6843750061474979E-6</v>
      </c>
      <c r="M31">
        <f>'energy consumption'!AB12</f>
        <v>3.7487500029989991E-5</v>
      </c>
      <c r="N31">
        <f>'energy consumption'!AC12</f>
        <v>1.3793750011034997E-6</v>
      </c>
      <c r="O31">
        <f>'energy consumption'!AD12</f>
        <v>7.4117500059293989E-10</v>
      </c>
      <c r="P31">
        <f>'energy consumption'!AE12</f>
        <v>9.3577500074861978E-6</v>
      </c>
      <c r="Q31">
        <f>'energy consumption'!AF12</f>
        <v>2.5170000020135994E-5</v>
      </c>
      <c r="R31">
        <f>'energy consumption'!AG12</f>
        <v>3.6250000028999989E-5</v>
      </c>
      <c r="S31">
        <f>'energy consumption'!AH12</f>
        <v>6.4878750051902993E-7</v>
      </c>
      <c r="T31">
        <f>'energy consumption'!AI12</f>
        <v>4.0013750032010996E-6</v>
      </c>
      <c r="U31">
        <f>'energy consumption'!AJ12</f>
        <v>1.0023250008018598E-6</v>
      </c>
      <c r="V31">
        <f>'energy consumption'!AK12</f>
        <v>2.4517500019613996E-4</v>
      </c>
      <c r="W31">
        <f>'energy consumption'!AL12</f>
        <v>7.5602500060481992E-4</v>
      </c>
      <c r="X31">
        <f>'energy consumption'!AM12</f>
        <v>4.4526250035620995E-4</v>
      </c>
    </row>
    <row r="32" spans="1:24">
      <c r="A32" s="75" t="s">
        <v>14</v>
      </c>
      <c r="B32" s="9">
        <f>'material inventory'!L23</f>
        <v>0</v>
      </c>
      <c r="C32" s="17">
        <f>'material inventory'!U23</f>
        <v>0</v>
      </c>
      <c r="D32" s="9">
        <f>'material inventory'!V23</f>
        <v>0</v>
      </c>
      <c r="E32" s="9">
        <f>'material inventory'!W23</f>
        <v>0</v>
      </c>
      <c r="F32" s="9">
        <f>'material inventory'!X23</f>
        <v>0</v>
      </c>
      <c r="G32" s="9">
        <f>'material inventory'!Y23</f>
        <v>1.7258416833342491E-2</v>
      </c>
      <c r="H32" s="9">
        <f>'material inventory'!Z23</f>
        <v>0</v>
      </c>
      <c r="I32" s="9">
        <f>'material inventory'!AA23</f>
        <v>3.0033926547990232E-2</v>
      </c>
      <c r="J32" s="9">
        <f>'material inventory'!AB23</f>
        <v>0</v>
      </c>
      <c r="K32" s="9">
        <f>'material inventory'!AC23</f>
        <v>39.346661094876254</v>
      </c>
      <c r="L32" s="9">
        <f>'material inventory'!AD23</f>
        <v>0</v>
      </c>
      <c r="M32" s="9">
        <f>'material inventory'!AE23</f>
        <v>0</v>
      </c>
      <c r="N32" s="9">
        <f>'material inventory'!AF23</f>
        <v>0</v>
      </c>
      <c r="O32" s="9">
        <f>'material inventory'!AG23</f>
        <v>0</v>
      </c>
      <c r="P32" s="9">
        <f>'material inventory'!AH23</f>
        <v>0</v>
      </c>
      <c r="Q32" s="9">
        <f>'material inventory'!AI23</f>
        <v>1.2175150279972412E-3</v>
      </c>
      <c r="R32" s="9">
        <f>'material inventory'!AJ23</f>
        <v>0</v>
      </c>
      <c r="S32" s="9">
        <f>'material inventory'!AK23</f>
        <v>0.18068797405282636</v>
      </c>
      <c r="T32" s="9">
        <f>'material inventory'!AL23</f>
        <v>0</v>
      </c>
      <c r="U32" s="9">
        <f>'material inventory'!AM23</f>
        <v>0</v>
      </c>
      <c r="V32" s="9">
        <f>'material inventory'!AN23</f>
        <v>4.9676475905721842E-2</v>
      </c>
      <c r="W32" s="9">
        <f>'material inventory'!AO23</f>
        <v>1.5378285736341869E-4</v>
      </c>
      <c r="X32" s="9">
        <f>'material inventory'!AP23</f>
        <v>0</v>
      </c>
    </row>
    <row r="33" spans="1:25">
      <c r="A33" s="75" t="s">
        <v>76</v>
      </c>
      <c r="B33" s="9">
        <f>'material inventory'!L37</f>
        <v>1.2757696199999999E-4</v>
      </c>
      <c r="C33" s="9">
        <f>'material inventory'!U37</f>
        <v>1.0661210680980003E-3</v>
      </c>
      <c r="D33" s="9">
        <f>'material inventory'!V37</f>
        <v>4.5807721199999999E-6</v>
      </c>
      <c r="E33" s="9">
        <f>'material inventory'!W37</f>
        <v>1.1673294600000001E-4</v>
      </c>
      <c r="F33" s="9">
        <f>'material inventory'!X37</f>
        <v>2.0171209800000002E-5</v>
      </c>
      <c r="G33" s="9">
        <f>'material inventory'!Y37</f>
        <v>1.7836447800000002E-6</v>
      </c>
      <c r="H33" s="9">
        <f>'material inventory'!Z37</f>
        <v>7.2485856000000006E-7</v>
      </c>
      <c r="I33" s="9">
        <f>'material inventory'!AA37</f>
        <v>1.6467545400000001E-3</v>
      </c>
      <c r="J33" s="9">
        <f>'material inventory'!AB37</f>
        <v>8.1773364000000004E-6</v>
      </c>
      <c r="K33" s="9">
        <f>'material inventory'!AC37</f>
        <v>1.6016055E-3</v>
      </c>
      <c r="L33" s="9">
        <f>'material inventory'!AD37</f>
        <v>6.7182390000000003E-6</v>
      </c>
      <c r="M33" s="9">
        <f>'material inventory'!AE37</f>
        <v>9.001976400000002E-6</v>
      </c>
      <c r="N33" s="9">
        <f>'material inventory'!AF37</f>
        <v>9.3617256000000016E-9</v>
      </c>
      <c r="O33" s="9">
        <f>'material inventory'!AG37</f>
        <v>9.4591362000000011E-12</v>
      </c>
      <c r="P33" s="9">
        <f>'material inventory'!AH37</f>
        <v>2.6064808800000005E-7</v>
      </c>
      <c r="Q33" s="9">
        <f>'material inventory'!AI37</f>
        <v>3.0646199400000004E-7</v>
      </c>
      <c r="R33" s="9">
        <f>'material inventory'!AJ37</f>
        <v>5.3446980000000006E-7</v>
      </c>
      <c r="S33" s="9">
        <f>'material inventory'!AK37</f>
        <v>7.1202510000000002E-8</v>
      </c>
      <c r="T33" s="9">
        <f>'material inventory'!AL37</f>
        <v>1.2040259400000001E-6</v>
      </c>
      <c r="U33" s="9">
        <f>'material inventory'!AM37</f>
        <v>5.488494600000001E-7</v>
      </c>
      <c r="V33" s="9">
        <f>'material inventory'!AN37</f>
        <v>5.2287330000000007E-6</v>
      </c>
      <c r="W33" s="9">
        <f>'material inventory'!AO37</f>
        <v>1.58258724E-5</v>
      </c>
      <c r="X33" s="9">
        <f>'material inventory'!AP37</f>
        <v>2.8364008200000001E-6</v>
      </c>
    </row>
    <row r="34" spans="1:25">
      <c r="A34" s="75" t="s">
        <v>74</v>
      </c>
      <c r="B34" s="9">
        <f>'material inventory'!L41</f>
        <v>8.8134003703234133E-3</v>
      </c>
      <c r="C34" s="17">
        <f>'material inventory'!U41</f>
        <v>0.28207310593220081</v>
      </c>
      <c r="D34" s="17">
        <f>'material inventory'!V41</f>
        <v>4.5565437473656421E-4</v>
      </c>
      <c r="E34" s="17">
        <f>'material inventory'!W41</f>
        <v>8.2941051200621854E-3</v>
      </c>
      <c r="F34" s="17">
        <f>'material inventory'!X41</f>
        <v>6.5747619158034766E-3</v>
      </c>
      <c r="G34" s="17">
        <f>'material inventory'!Y41</f>
        <v>4.0583646630518527E-5</v>
      </c>
      <c r="H34" s="17">
        <f>'material inventory'!Z41</f>
        <v>9.7751605132063443E-7</v>
      </c>
      <c r="I34" s="17">
        <f>'material inventory'!AA41</f>
        <v>6.2520094408991728E-2</v>
      </c>
      <c r="J34" s="17">
        <f>'material inventory'!AB41</f>
        <v>1.2061391557130893E-3</v>
      </c>
      <c r="K34" s="17">
        <f>'material inventory'!AC41</f>
        <v>4.4345572810077498E-2</v>
      </c>
      <c r="L34" s="17">
        <f>'material inventory'!AD41</f>
        <v>2.8079627748720183E-5</v>
      </c>
      <c r="M34" s="17">
        <f>'material inventory'!AE41</f>
        <v>3.4214686116679698E-4</v>
      </c>
      <c r="N34" s="17">
        <f>'material inventory'!AF41</f>
        <v>-6.4657700131055454E-5</v>
      </c>
      <c r="O34" s="17">
        <f>'material inventory'!AG41</f>
        <v>3.099203432900915E-9</v>
      </c>
      <c r="P34" s="17">
        <f>'material inventory'!AH41</f>
        <v>2.9664964515235539E-5</v>
      </c>
      <c r="Q34" s="17">
        <f>'material inventory'!AI41</f>
        <v>8.9704721585632033E-5</v>
      </c>
      <c r="R34" s="17">
        <f>'material inventory'!AJ41</f>
        <v>7.5046853777195006E-5</v>
      </c>
      <c r="S34" s="17">
        <f>'material inventory'!AK41</f>
        <v>9.0474649482484776E-6</v>
      </c>
      <c r="T34" s="17">
        <f>'material inventory'!AL41</f>
        <v>1.6605428036973822E-3</v>
      </c>
      <c r="U34" s="17">
        <f>'material inventory'!AM41</f>
        <v>1.1992033073595845E-5</v>
      </c>
      <c r="V34" s="17">
        <f>'material inventory'!AN41</f>
        <v>6.7534371661279527E-4</v>
      </c>
      <c r="W34" s="17">
        <f>'material inventory'!AO41</f>
        <v>7.8011238612123808E-4</v>
      </c>
      <c r="X34" s="17">
        <f>'material inventory'!AP41</f>
        <v>8.0429851773334226E-4</v>
      </c>
      <c r="Y34" s="9"/>
    </row>
    <row r="35" spans="1:25">
      <c r="B35">
        <f>SUM(B2:B34)</f>
        <v>29.163298367009148</v>
      </c>
      <c r="C35">
        <f t="shared" ref="C35:X35" si="0">SUM(C2:C34)</f>
        <v>511.93867131606282</v>
      </c>
      <c r="D35">
        <f t="shared" si="0"/>
        <v>9.8619840806315279E-2</v>
      </c>
      <c r="E35">
        <f t="shared" si="0"/>
        <v>27.470335995857923</v>
      </c>
      <c r="F35">
        <f t="shared" si="0"/>
        <v>12.041933128923336</v>
      </c>
      <c r="G35">
        <f t="shared" si="0"/>
        <v>0.15400821835139181</v>
      </c>
      <c r="H35">
        <f t="shared" si="0"/>
        <v>1.617321360541909E-3</v>
      </c>
      <c r="I35">
        <f t="shared" si="0"/>
        <v>272.30481700865062</v>
      </c>
      <c r="J35">
        <f t="shared" si="0"/>
        <v>0.28695302238761872</v>
      </c>
      <c r="K35">
        <f t="shared" si="0"/>
        <v>145.38583792550088</v>
      </c>
      <c r="L35">
        <f t="shared" si="0"/>
        <v>2.5762338457749497E-2</v>
      </c>
      <c r="M35">
        <f t="shared" si="0"/>
        <v>0.92466428420750979</v>
      </c>
      <c r="N35">
        <f t="shared" si="0"/>
        <v>4.4339165313468177E-3</v>
      </c>
      <c r="O35">
        <f t="shared" si="0"/>
        <v>2.4348419896484894E-6</v>
      </c>
      <c r="P35">
        <f t="shared" si="0"/>
        <v>3.3815262370058309E-2</v>
      </c>
      <c r="Q35">
        <f t="shared" si="0"/>
        <v>8.5440451215284985E-2</v>
      </c>
      <c r="R35">
        <f t="shared" si="0"/>
        <v>0.12308537148064998</v>
      </c>
      <c r="S35">
        <f t="shared" si="0"/>
        <v>0.19037259200466508</v>
      </c>
      <c r="T35">
        <f t="shared" si="0"/>
        <v>2.7170645577136228E-2</v>
      </c>
      <c r="U35">
        <f t="shared" si="0"/>
        <v>1.3355854011237574E-2</v>
      </c>
      <c r="V35">
        <f t="shared" si="0"/>
        <v>0.88809015376364542</v>
      </c>
      <c r="W35">
        <f t="shared" si="0"/>
        <v>2.8854239960774777</v>
      </c>
      <c r="X35">
        <f t="shared" si="0"/>
        <v>1.4868958644316945</v>
      </c>
    </row>
    <row r="36" spans="1:25">
      <c r="B36" s="9"/>
      <c r="C36" s="9"/>
      <c r="D36" s="9"/>
      <c r="E36" s="9"/>
      <c r="F36" s="9"/>
      <c r="G36" s="9"/>
      <c r="H36" s="9"/>
      <c r="I36" s="9"/>
      <c r="J36" s="9"/>
      <c r="K36" s="9"/>
      <c r="L36" s="9"/>
      <c r="M36" s="9"/>
      <c r="N36" s="9"/>
      <c r="O36" s="9"/>
      <c r="P36" s="9"/>
      <c r="Q36" s="9"/>
      <c r="R36" s="9"/>
      <c r="S36" s="9"/>
      <c r="T36" s="9"/>
      <c r="U36" s="9"/>
      <c r="V36" s="9"/>
      <c r="W36" s="9"/>
      <c r="X36" s="9"/>
    </row>
    <row r="37" spans="1:25">
      <c r="B37" s="9"/>
      <c r="C37" s="9"/>
      <c r="D37" s="9"/>
      <c r="E37" s="9"/>
      <c r="F37" s="9"/>
      <c r="G37" s="9"/>
      <c r="H37" s="9"/>
      <c r="I37" s="9"/>
      <c r="J37" s="9"/>
      <c r="K37" s="9"/>
      <c r="L37" s="9"/>
      <c r="M37" s="9"/>
      <c r="N37" s="9"/>
      <c r="O37" s="9"/>
      <c r="P37" s="9"/>
      <c r="Q37" s="9"/>
      <c r="R37" s="9"/>
      <c r="S37" s="9"/>
      <c r="T37" s="9"/>
      <c r="U37" s="9"/>
      <c r="V37" s="9"/>
      <c r="W37" s="9"/>
      <c r="X37" s="9"/>
    </row>
    <row r="38" spans="1:25">
      <c r="B38" s="9"/>
      <c r="C38" s="9"/>
      <c r="D38" s="9"/>
      <c r="E38" s="9"/>
      <c r="F38" s="9"/>
      <c r="G38" s="9"/>
      <c r="H38" s="9"/>
      <c r="I38" s="9"/>
      <c r="J38" s="9"/>
      <c r="K38" s="9"/>
      <c r="L38" s="9"/>
      <c r="M38" s="9"/>
      <c r="N38" s="9"/>
      <c r="O38" s="9"/>
      <c r="P38" s="9"/>
      <c r="Q38" s="9"/>
      <c r="R38" s="9"/>
      <c r="S38" s="9"/>
      <c r="T38" s="9"/>
      <c r="U38" s="9"/>
      <c r="V38" s="9"/>
      <c r="W38" s="9"/>
      <c r="X38" s="9"/>
    </row>
    <row r="39" spans="1:25">
      <c r="B39" s="9"/>
      <c r="C39" s="9"/>
      <c r="D39" s="9"/>
      <c r="E39" s="9"/>
      <c r="F39" s="9"/>
      <c r="G39" s="9"/>
      <c r="H39" s="9"/>
      <c r="I39" s="9"/>
      <c r="J39" s="9"/>
      <c r="K39" s="9"/>
      <c r="L39" s="9"/>
      <c r="M39" s="9"/>
      <c r="N39" s="9"/>
      <c r="O39" s="9"/>
      <c r="P39" s="9"/>
      <c r="Q39" s="9"/>
      <c r="R39" s="9"/>
      <c r="S39" s="9"/>
      <c r="T39" s="9"/>
      <c r="U39" s="9"/>
      <c r="V39" s="9"/>
      <c r="W39" s="9"/>
      <c r="X39" s="9"/>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11CF6-C510-4C2A-B15C-E110865D75B8}">
  <dimension ref="A1:P31"/>
  <sheetViews>
    <sheetView workbookViewId="0"/>
  </sheetViews>
  <sheetFormatPr defaultRowHeight="15"/>
  <cols>
    <col min="1" max="2" width="36.7109375" customWidth="1"/>
  </cols>
  <sheetData>
    <row r="1" spans="1:16">
      <c r="A1" s="26" t="s">
        <v>112</v>
      </c>
    </row>
    <row r="2" spans="1:16">
      <c r="P2">
        <f ca="1">_xll.CB.RecalcCounterFN()</f>
        <v>0</v>
      </c>
    </row>
    <row r="3" spans="1:16">
      <c r="A3" t="s">
        <v>113</v>
      </c>
      <c r="B3" t="s">
        <v>114</v>
      </c>
      <c r="C3">
        <v>0</v>
      </c>
    </row>
    <row r="4" spans="1:16">
      <c r="A4" t="s">
        <v>115</v>
      </c>
    </row>
    <row r="5" spans="1:16">
      <c r="A5" t="s">
        <v>116</v>
      </c>
    </row>
    <row r="7" spans="1:16">
      <c r="A7" s="26" t="s">
        <v>117</v>
      </c>
      <c r="B7" t="s">
        <v>118</v>
      </c>
    </row>
    <row r="8" spans="1:16">
      <c r="B8">
        <v>2</v>
      </c>
    </row>
    <row r="10" spans="1:16">
      <c r="A10" t="s">
        <v>119</v>
      </c>
    </row>
    <row r="11" spans="1:16">
      <c r="A11" t="e">
        <f>CB_DATA_!#REF!</f>
        <v>#REF!</v>
      </c>
      <c r="B11" t="e">
        <f>uncertainty!#REF!</f>
        <v>#REF!</v>
      </c>
    </row>
    <row r="13" spans="1:16">
      <c r="A13" t="s">
        <v>120</v>
      </c>
    </row>
    <row r="14" spans="1:16">
      <c r="A14" t="s">
        <v>124</v>
      </c>
      <c r="B14" t="s">
        <v>128</v>
      </c>
    </row>
    <row r="16" spans="1:16">
      <c r="A16" t="s">
        <v>121</v>
      </c>
    </row>
    <row r="19" spans="1:2">
      <c r="A19" t="s">
        <v>122</v>
      </c>
    </row>
    <row r="20" spans="1:2">
      <c r="A20">
        <v>31</v>
      </c>
      <c r="B20">
        <v>31</v>
      </c>
    </row>
    <row r="25" spans="1:2">
      <c r="A25" s="26" t="s">
        <v>123</v>
      </c>
    </row>
    <row r="26" spans="1:2">
      <c r="A26" s="27" t="s">
        <v>125</v>
      </c>
      <c r="B26" s="27" t="s">
        <v>129</v>
      </c>
    </row>
    <row r="27" spans="1:2">
      <c r="A27" t="s">
        <v>126</v>
      </c>
      <c r="B27" t="s">
        <v>164</v>
      </c>
    </row>
    <row r="28" spans="1:2">
      <c r="A28" s="27" t="s">
        <v>127</v>
      </c>
      <c r="B28" s="27" t="s">
        <v>127</v>
      </c>
    </row>
    <row r="29" spans="1:2">
      <c r="A29" s="27" t="s">
        <v>129</v>
      </c>
      <c r="B29" s="27" t="s">
        <v>125</v>
      </c>
    </row>
    <row r="30" spans="1:2">
      <c r="A30" t="s">
        <v>163</v>
      </c>
      <c r="B30" t="s">
        <v>130</v>
      </c>
    </row>
    <row r="31" spans="1:2">
      <c r="A31" s="27" t="s">
        <v>127</v>
      </c>
      <c r="B31" s="27" t="s">
        <v>127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FB53D-E28D-4BB1-B583-EDF3A50CD6B1}">
  <dimension ref="A1:T12"/>
  <sheetViews>
    <sheetView workbookViewId="0">
      <selection activeCell="O10" sqref="O10"/>
    </sheetView>
  </sheetViews>
  <sheetFormatPr defaultRowHeight="15"/>
  <sheetData>
    <row r="1" spans="1:20">
      <c r="A1" t="s">
        <v>91</v>
      </c>
      <c r="B1" t="s">
        <v>92</v>
      </c>
      <c r="C1" t="s">
        <v>93</v>
      </c>
      <c r="F1" s="19">
        <v>0.17280000000000001</v>
      </c>
      <c r="H1" s="20"/>
      <c r="K1" s="94"/>
      <c r="L1" s="95"/>
      <c r="R1" t="s">
        <v>94</v>
      </c>
      <c r="T1" t="s">
        <v>95</v>
      </c>
    </row>
    <row r="2" spans="1:20">
      <c r="A2" t="s">
        <v>96</v>
      </c>
      <c r="B2" t="s">
        <v>97</v>
      </c>
      <c r="C2" s="21">
        <v>1700</v>
      </c>
      <c r="E2">
        <v>58.9</v>
      </c>
      <c r="Q2" t="s">
        <v>96</v>
      </c>
      <c r="R2" s="22">
        <v>-1.8859999999999998E-2</v>
      </c>
      <c r="S2" t="s">
        <v>96</v>
      </c>
      <c r="T2" s="22">
        <v>-1.482E-2</v>
      </c>
    </row>
    <row r="3" spans="1:20">
      <c r="A3" t="s">
        <v>98</v>
      </c>
      <c r="B3" t="s">
        <v>99</v>
      </c>
      <c r="C3" s="23">
        <v>0.75</v>
      </c>
      <c r="E3">
        <v>1.23</v>
      </c>
      <c r="Q3" t="s">
        <v>100</v>
      </c>
      <c r="R3" s="22">
        <v>-3.959E-2</v>
      </c>
      <c r="S3" t="s">
        <v>100</v>
      </c>
      <c r="T3" s="22">
        <v>-2.954E-2</v>
      </c>
    </row>
    <row r="4" spans="1:20">
      <c r="A4" t="s">
        <v>101</v>
      </c>
      <c r="B4" t="s">
        <v>99</v>
      </c>
      <c r="C4" s="24">
        <v>0.17280000000000001</v>
      </c>
      <c r="E4">
        <v>1.05</v>
      </c>
      <c r="Q4" t="s">
        <v>71</v>
      </c>
      <c r="R4" s="19">
        <v>0.1845</v>
      </c>
      <c r="S4" t="s">
        <v>70</v>
      </c>
      <c r="T4" s="19">
        <v>0.1368</v>
      </c>
    </row>
    <row r="5" spans="1:20">
      <c r="A5" t="s">
        <v>102</v>
      </c>
      <c r="B5" t="s">
        <v>103</v>
      </c>
      <c r="C5">
        <v>12.49</v>
      </c>
      <c r="Q5" t="s">
        <v>104</v>
      </c>
      <c r="R5" s="19">
        <v>-0.7571</v>
      </c>
      <c r="S5" t="s">
        <v>105</v>
      </c>
      <c r="T5" s="19">
        <v>-0.25009999999999999</v>
      </c>
    </row>
    <row r="6" spans="1:20">
      <c r="A6" t="s">
        <v>106</v>
      </c>
      <c r="B6" t="s">
        <v>107</v>
      </c>
      <c r="C6" s="21">
        <v>5</v>
      </c>
      <c r="E6">
        <v>1.1499999999999999</v>
      </c>
      <c r="S6" t="s">
        <v>104</v>
      </c>
      <c r="T6" s="19">
        <v>-0.56879999999999997</v>
      </c>
    </row>
    <row r="7" spans="1:20">
      <c r="A7" t="s">
        <v>108</v>
      </c>
      <c r="B7" t="s">
        <v>109</v>
      </c>
      <c r="C7" s="21">
        <v>511.93867131606282</v>
      </c>
      <c r="E7">
        <v>1.1100000000000001</v>
      </c>
    </row>
    <row r="8" spans="1:20">
      <c r="A8" t="s">
        <v>110</v>
      </c>
      <c r="C8" s="21">
        <v>29.163298367009148</v>
      </c>
      <c r="E8">
        <v>1.1100000000000001</v>
      </c>
    </row>
    <row r="9" spans="1:20">
      <c r="B9" t="s">
        <v>94</v>
      </c>
      <c r="C9" s="25">
        <f>C7/C5/C2/C4/C3</f>
        <v>0.18603796301967601</v>
      </c>
    </row>
    <row r="10" spans="1:20">
      <c r="B10" t="s">
        <v>111</v>
      </c>
      <c r="C10" s="25">
        <f>C8*1000/C2/C3/C4/C6</f>
        <v>26.473582395614692</v>
      </c>
    </row>
    <row r="12" spans="1:20">
      <c r="B12">
        <f>results!B35</f>
        <v>29.163298367009148</v>
      </c>
      <c r="C12">
        <f>results!C35</f>
        <v>511.93867131606282</v>
      </c>
    </row>
  </sheetData>
  <mergeCells count="1">
    <mergeCell ref="K1:L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75F59-21A0-4507-8F6B-04E7CDDE4DA0}">
  <dimension ref="A1:Z42"/>
  <sheetViews>
    <sheetView topLeftCell="A7" workbookViewId="0">
      <selection activeCell="D23" sqref="D23"/>
    </sheetView>
  </sheetViews>
  <sheetFormatPr defaultRowHeight="15"/>
  <cols>
    <col min="1" max="2" width="22.85546875" style="10" customWidth="1"/>
    <col min="3" max="16384" width="9.140625" style="10"/>
  </cols>
  <sheetData>
    <row r="1" spans="1:26">
      <c r="C1" s="13" t="s">
        <v>77</v>
      </c>
      <c r="D1" s="13" t="s">
        <v>78</v>
      </c>
      <c r="E1" s="13" t="s">
        <v>77</v>
      </c>
      <c r="F1" s="13" t="s">
        <v>78</v>
      </c>
      <c r="G1" s="13" t="s">
        <v>77</v>
      </c>
      <c r="H1" s="13" t="s">
        <v>78</v>
      </c>
      <c r="I1" s="13" t="s">
        <v>77</v>
      </c>
      <c r="J1" s="13" t="s">
        <v>78</v>
      </c>
      <c r="K1" s="14" t="s">
        <v>77</v>
      </c>
      <c r="L1" s="14" t="s">
        <v>78</v>
      </c>
      <c r="M1" s="14" t="s">
        <v>77</v>
      </c>
      <c r="N1" s="14" t="s">
        <v>78</v>
      </c>
      <c r="O1" s="14" t="s">
        <v>77</v>
      </c>
      <c r="P1" s="14" t="s">
        <v>78</v>
      </c>
      <c r="Q1" s="14" t="s">
        <v>77</v>
      </c>
      <c r="R1" s="14" t="s">
        <v>78</v>
      </c>
      <c r="S1" s="13" t="s">
        <v>77</v>
      </c>
      <c r="T1" s="13" t="s">
        <v>78</v>
      </c>
      <c r="U1" s="13" t="s">
        <v>77</v>
      </c>
      <c r="V1" s="13" t="s">
        <v>78</v>
      </c>
      <c r="W1" s="13" t="s">
        <v>77</v>
      </c>
      <c r="X1" s="13" t="s">
        <v>78</v>
      </c>
      <c r="Y1" s="13" t="s">
        <v>77</v>
      </c>
      <c r="Z1" s="13" t="s">
        <v>78</v>
      </c>
    </row>
    <row r="2" spans="1:26">
      <c r="B2" s="10" t="s">
        <v>70</v>
      </c>
      <c r="C2" s="15">
        <v>1</v>
      </c>
      <c r="D2" s="15">
        <v>1</v>
      </c>
      <c r="E2" s="15">
        <v>1</v>
      </c>
      <c r="F2" s="15">
        <v>0.9</v>
      </c>
      <c r="G2" s="15">
        <v>1</v>
      </c>
      <c r="H2" s="15">
        <v>0.8</v>
      </c>
      <c r="I2" s="15">
        <v>1</v>
      </c>
      <c r="J2" s="15">
        <v>0.7</v>
      </c>
      <c r="K2" s="16">
        <v>0.95</v>
      </c>
      <c r="L2" s="16">
        <v>1</v>
      </c>
      <c r="M2" s="16">
        <v>0.95</v>
      </c>
      <c r="N2" s="16">
        <v>0.9</v>
      </c>
      <c r="O2" s="16">
        <v>0.95</v>
      </c>
      <c r="P2" s="16">
        <v>0.8</v>
      </c>
      <c r="Q2" s="16">
        <v>0.95</v>
      </c>
      <c r="R2" s="16">
        <v>0.7</v>
      </c>
      <c r="S2" s="15">
        <v>0.9</v>
      </c>
      <c r="T2" s="15">
        <v>1</v>
      </c>
      <c r="U2" s="15">
        <v>0.9</v>
      </c>
      <c r="V2" s="15">
        <v>0.9</v>
      </c>
      <c r="W2" s="15">
        <v>0.9</v>
      </c>
      <c r="X2" s="15">
        <v>0.8</v>
      </c>
      <c r="Y2" s="15">
        <v>0.9</v>
      </c>
      <c r="Z2" s="15">
        <v>0.7</v>
      </c>
    </row>
    <row r="3" spans="1:26" s="12" customFormat="1">
      <c r="A3" s="12" t="str">
        <f>results!A2</f>
        <v>ITO glass</v>
      </c>
      <c r="B3" s="12">
        <f>results!B2</f>
        <v>16.837863429999999</v>
      </c>
      <c r="C3" s="12">
        <f>$B3*(1-D$2)</f>
        <v>0</v>
      </c>
      <c r="E3" s="12">
        <f>$B3*(1-F$2)</f>
        <v>1.6837863429999995</v>
      </c>
      <c r="G3" s="12">
        <f>$B3*(1-H$2)</f>
        <v>3.367572685999999</v>
      </c>
      <c r="I3" s="12">
        <f>$B3*(1-J$2)</f>
        <v>5.0513590290000003</v>
      </c>
      <c r="K3" s="12">
        <f>$B3*(1-L$2)</f>
        <v>0</v>
      </c>
      <c r="M3" s="12">
        <f>$B3*(1-N$2)</f>
        <v>1.6837863429999995</v>
      </c>
      <c r="O3" s="12">
        <f>$B3*(1-P$2)</f>
        <v>3.367572685999999</v>
      </c>
      <c r="Q3" s="12">
        <f>$B3*(1-R$2)</f>
        <v>5.0513590290000003</v>
      </c>
      <c r="S3" s="12">
        <f>$B3*(1-T$2)</f>
        <v>0</v>
      </c>
      <c r="U3" s="12">
        <f>$B3*(1-V$2)</f>
        <v>1.6837863429999995</v>
      </c>
      <c r="W3" s="12">
        <f>$B3*(1-X$2)</f>
        <v>3.367572685999999</v>
      </c>
      <c r="Y3" s="12">
        <f>$B3*(1-Z$2)</f>
        <v>5.0513590290000003</v>
      </c>
    </row>
    <row r="4" spans="1:26" s="12" customFormat="1">
      <c r="A4" s="12" t="str">
        <f>results!A3</f>
        <v>SnO₂</v>
      </c>
      <c r="B4" s="12">
        <f>results!B3</f>
        <v>2.4568249999999997E-3</v>
      </c>
      <c r="C4" s="12">
        <f>$B4*(1-D$2)</f>
        <v>0</v>
      </c>
      <c r="E4" s="12">
        <f>$B4*(1-F$2)</f>
        <v>2.456824999999999E-4</v>
      </c>
      <c r="G4" s="12">
        <f>$B4*(1-H$2)</f>
        <v>4.9136499999999979E-4</v>
      </c>
      <c r="I4" s="12">
        <f>$B4*(1-J$2)</f>
        <v>7.3704750000000007E-4</v>
      </c>
      <c r="K4" s="12">
        <f>$B4*(1-L$2)</f>
        <v>0</v>
      </c>
      <c r="M4" s="12">
        <f>$B4*(1-N$2)</f>
        <v>2.456824999999999E-4</v>
      </c>
      <c r="O4" s="12">
        <f>$B4*(1-P$2)</f>
        <v>4.9136499999999979E-4</v>
      </c>
      <c r="Q4" s="12">
        <f>$B4*(1-R$2)</f>
        <v>7.3704750000000007E-4</v>
      </c>
      <c r="S4" s="12">
        <f>$B4*(1-T$2)</f>
        <v>0</v>
      </c>
      <c r="U4" s="12">
        <f>$B4*(1-V$2)</f>
        <v>2.456824999999999E-4</v>
      </c>
      <c r="W4" s="12">
        <f>$B4*(1-X$2)</f>
        <v>4.9136499999999979E-4</v>
      </c>
      <c r="Y4" s="12">
        <f>$B4*(1-Z$2)</f>
        <v>7.3704750000000007E-4</v>
      </c>
    </row>
    <row r="5" spans="1:26" s="12" customFormat="1">
      <c r="A5" s="12" t="str">
        <f>results!A4</f>
        <v>H₂O</v>
      </c>
      <c r="B5" s="12">
        <f>results!B4</f>
        <v>8.8302478460674152E-6</v>
      </c>
      <c r="C5" s="12">
        <f>$B5*(1-D$2)</f>
        <v>0</v>
      </c>
      <c r="E5" s="12">
        <f>$B5*(1-F$2)</f>
        <v>8.8302478460674131E-7</v>
      </c>
      <c r="G5" s="12">
        <f>$B5*(1-H$2)</f>
        <v>1.7660495692134826E-6</v>
      </c>
      <c r="I5" s="12">
        <f>$B5*(1-J$2)</f>
        <v>2.649074353820225E-6</v>
      </c>
      <c r="K5" s="12">
        <f>$B5*(1-L$2)</f>
        <v>0</v>
      </c>
      <c r="M5" s="12">
        <f>$B5*(1-N$2)</f>
        <v>8.8302478460674131E-7</v>
      </c>
      <c r="O5" s="12">
        <f>$B5*(1-P$2)</f>
        <v>1.7660495692134826E-6</v>
      </c>
      <c r="Q5" s="12">
        <f>$B5*(1-R$2)</f>
        <v>2.649074353820225E-6</v>
      </c>
      <c r="S5" s="12">
        <f>$B5*(1-T$2)</f>
        <v>0</v>
      </c>
      <c r="U5" s="12">
        <f>$B5*(1-V$2)</f>
        <v>8.8302478460674131E-7</v>
      </c>
      <c r="W5" s="12">
        <f>$B5*(1-X$2)</f>
        <v>1.7660495692134826E-6</v>
      </c>
      <c r="Y5" s="12">
        <f>$B5*(1-Z$2)</f>
        <v>2.649074353820225E-6</v>
      </c>
    </row>
    <row r="6" spans="1:26">
      <c r="A6" s="10" t="str">
        <f>results!A5</f>
        <v>PbI₂</v>
      </c>
      <c r="B6" s="10">
        <f>results!B5</f>
        <v>5.0422090564514258E-3</v>
      </c>
      <c r="C6" s="10">
        <f>$B6</f>
        <v>5.0422090564514258E-3</v>
      </c>
      <c r="E6" s="10">
        <f>$B6</f>
        <v>5.0422090564514258E-3</v>
      </c>
      <c r="G6" s="10">
        <f>$B6</f>
        <v>5.0422090564514258E-3</v>
      </c>
      <c r="I6" s="10">
        <f>$B6</f>
        <v>5.0422090564514258E-3</v>
      </c>
      <c r="K6" s="10">
        <f>$B6</f>
        <v>5.0422090564514258E-3</v>
      </c>
      <c r="M6" s="10">
        <f>$B6</f>
        <v>5.0422090564514258E-3</v>
      </c>
      <c r="O6" s="10">
        <f>$B6</f>
        <v>5.0422090564514258E-3</v>
      </c>
      <c r="Q6" s="10">
        <f>$B6</f>
        <v>5.0422090564514258E-3</v>
      </c>
      <c r="S6" s="10">
        <f>$B6</f>
        <v>5.0422090564514258E-3</v>
      </c>
      <c r="U6" s="10">
        <f>$B6</f>
        <v>5.0422090564514258E-3</v>
      </c>
      <c r="W6" s="10">
        <f>$B6</f>
        <v>5.0422090564514258E-3</v>
      </c>
      <c r="Y6" s="10">
        <f>$B6</f>
        <v>5.0422090564514258E-3</v>
      </c>
    </row>
    <row r="7" spans="1:26">
      <c r="A7" s="10" t="str">
        <f>results!A6</f>
        <v>DMF</v>
      </c>
      <c r="B7" s="10">
        <f>results!B6</f>
        <v>4.7500373710823293E-3</v>
      </c>
      <c r="C7" s="10">
        <f t="shared" ref="C7:Y22" si="0">$B7</f>
        <v>4.7500373710823293E-3</v>
      </c>
      <c r="E7" s="10">
        <f t="shared" si="0"/>
        <v>4.7500373710823293E-3</v>
      </c>
      <c r="G7" s="10">
        <f t="shared" si="0"/>
        <v>4.7500373710823293E-3</v>
      </c>
      <c r="I7" s="10">
        <f t="shared" si="0"/>
        <v>4.7500373710823293E-3</v>
      </c>
      <c r="K7" s="10">
        <f t="shared" si="0"/>
        <v>4.7500373710823293E-3</v>
      </c>
      <c r="M7" s="10">
        <f t="shared" si="0"/>
        <v>4.7500373710823293E-3</v>
      </c>
      <c r="O7" s="10">
        <f t="shared" si="0"/>
        <v>4.7500373710823293E-3</v>
      </c>
      <c r="Q7" s="10">
        <f t="shared" si="0"/>
        <v>4.7500373710823293E-3</v>
      </c>
      <c r="S7" s="10">
        <f t="shared" si="0"/>
        <v>4.7500373710823293E-3</v>
      </c>
      <c r="U7" s="10">
        <f t="shared" si="0"/>
        <v>4.7500373710823293E-3</v>
      </c>
      <c r="W7" s="10">
        <f t="shared" si="0"/>
        <v>4.7500373710823293E-3</v>
      </c>
      <c r="Y7" s="10">
        <f t="shared" si="0"/>
        <v>4.7500373710823293E-3</v>
      </c>
    </row>
    <row r="8" spans="1:26">
      <c r="A8" s="10" t="str">
        <f>results!A7</f>
        <v>DMSO</v>
      </c>
      <c r="B8" s="10">
        <f>results!B7</f>
        <v>1.2872013029725408E-4</v>
      </c>
      <c r="C8" s="10">
        <f t="shared" si="0"/>
        <v>1.2872013029725408E-4</v>
      </c>
      <c r="E8" s="10">
        <f t="shared" si="0"/>
        <v>1.2872013029725408E-4</v>
      </c>
      <c r="G8" s="10">
        <f t="shared" si="0"/>
        <v>1.2872013029725408E-4</v>
      </c>
      <c r="I8" s="10">
        <f t="shared" si="0"/>
        <v>1.2872013029725408E-4</v>
      </c>
      <c r="K8" s="10">
        <f t="shared" si="0"/>
        <v>1.2872013029725408E-4</v>
      </c>
      <c r="M8" s="10">
        <f t="shared" si="0"/>
        <v>1.2872013029725408E-4</v>
      </c>
      <c r="O8" s="10">
        <f t="shared" si="0"/>
        <v>1.2872013029725408E-4</v>
      </c>
      <c r="Q8" s="10">
        <f t="shared" si="0"/>
        <v>1.2872013029725408E-4</v>
      </c>
      <c r="S8" s="10">
        <f t="shared" si="0"/>
        <v>1.2872013029725408E-4</v>
      </c>
      <c r="U8" s="10">
        <f t="shared" si="0"/>
        <v>1.2872013029725408E-4</v>
      </c>
      <c r="W8" s="10">
        <f t="shared" si="0"/>
        <v>1.2872013029725408E-4</v>
      </c>
      <c r="Y8" s="10">
        <f t="shared" si="0"/>
        <v>1.2872013029725408E-4</v>
      </c>
    </row>
    <row r="9" spans="1:26">
      <c r="A9" s="10" t="str">
        <f>results!A8</f>
        <v>FAI</v>
      </c>
      <c r="B9" s="10">
        <f>results!B8</f>
        <v>2.3900391307546311E-2</v>
      </c>
      <c r="C9" s="10">
        <f t="shared" si="0"/>
        <v>2.3900391307546311E-2</v>
      </c>
      <c r="E9" s="10">
        <f t="shared" si="0"/>
        <v>2.3900391307546311E-2</v>
      </c>
      <c r="G9" s="10">
        <f t="shared" si="0"/>
        <v>2.3900391307546311E-2</v>
      </c>
      <c r="I9" s="10">
        <f t="shared" si="0"/>
        <v>2.3900391307546311E-2</v>
      </c>
      <c r="K9" s="10">
        <f t="shared" si="0"/>
        <v>2.3900391307546311E-2</v>
      </c>
      <c r="M9" s="10">
        <f t="shared" si="0"/>
        <v>2.3900391307546311E-2</v>
      </c>
      <c r="O9" s="10">
        <f t="shared" si="0"/>
        <v>2.3900391307546311E-2</v>
      </c>
      <c r="Q9" s="10">
        <f t="shared" si="0"/>
        <v>2.3900391307546311E-2</v>
      </c>
      <c r="S9" s="10">
        <f t="shared" si="0"/>
        <v>2.3900391307546311E-2</v>
      </c>
      <c r="U9" s="10">
        <f t="shared" si="0"/>
        <v>2.3900391307546311E-2</v>
      </c>
      <c r="W9" s="10">
        <f t="shared" si="0"/>
        <v>2.3900391307546311E-2</v>
      </c>
      <c r="Y9" s="10">
        <f t="shared" si="0"/>
        <v>2.3900391307546311E-2</v>
      </c>
    </row>
    <row r="10" spans="1:26">
      <c r="A10" s="10" t="str">
        <f>results!A9</f>
        <v>MABr</v>
      </c>
      <c r="B10" s="10">
        <f>results!B9</f>
        <v>0.10592670348814012</v>
      </c>
      <c r="C10" s="10">
        <f t="shared" si="0"/>
        <v>0.10592670348814012</v>
      </c>
      <c r="E10" s="10">
        <f t="shared" si="0"/>
        <v>0.10592670348814012</v>
      </c>
      <c r="G10" s="10">
        <f t="shared" si="0"/>
        <v>0.10592670348814012</v>
      </c>
      <c r="I10" s="10">
        <f t="shared" si="0"/>
        <v>0.10592670348814012</v>
      </c>
      <c r="K10" s="10">
        <f t="shared" si="0"/>
        <v>0.10592670348814012</v>
      </c>
      <c r="M10" s="10">
        <f t="shared" si="0"/>
        <v>0.10592670348814012</v>
      </c>
      <c r="O10" s="10">
        <f t="shared" si="0"/>
        <v>0.10592670348814012</v>
      </c>
      <c r="Q10" s="10">
        <f t="shared" si="0"/>
        <v>0.10592670348814012</v>
      </c>
      <c r="S10" s="10">
        <f t="shared" si="0"/>
        <v>0.10592670348814012</v>
      </c>
      <c r="U10" s="10">
        <f t="shared" si="0"/>
        <v>0.10592670348814012</v>
      </c>
      <c r="W10" s="10">
        <f t="shared" si="0"/>
        <v>0.10592670348814012</v>
      </c>
      <c r="Y10" s="10">
        <f t="shared" si="0"/>
        <v>0.10592670348814012</v>
      </c>
    </row>
    <row r="11" spans="1:26">
      <c r="A11" s="10" t="str">
        <f>results!A10</f>
        <v>MACl</v>
      </c>
      <c r="B11" s="10">
        <f>results!B10</f>
        <v>1.5715091537824337E-7</v>
      </c>
      <c r="C11" s="10">
        <f t="shared" si="0"/>
        <v>1.5715091537824337E-7</v>
      </c>
      <c r="E11" s="10">
        <f t="shared" si="0"/>
        <v>1.5715091537824337E-7</v>
      </c>
      <c r="G11" s="10">
        <f t="shared" si="0"/>
        <v>1.5715091537824337E-7</v>
      </c>
      <c r="I11" s="10">
        <f t="shared" si="0"/>
        <v>1.5715091537824337E-7</v>
      </c>
      <c r="K11" s="10">
        <f t="shared" si="0"/>
        <v>1.5715091537824337E-7</v>
      </c>
      <c r="M11" s="10">
        <f t="shared" si="0"/>
        <v>1.5715091537824337E-7</v>
      </c>
      <c r="O11" s="10">
        <f t="shared" si="0"/>
        <v>1.5715091537824337E-7</v>
      </c>
      <c r="Q11" s="10">
        <f t="shared" si="0"/>
        <v>1.5715091537824337E-7</v>
      </c>
      <c r="S11" s="10">
        <f t="shared" si="0"/>
        <v>1.5715091537824337E-7</v>
      </c>
      <c r="U11" s="10">
        <f t="shared" si="0"/>
        <v>1.5715091537824337E-7</v>
      </c>
      <c r="W11" s="10">
        <f t="shared" si="0"/>
        <v>1.5715091537824337E-7</v>
      </c>
      <c r="Y11" s="10">
        <f t="shared" si="0"/>
        <v>1.5715091537824337E-7</v>
      </c>
    </row>
    <row r="12" spans="1:26">
      <c r="A12" s="10" t="str">
        <f>results!A11</f>
        <v>Isopropanol</v>
      </c>
      <c r="B12" s="10">
        <f>results!B11</f>
        <v>0.10111823698954497</v>
      </c>
      <c r="C12" s="10">
        <f t="shared" si="0"/>
        <v>0.10111823698954497</v>
      </c>
      <c r="E12" s="10">
        <f t="shared" si="0"/>
        <v>0.10111823698954497</v>
      </c>
      <c r="G12" s="10">
        <f t="shared" si="0"/>
        <v>0.10111823698954497</v>
      </c>
      <c r="I12" s="10">
        <f t="shared" si="0"/>
        <v>0.10111823698954497</v>
      </c>
      <c r="K12" s="10">
        <f t="shared" si="0"/>
        <v>0.10111823698954497</v>
      </c>
      <c r="M12" s="10">
        <f t="shared" si="0"/>
        <v>0.10111823698954497</v>
      </c>
      <c r="O12" s="10">
        <f t="shared" si="0"/>
        <v>0.10111823698954497</v>
      </c>
      <c r="Q12" s="10">
        <f t="shared" si="0"/>
        <v>0.10111823698954497</v>
      </c>
      <c r="S12" s="10">
        <f t="shared" si="0"/>
        <v>0.10111823698954497</v>
      </c>
      <c r="U12" s="10">
        <f t="shared" si="0"/>
        <v>0.10111823698954497</v>
      </c>
      <c r="W12" s="10">
        <f t="shared" si="0"/>
        <v>0.10111823698954497</v>
      </c>
      <c r="Y12" s="10">
        <f t="shared" si="0"/>
        <v>0.10111823698954497</v>
      </c>
    </row>
    <row r="13" spans="1:26">
      <c r="A13" s="10" t="str">
        <f>results!A12</f>
        <v>Spiro-OMeTAD</v>
      </c>
      <c r="B13" s="10">
        <f>results!B12</f>
        <v>3.1854997688690531E-2</v>
      </c>
      <c r="C13" s="10">
        <f t="shared" si="0"/>
        <v>3.1854997688690531E-2</v>
      </c>
      <c r="E13" s="10">
        <f t="shared" si="0"/>
        <v>3.1854997688690531E-2</v>
      </c>
      <c r="G13" s="10">
        <f t="shared" si="0"/>
        <v>3.1854997688690531E-2</v>
      </c>
      <c r="I13" s="10">
        <f t="shared" si="0"/>
        <v>3.1854997688690531E-2</v>
      </c>
      <c r="K13" s="10">
        <f t="shared" si="0"/>
        <v>3.1854997688690531E-2</v>
      </c>
      <c r="M13" s="10">
        <f t="shared" si="0"/>
        <v>3.1854997688690531E-2</v>
      </c>
      <c r="O13" s="10">
        <f t="shared" si="0"/>
        <v>3.1854997688690531E-2</v>
      </c>
      <c r="Q13" s="10">
        <f t="shared" si="0"/>
        <v>3.1854997688690531E-2</v>
      </c>
      <c r="S13" s="10">
        <f t="shared" si="0"/>
        <v>3.1854997688690531E-2</v>
      </c>
      <c r="U13" s="10">
        <f t="shared" si="0"/>
        <v>3.1854997688690531E-2</v>
      </c>
      <c r="W13" s="10">
        <f t="shared" si="0"/>
        <v>3.1854997688690531E-2</v>
      </c>
      <c r="Y13" s="10">
        <f t="shared" si="0"/>
        <v>3.1854997688690531E-2</v>
      </c>
    </row>
    <row r="14" spans="1:26">
      <c r="A14" s="10" t="str">
        <f>results!A13</f>
        <v>LiTFSI</v>
      </c>
      <c r="B14" s="10">
        <f>results!B13</f>
        <v>1.4649900522011319E-3</v>
      </c>
      <c r="C14" s="10">
        <f t="shared" si="0"/>
        <v>1.4649900522011319E-3</v>
      </c>
      <c r="E14" s="10">
        <f t="shared" si="0"/>
        <v>1.4649900522011319E-3</v>
      </c>
      <c r="G14" s="10">
        <f t="shared" si="0"/>
        <v>1.4649900522011319E-3</v>
      </c>
      <c r="I14" s="10">
        <f t="shared" si="0"/>
        <v>1.4649900522011319E-3</v>
      </c>
      <c r="K14" s="10">
        <f t="shared" si="0"/>
        <v>1.4649900522011319E-3</v>
      </c>
      <c r="M14" s="10">
        <f t="shared" si="0"/>
        <v>1.4649900522011319E-3</v>
      </c>
      <c r="O14" s="10">
        <f t="shared" si="0"/>
        <v>1.4649900522011319E-3</v>
      </c>
      <c r="Q14" s="10">
        <f t="shared" si="0"/>
        <v>1.4649900522011319E-3</v>
      </c>
      <c r="S14" s="10">
        <f t="shared" si="0"/>
        <v>1.4649900522011319E-3</v>
      </c>
      <c r="U14" s="10">
        <f t="shared" si="0"/>
        <v>1.4649900522011319E-3</v>
      </c>
      <c r="W14" s="10">
        <f t="shared" si="0"/>
        <v>1.4649900522011319E-3</v>
      </c>
      <c r="Y14" s="10">
        <f t="shared" si="0"/>
        <v>1.4649900522011319E-3</v>
      </c>
    </row>
    <row r="15" spans="1:26">
      <c r="A15" s="10" t="str">
        <f>results!A14</f>
        <v>Acetonitrile</v>
      </c>
      <c r="B15" s="10">
        <f>results!B14</f>
        <v>4.0681139631535285E-4</v>
      </c>
      <c r="C15" s="10">
        <f t="shared" si="0"/>
        <v>4.0681139631535285E-4</v>
      </c>
      <c r="E15" s="10">
        <f t="shared" si="0"/>
        <v>4.0681139631535285E-4</v>
      </c>
      <c r="G15" s="10">
        <f t="shared" si="0"/>
        <v>4.0681139631535285E-4</v>
      </c>
      <c r="I15" s="10">
        <f t="shared" si="0"/>
        <v>4.0681139631535285E-4</v>
      </c>
      <c r="K15" s="10">
        <f t="shared" si="0"/>
        <v>4.0681139631535285E-4</v>
      </c>
      <c r="M15" s="10">
        <f t="shared" si="0"/>
        <v>4.0681139631535285E-4</v>
      </c>
      <c r="O15" s="10">
        <f t="shared" si="0"/>
        <v>4.0681139631535285E-4</v>
      </c>
      <c r="Q15" s="10">
        <f t="shared" si="0"/>
        <v>4.0681139631535285E-4</v>
      </c>
      <c r="S15" s="10">
        <f t="shared" si="0"/>
        <v>4.0681139631535285E-4</v>
      </c>
      <c r="U15" s="10">
        <f t="shared" si="0"/>
        <v>4.0681139631535285E-4</v>
      </c>
      <c r="W15" s="10">
        <f t="shared" si="0"/>
        <v>4.0681139631535285E-4</v>
      </c>
      <c r="Y15" s="10">
        <f t="shared" si="0"/>
        <v>4.0681139631535285E-4</v>
      </c>
    </row>
    <row r="16" spans="1:26">
      <c r="A16" s="10" t="str">
        <f>results!A15</f>
        <v>4-tert Butylpyridine</v>
      </c>
      <c r="B16" s="10">
        <f>results!B15</f>
        <v>1.1128396373775934E-3</v>
      </c>
      <c r="C16" s="10">
        <f t="shared" si="0"/>
        <v>1.1128396373775934E-3</v>
      </c>
      <c r="E16" s="10">
        <f t="shared" si="0"/>
        <v>1.1128396373775934E-3</v>
      </c>
      <c r="G16" s="10">
        <f t="shared" si="0"/>
        <v>1.1128396373775934E-3</v>
      </c>
      <c r="I16" s="10">
        <f t="shared" si="0"/>
        <v>1.1128396373775934E-3</v>
      </c>
      <c r="K16" s="10">
        <f t="shared" si="0"/>
        <v>1.1128396373775934E-3</v>
      </c>
      <c r="M16" s="10">
        <f t="shared" si="0"/>
        <v>1.1128396373775934E-3</v>
      </c>
      <c r="O16" s="10">
        <f t="shared" si="0"/>
        <v>1.1128396373775934E-3</v>
      </c>
      <c r="Q16" s="10">
        <f t="shared" si="0"/>
        <v>1.1128396373775934E-3</v>
      </c>
      <c r="S16" s="10">
        <f t="shared" si="0"/>
        <v>1.1128396373775934E-3</v>
      </c>
      <c r="U16" s="10">
        <f t="shared" si="0"/>
        <v>1.1128396373775934E-3</v>
      </c>
      <c r="W16" s="10">
        <f t="shared" si="0"/>
        <v>1.1128396373775934E-3</v>
      </c>
      <c r="Y16" s="10">
        <f t="shared" si="0"/>
        <v>1.1128396373775934E-3</v>
      </c>
    </row>
    <row r="17" spans="1:25">
      <c r="A17" s="10" t="str">
        <f>results!A16</f>
        <v>Chlorobenzene</v>
      </c>
      <c r="B17" s="10">
        <f>results!B16</f>
        <v>1.3047440743568469E-2</v>
      </c>
      <c r="C17" s="10">
        <f t="shared" si="0"/>
        <v>1.3047440743568469E-2</v>
      </c>
      <c r="E17" s="10">
        <f t="shared" si="0"/>
        <v>1.3047440743568469E-2</v>
      </c>
      <c r="G17" s="10">
        <f t="shared" si="0"/>
        <v>1.3047440743568469E-2</v>
      </c>
      <c r="I17" s="10">
        <f t="shared" si="0"/>
        <v>1.3047440743568469E-2</v>
      </c>
      <c r="K17" s="10">
        <f t="shared" si="0"/>
        <v>1.3047440743568469E-2</v>
      </c>
      <c r="M17" s="10">
        <f t="shared" si="0"/>
        <v>1.3047440743568469E-2</v>
      </c>
      <c r="O17" s="10">
        <f t="shared" si="0"/>
        <v>1.3047440743568469E-2</v>
      </c>
      <c r="Q17" s="10">
        <f t="shared" si="0"/>
        <v>1.3047440743568469E-2</v>
      </c>
      <c r="S17" s="10">
        <f t="shared" si="0"/>
        <v>1.3047440743568469E-2</v>
      </c>
      <c r="U17" s="10">
        <f t="shared" si="0"/>
        <v>1.3047440743568469E-2</v>
      </c>
      <c r="W17" s="10">
        <f t="shared" si="0"/>
        <v>1.3047440743568469E-2</v>
      </c>
      <c r="Y17" s="10">
        <f t="shared" si="0"/>
        <v>1.3047440743568469E-2</v>
      </c>
    </row>
    <row r="18" spans="1:25" s="12" customFormat="1">
      <c r="A18" s="12" t="str">
        <f>results!A17</f>
        <v>Cu</v>
      </c>
      <c r="B18" s="12">
        <f>results!B17</f>
        <v>4.3377008640000008E-3</v>
      </c>
      <c r="C18" s="12">
        <f>$B18*(1-C$2)</f>
        <v>0</v>
      </c>
      <c r="E18" s="12">
        <f>$B18*(1-E$2)</f>
        <v>0</v>
      </c>
      <c r="G18" s="12">
        <f>$B18*(1-G$2)</f>
        <v>0</v>
      </c>
      <c r="I18" s="12">
        <f>$B18*(1-I$2)</f>
        <v>0</v>
      </c>
      <c r="K18" s="12">
        <f>$B18*(1-K$2)</f>
        <v>2.1688504320000024E-4</v>
      </c>
      <c r="M18" s="12">
        <f>$B18*(1-M$2)</f>
        <v>2.1688504320000024E-4</v>
      </c>
      <c r="O18" s="12">
        <f>$B18*(1-O$2)</f>
        <v>2.1688504320000024E-4</v>
      </c>
      <c r="Q18" s="12">
        <f>$B18*(1-Q$2)</f>
        <v>2.1688504320000024E-4</v>
      </c>
      <c r="S18" s="12">
        <f>$B18*(1-S$2)</f>
        <v>4.3377008639999999E-4</v>
      </c>
      <c r="U18" s="12">
        <f>$B18*(1-U$2)</f>
        <v>4.3377008639999999E-4</v>
      </c>
      <c r="W18" s="12">
        <f>$B18*(1-W$2)</f>
        <v>4.3377008639999999E-4</v>
      </c>
      <c r="Y18" s="12">
        <f>$B18*(1-Y$2)</f>
        <v>4.3377008639999999E-4</v>
      </c>
    </row>
    <row r="19" spans="1:25" s="12" customFormat="1">
      <c r="A19" s="10" t="str">
        <f>results!A18</f>
        <v>Ar</v>
      </c>
      <c r="B19" s="10">
        <f>results!B18</f>
        <v>0.17435194181818181</v>
      </c>
      <c r="C19" s="10">
        <f t="shared" si="0"/>
        <v>0.17435194181818181</v>
      </c>
      <c r="E19" s="10">
        <f t="shared" si="0"/>
        <v>0.17435194181818181</v>
      </c>
      <c r="G19" s="10">
        <f t="shared" si="0"/>
        <v>0.17435194181818181</v>
      </c>
      <c r="I19" s="10">
        <f t="shared" si="0"/>
        <v>0.17435194181818181</v>
      </c>
      <c r="K19" s="10">
        <f t="shared" si="0"/>
        <v>0.17435194181818181</v>
      </c>
      <c r="M19" s="10">
        <f t="shared" si="0"/>
        <v>0.17435194181818181</v>
      </c>
      <c r="O19" s="10">
        <f t="shared" si="0"/>
        <v>0.17435194181818181</v>
      </c>
      <c r="Q19" s="10">
        <f t="shared" si="0"/>
        <v>0.17435194181818181</v>
      </c>
      <c r="S19" s="10">
        <f t="shared" si="0"/>
        <v>0.17435194181818181</v>
      </c>
      <c r="U19" s="10">
        <f t="shared" si="0"/>
        <v>0.17435194181818181</v>
      </c>
      <c r="W19" s="10">
        <f t="shared" si="0"/>
        <v>0.17435194181818181</v>
      </c>
      <c r="Y19" s="10">
        <f t="shared" si="0"/>
        <v>0.17435194181818181</v>
      </c>
    </row>
    <row r="20" spans="1:25" s="12" customFormat="1">
      <c r="A20" s="10" t="str">
        <f>results!A19</f>
        <v>O₂</v>
      </c>
      <c r="B20" s="10">
        <f>results!B19</f>
        <v>7.6841745454545455E-5</v>
      </c>
      <c r="C20" s="10">
        <f t="shared" si="0"/>
        <v>7.6841745454545455E-5</v>
      </c>
      <c r="E20" s="10">
        <f t="shared" si="0"/>
        <v>7.6841745454545455E-5</v>
      </c>
      <c r="G20" s="10">
        <f t="shared" si="0"/>
        <v>7.6841745454545455E-5</v>
      </c>
      <c r="I20" s="10">
        <f t="shared" si="0"/>
        <v>7.6841745454545455E-5</v>
      </c>
      <c r="K20" s="10">
        <f t="shared" si="0"/>
        <v>7.6841745454545455E-5</v>
      </c>
      <c r="M20" s="10">
        <f t="shared" si="0"/>
        <v>7.6841745454545455E-5</v>
      </c>
      <c r="O20" s="10">
        <f t="shared" si="0"/>
        <v>7.6841745454545455E-5</v>
      </c>
      <c r="Q20" s="10">
        <f t="shared" si="0"/>
        <v>7.6841745454545455E-5</v>
      </c>
      <c r="S20" s="10">
        <f t="shared" si="0"/>
        <v>7.6841745454545455E-5</v>
      </c>
      <c r="U20" s="10">
        <f t="shared" si="0"/>
        <v>7.6841745454545455E-5</v>
      </c>
      <c r="W20" s="10">
        <f t="shared" si="0"/>
        <v>7.6841745454545455E-5</v>
      </c>
      <c r="Y20" s="10">
        <f t="shared" si="0"/>
        <v>7.6841745454545455E-5</v>
      </c>
    </row>
    <row r="21" spans="1:25" s="12" customFormat="1">
      <c r="A21" s="62" t="str">
        <f>results!A20</f>
        <v>Adhesive</v>
      </c>
      <c r="B21" s="62">
        <f>results!B20</f>
        <v>5.8513339999999997E-2</v>
      </c>
      <c r="C21" s="62">
        <f t="shared" si="0"/>
        <v>5.8513339999999997E-2</v>
      </c>
      <c r="E21" s="62"/>
      <c r="G21" s="62"/>
      <c r="I21" s="62"/>
      <c r="K21" s="62"/>
      <c r="M21" s="62"/>
      <c r="O21" s="62"/>
      <c r="Q21" s="62"/>
      <c r="S21" s="62"/>
      <c r="U21" s="62"/>
      <c r="W21" s="62"/>
      <c r="Y21" s="62"/>
    </row>
    <row r="22" spans="1:25" s="12" customFormat="1">
      <c r="A22" s="62" t="str">
        <f>results!A21</f>
        <v>PET</v>
      </c>
      <c r="B22" s="62">
        <f>results!B21</f>
        <v>0.19433649</v>
      </c>
      <c r="C22" s="62">
        <f t="shared" si="0"/>
        <v>0.19433649</v>
      </c>
      <c r="E22" s="62"/>
      <c r="G22" s="62"/>
      <c r="I22" s="62"/>
      <c r="K22" s="62"/>
      <c r="M22" s="62"/>
      <c r="O22" s="62"/>
      <c r="Q22" s="62"/>
      <c r="S22" s="62"/>
      <c r="U22" s="62"/>
      <c r="W22" s="62"/>
      <c r="Y22" s="62"/>
    </row>
    <row r="23" spans="1:25" s="12" customFormat="1">
      <c r="A23" s="12" t="str">
        <f>results!A23</f>
        <v>ETL slot-die coating</v>
      </c>
      <c r="B23" s="12">
        <f>results!B23</f>
        <v>1.4790000011831998E-2</v>
      </c>
      <c r="C23" s="12">
        <f>$B23*(1-D$2)</f>
        <v>0</v>
      </c>
      <c r="E23" s="12">
        <f>$B23*(1-F$2)</f>
        <v>1.4790000011831994E-3</v>
      </c>
      <c r="G23" s="12">
        <f>$B23*(1-H$2)</f>
        <v>2.9580000023663989E-3</v>
      </c>
      <c r="I23" s="12">
        <f>$B23*(1-J$2)</f>
        <v>4.4370000035495998E-3</v>
      </c>
      <c r="K23" s="12">
        <f>$B23*(1-L$2)</f>
        <v>0</v>
      </c>
      <c r="M23" s="12">
        <f>$B23*(1-N$2)</f>
        <v>1.4790000011831994E-3</v>
      </c>
      <c r="O23" s="12">
        <f>$B23*(1-P$2)</f>
        <v>2.9580000023663989E-3</v>
      </c>
      <c r="Q23" s="12">
        <f>$B23*(1-R$2)</f>
        <v>4.4370000035495998E-3</v>
      </c>
      <c r="S23" s="12">
        <f>$B23*(1-T$2)</f>
        <v>0</v>
      </c>
      <c r="U23" s="12">
        <f>$B23*(1-V$2)</f>
        <v>1.4790000011831994E-3</v>
      </c>
      <c r="W23" s="12">
        <f>$B23*(1-X$2)</f>
        <v>2.9580000023663989E-3</v>
      </c>
      <c r="Y23" s="12">
        <f>$B23*(1-Z$2)</f>
        <v>4.4370000035495998E-3</v>
      </c>
    </row>
    <row r="24" spans="1:25" s="12" customFormat="1">
      <c r="A24" s="12" t="str">
        <f>results!A24</f>
        <v>ETL annealing</v>
      </c>
      <c r="B24" s="12">
        <f>results!B24</f>
        <v>4.5637714322224454</v>
      </c>
      <c r="C24" s="12">
        <f>$B24*(1-D$2)</f>
        <v>0</v>
      </c>
      <c r="E24" s="12">
        <f>$B24*(1-F$2)</f>
        <v>0.45637714322224443</v>
      </c>
      <c r="G24" s="12">
        <f>$B24*(1-H$2)</f>
        <v>0.91275428644448886</v>
      </c>
      <c r="I24" s="12">
        <f>$B24*(1-J$2)</f>
        <v>1.3691314296667338</v>
      </c>
      <c r="K24" s="12">
        <f>$B24*(1-L$2)</f>
        <v>0</v>
      </c>
      <c r="M24" s="12">
        <f>$B24*(1-N$2)</f>
        <v>0.45637714322224443</v>
      </c>
      <c r="O24" s="12">
        <f>$B24*(1-P$2)</f>
        <v>0.91275428644448886</v>
      </c>
      <c r="Q24" s="12">
        <f>$B24*(1-R$2)</f>
        <v>1.3691314296667338</v>
      </c>
      <c r="S24" s="12">
        <f>$B24*(1-T$2)</f>
        <v>0</v>
      </c>
      <c r="U24" s="12">
        <f>$B24*(1-V$2)</f>
        <v>0.45637714322224443</v>
      </c>
      <c r="W24" s="12">
        <f>$B24*(1-X$2)</f>
        <v>0.91275428644448886</v>
      </c>
      <c r="Y24" s="12">
        <f>$B24*(1-Z$2)</f>
        <v>1.3691314296667338</v>
      </c>
    </row>
    <row r="25" spans="1:25">
      <c r="A25" s="10" t="str">
        <f>results!A25</f>
        <v>PL 1st-step slot-die coating</v>
      </c>
      <c r="B25" s="10">
        <f>results!B25</f>
        <v>2.1128571445474281E-2</v>
      </c>
      <c r="C25" s="10">
        <f t="shared" ref="C25:Y31" si="1">$B25</f>
        <v>2.1128571445474281E-2</v>
      </c>
      <c r="E25" s="10">
        <f t="shared" si="1"/>
        <v>2.1128571445474281E-2</v>
      </c>
      <c r="G25" s="10">
        <f t="shared" si="1"/>
        <v>2.1128571445474281E-2</v>
      </c>
      <c r="I25" s="10">
        <f t="shared" si="1"/>
        <v>2.1128571445474281E-2</v>
      </c>
      <c r="K25" s="10">
        <f t="shared" si="1"/>
        <v>2.1128571445474281E-2</v>
      </c>
      <c r="M25" s="10">
        <f t="shared" si="1"/>
        <v>2.1128571445474281E-2</v>
      </c>
      <c r="O25" s="10">
        <f t="shared" si="1"/>
        <v>2.1128571445474281E-2</v>
      </c>
      <c r="Q25" s="10">
        <f t="shared" si="1"/>
        <v>2.1128571445474281E-2</v>
      </c>
      <c r="S25" s="10">
        <f t="shared" si="1"/>
        <v>2.1128571445474281E-2</v>
      </c>
      <c r="U25" s="10">
        <f t="shared" si="1"/>
        <v>2.1128571445474281E-2</v>
      </c>
      <c r="W25" s="10">
        <f t="shared" si="1"/>
        <v>2.1128571445474281E-2</v>
      </c>
      <c r="Y25" s="10">
        <f t="shared" si="1"/>
        <v>2.1128571445474281E-2</v>
      </c>
    </row>
    <row r="26" spans="1:25">
      <c r="A26" s="10" t="str">
        <f>results!A26</f>
        <v>PL annealing</v>
      </c>
      <c r="B26" s="10">
        <f>results!B26</f>
        <v>7.0992000056793583E-2</v>
      </c>
      <c r="C26" s="10">
        <f t="shared" si="1"/>
        <v>7.0992000056793583E-2</v>
      </c>
      <c r="E26" s="10">
        <f t="shared" si="1"/>
        <v>7.0992000056793583E-2</v>
      </c>
      <c r="G26" s="10">
        <f t="shared" si="1"/>
        <v>7.0992000056793583E-2</v>
      </c>
      <c r="I26" s="10">
        <f t="shared" si="1"/>
        <v>7.0992000056793583E-2</v>
      </c>
      <c r="K26" s="10">
        <f t="shared" si="1"/>
        <v>7.0992000056793583E-2</v>
      </c>
      <c r="M26" s="10">
        <f t="shared" si="1"/>
        <v>7.0992000056793583E-2</v>
      </c>
      <c r="O26" s="10">
        <f t="shared" si="1"/>
        <v>7.0992000056793583E-2</v>
      </c>
      <c r="Q26" s="10">
        <f t="shared" si="1"/>
        <v>7.0992000056793583E-2</v>
      </c>
      <c r="S26" s="10">
        <f t="shared" si="1"/>
        <v>7.0992000056793583E-2</v>
      </c>
      <c r="U26" s="10">
        <f t="shared" si="1"/>
        <v>7.0992000056793583E-2</v>
      </c>
      <c r="W26" s="10">
        <f t="shared" si="1"/>
        <v>7.0992000056793583E-2</v>
      </c>
      <c r="Y26" s="10">
        <f t="shared" si="1"/>
        <v>7.0992000056793583E-2</v>
      </c>
    </row>
    <row r="27" spans="1:25">
      <c r="A27" s="10" t="str">
        <f>results!A27</f>
        <v>PL 2nd-step slot-die coating</v>
      </c>
      <c r="B27" s="10">
        <f>results!B27</f>
        <v>2.1128571445474281E-2</v>
      </c>
      <c r="C27" s="10">
        <f t="shared" si="1"/>
        <v>2.1128571445474281E-2</v>
      </c>
      <c r="E27" s="10">
        <f t="shared" si="1"/>
        <v>2.1128571445474281E-2</v>
      </c>
      <c r="G27" s="10">
        <f t="shared" si="1"/>
        <v>2.1128571445474281E-2</v>
      </c>
      <c r="I27" s="10">
        <f t="shared" si="1"/>
        <v>2.1128571445474281E-2</v>
      </c>
      <c r="K27" s="10">
        <f t="shared" si="1"/>
        <v>2.1128571445474281E-2</v>
      </c>
      <c r="M27" s="10">
        <f t="shared" si="1"/>
        <v>2.1128571445474281E-2</v>
      </c>
      <c r="O27" s="10">
        <f t="shared" si="1"/>
        <v>2.1128571445474281E-2</v>
      </c>
      <c r="Q27" s="10">
        <f t="shared" si="1"/>
        <v>2.1128571445474281E-2</v>
      </c>
      <c r="S27" s="10">
        <f t="shared" si="1"/>
        <v>2.1128571445474281E-2</v>
      </c>
      <c r="U27" s="10">
        <f t="shared" si="1"/>
        <v>2.1128571445474281E-2</v>
      </c>
      <c r="W27" s="10">
        <f t="shared" si="1"/>
        <v>2.1128571445474281E-2</v>
      </c>
      <c r="Y27" s="10">
        <f t="shared" si="1"/>
        <v>2.1128571445474281E-2</v>
      </c>
    </row>
    <row r="28" spans="1:25">
      <c r="A28" s="10" t="str">
        <f>results!A28</f>
        <v>PL post-annealing</v>
      </c>
      <c r="B28" s="10">
        <f>results!B28</f>
        <v>2.2818857161112227</v>
      </c>
      <c r="C28" s="10">
        <f t="shared" si="1"/>
        <v>2.2818857161112227</v>
      </c>
      <c r="E28" s="10">
        <f t="shared" si="1"/>
        <v>2.2818857161112227</v>
      </c>
      <c r="G28" s="10">
        <f t="shared" si="1"/>
        <v>2.2818857161112227</v>
      </c>
      <c r="I28" s="10">
        <f t="shared" si="1"/>
        <v>2.2818857161112227</v>
      </c>
      <c r="K28" s="10">
        <f t="shared" si="1"/>
        <v>2.2818857161112227</v>
      </c>
      <c r="M28" s="10">
        <f t="shared" si="1"/>
        <v>2.2818857161112227</v>
      </c>
      <c r="O28" s="10">
        <f t="shared" si="1"/>
        <v>2.2818857161112227</v>
      </c>
      <c r="Q28" s="10">
        <f t="shared" si="1"/>
        <v>2.2818857161112227</v>
      </c>
      <c r="S28" s="10">
        <f t="shared" si="1"/>
        <v>2.2818857161112227</v>
      </c>
      <c r="U28" s="10">
        <f t="shared" si="1"/>
        <v>2.2818857161112227</v>
      </c>
      <c r="W28" s="10">
        <f t="shared" si="1"/>
        <v>2.2818857161112227</v>
      </c>
      <c r="Y28" s="10">
        <f t="shared" si="1"/>
        <v>2.2818857161112227</v>
      </c>
    </row>
    <row r="29" spans="1:25">
      <c r="A29" s="10" t="str">
        <f>results!A29</f>
        <v>HTL slot-die coating</v>
      </c>
      <c r="B29" s="10">
        <f>results!B29</f>
        <v>9.8600000078879993E-2</v>
      </c>
      <c r="C29" s="10">
        <f t="shared" si="1"/>
        <v>9.8600000078879993E-2</v>
      </c>
      <c r="E29" s="10">
        <f t="shared" si="1"/>
        <v>9.8600000078879993E-2</v>
      </c>
      <c r="G29" s="10">
        <f t="shared" si="1"/>
        <v>9.8600000078879993E-2</v>
      </c>
      <c r="I29" s="10">
        <f t="shared" si="1"/>
        <v>9.8600000078879993E-2</v>
      </c>
      <c r="K29" s="10">
        <f t="shared" si="1"/>
        <v>9.8600000078879993E-2</v>
      </c>
      <c r="M29" s="10">
        <f t="shared" si="1"/>
        <v>9.8600000078879993E-2</v>
      </c>
      <c r="O29" s="10">
        <f t="shared" si="1"/>
        <v>9.8600000078879993E-2</v>
      </c>
      <c r="Q29" s="10">
        <f t="shared" si="1"/>
        <v>9.8600000078879993E-2</v>
      </c>
      <c r="S29" s="10">
        <f t="shared" si="1"/>
        <v>9.8600000078879993E-2</v>
      </c>
      <c r="U29" s="10">
        <f t="shared" si="1"/>
        <v>9.8600000078879993E-2</v>
      </c>
      <c r="W29" s="10">
        <f t="shared" si="1"/>
        <v>9.8600000078879993E-2</v>
      </c>
      <c r="Y29" s="10">
        <f t="shared" si="1"/>
        <v>9.8600000078879993E-2</v>
      </c>
    </row>
    <row r="30" spans="1:25">
      <c r="A30" s="10" t="str">
        <f>results!A30</f>
        <v>Electrode sputtering</v>
      </c>
      <c r="B30" s="10">
        <f>results!B30</f>
        <v>4.4961600035969278</v>
      </c>
      <c r="C30" s="10">
        <f t="shared" si="1"/>
        <v>4.4961600035969278</v>
      </c>
      <c r="E30" s="10">
        <f t="shared" si="1"/>
        <v>4.4961600035969278</v>
      </c>
      <c r="G30" s="10">
        <f t="shared" si="1"/>
        <v>4.4961600035969278</v>
      </c>
      <c r="I30" s="10">
        <f t="shared" si="1"/>
        <v>4.4961600035969278</v>
      </c>
      <c r="K30" s="10">
        <f t="shared" si="1"/>
        <v>4.4961600035969278</v>
      </c>
      <c r="M30" s="10">
        <f t="shared" si="1"/>
        <v>4.4961600035969278</v>
      </c>
      <c r="O30" s="10">
        <f t="shared" si="1"/>
        <v>4.4961600035969278</v>
      </c>
      <c r="Q30" s="10">
        <f t="shared" si="1"/>
        <v>4.4961600035969278</v>
      </c>
      <c r="S30" s="10">
        <f t="shared" si="1"/>
        <v>4.4961600035969278</v>
      </c>
      <c r="U30" s="10">
        <f t="shared" si="1"/>
        <v>4.4961600035969278</v>
      </c>
      <c r="W30" s="10">
        <f t="shared" si="1"/>
        <v>4.4961600035969278</v>
      </c>
      <c r="Y30" s="10">
        <f t="shared" si="1"/>
        <v>4.4961600035969278</v>
      </c>
    </row>
    <row r="31" spans="1:25">
      <c r="A31" s="10" t="str">
        <f>results!A31</f>
        <v>Lamination</v>
      </c>
      <c r="B31" s="10">
        <f>results!B31</f>
        <v>8.8740000070991979E-3</v>
      </c>
      <c r="C31" s="10">
        <f t="shared" si="1"/>
        <v>8.8740000070991979E-3</v>
      </c>
      <c r="E31" s="10">
        <f t="shared" si="1"/>
        <v>8.8740000070991979E-3</v>
      </c>
      <c r="G31" s="10">
        <f t="shared" si="1"/>
        <v>8.8740000070991979E-3</v>
      </c>
      <c r="I31" s="10">
        <f t="shared" si="1"/>
        <v>8.8740000070991979E-3</v>
      </c>
      <c r="K31" s="10">
        <f t="shared" si="1"/>
        <v>8.8740000070991979E-3</v>
      </c>
      <c r="M31" s="10">
        <f t="shared" si="1"/>
        <v>8.8740000070991979E-3</v>
      </c>
      <c r="O31" s="10">
        <f t="shared" si="1"/>
        <v>8.8740000070991979E-3</v>
      </c>
      <c r="Q31" s="10">
        <f t="shared" si="1"/>
        <v>8.8740000070991979E-3</v>
      </c>
      <c r="S31" s="10">
        <f t="shared" si="1"/>
        <v>8.8740000070991979E-3</v>
      </c>
      <c r="U31" s="10">
        <f t="shared" si="1"/>
        <v>8.8740000070991979E-3</v>
      </c>
      <c r="W31" s="10">
        <f t="shared" si="1"/>
        <v>8.8740000070991979E-3</v>
      </c>
      <c r="Y31" s="10">
        <f t="shared" si="1"/>
        <v>8.8740000070991979E-3</v>
      </c>
    </row>
    <row r="32" spans="1:25" s="12" customFormat="1">
      <c r="A32" s="12" t="s">
        <v>35</v>
      </c>
      <c r="B32" s="12">
        <v>0</v>
      </c>
      <c r="C32" s="12">
        <f>'energy consumption'!$I$17*'recycling level-cf'!D$2</f>
        <v>1.6328160013062525E-2</v>
      </c>
      <c r="E32" s="12">
        <f>'energy consumption'!$I$17*'recycling level-cf'!F$2</f>
        <v>1.4695344011756272E-2</v>
      </c>
      <c r="G32" s="12">
        <f>'energy consumption'!$I$17*'recycling level-cf'!H$2</f>
        <v>1.306252801045002E-2</v>
      </c>
      <c r="I32" s="12">
        <f>'energy consumption'!$I$17*'recycling level-cf'!J$2</f>
        <v>1.1429712009143767E-2</v>
      </c>
      <c r="K32" s="12">
        <f>'energy consumption'!$I$17*'recycling level-cf'!L$2</f>
        <v>1.6328160013062525E-2</v>
      </c>
      <c r="M32" s="12">
        <f>'energy consumption'!$I$17*'recycling level-cf'!N$2</f>
        <v>1.4695344011756272E-2</v>
      </c>
      <c r="O32" s="12">
        <f>'energy consumption'!$I$17*'recycling level-cf'!P$2</f>
        <v>1.306252801045002E-2</v>
      </c>
      <c r="Q32" s="12">
        <f>'energy consumption'!$I$17*'recycling level-cf'!R$2</f>
        <v>1.1429712009143767E-2</v>
      </c>
      <c r="S32" s="12">
        <f>'energy consumption'!$I$17*'recycling level-cf'!T$2</f>
        <v>1.6328160013062525E-2</v>
      </c>
      <c r="U32" s="12">
        <f>'energy consumption'!$I$17*'recycling level-cf'!V$2</f>
        <v>1.4695344011756272E-2</v>
      </c>
      <c r="W32" s="12">
        <f>'energy consumption'!$I$17*'recycling level-cf'!X$2</f>
        <v>1.306252801045002E-2</v>
      </c>
      <c r="Y32" s="12">
        <f>'energy consumption'!$I$17*'recycling level-cf'!Z$2</f>
        <v>1.1429712009143767E-2</v>
      </c>
    </row>
    <row r="33" spans="1:25" s="12" customFormat="1">
      <c r="A33" s="12" t="s">
        <v>75</v>
      </c>
      <c r="B33" s="12">
        <v>0</v>
      </c>
      <c r="C33" s="12">
        <f>[7]ITO!$E$19</f>
        <v>0.15812767160784313</v>
      </c>
      <c r="E33" s="12">
        <f>[7]ITO!$E$19</f>
        <v>0.15812767160784313</v>
      </c>
      <c r="G33" s="12">
        <f>[7]ITO!$E$19</f>
        <v>0.15812767160784313</v>
      </c>
      <c r="I33" s="12">
        <f>[7]ITO!$E$19</f>
        <v>0.15812767160784313</v>
      </c>
      <c r="K33" s="12">
        <f>[7]ITO!$E$19</f>
        <v>0.15812767160784313</v>
      </c>
      <c r="M33" s="12">
        <f>[7]ITO!$E$19</f>
        <v>0.15812767160784313</v>
      </c>
      <c r="O33" s="12">
        <f>[7]ITO!$E$19</f>
        <v>0.15812767160784313</v>
      </c>
      <c r="Q33" s="12">
        <f>[7]ITO!$E$19</f>
        <v>0.15812767160784313</v>
      </c>
      <c r="S33" s="12">
        <f>[7]ITO!$E$19</f>
        <v>0.15812767160784313</v>
      </c>
      <c r="U33" s="12">
        <f>[7]ITO!$E$19</f>
        <v>0.15812767160784313</v>
      </c>
      <c r="W33" s="12">
        <f>[7]ITO!$E$19</f>
        <v>0.15812767160784313</v>
      </c>
      <c r="Y33" s="12">
        <f>[7]ITO!$E$19</f>
        <v>0.15812767160784313</v>
      </c>
    </row>
    <row r="34" spans="1:25" s="12" customFormat="1">
      <c r="A34" s="12" t="s">
        <v>76</v>
      </c>
      <c r="B34" s="12">
        <v>0</v>
      </c>
      <c r="C34" s="12">
        <f>[7]ITO!$E$20</f>
        <v>1.0770142140486276E-3</v>
      </c>
      <c r="E34" s="12">
        <f>[7]ITO!$E$20</f>
        <v>1.0770142140486276E-3</v>
      </c>
      <c r="G34" s="12">
        <f>[7]ITO!$E$20</f>
        <v>1.0770142140486276E-3</v>
      </c>
      <c r="I34" s="12">
        <f>[7]ITO!$E$20</f>
        <v>1.0770142140486276E-3</v>
      </c>
      <c r="K34" s="12">
        <f>[7]ITO!$E$20</f>
        <v>1.0770142140486276E-3</v>
      </c>
      <c r="M34" s="12">
        <f>[7]ITO!$E$20</f>
        <v>1.0770142140486276E-3</v>
      </c>
      <c r="O34" s="12">
        <f>[7]ITO!$E$20</f>
        <v>1.0770142140486276E-3</v>
      </c>
      <c r="Q34" s="12">
        <f>[7]ITO!$E$20</f>
        <v>1.0770142140486276E-3</v>
      </c>
      <c r="S34" s="12">
        <f>[7]ITO!$E$20</f>
        <v>1.0770142140486276E-3</v>
      </c>
      <c r="U34" s="12">
        <f>[7]ITO!$E$20</f>
        <v>1.0770142140486276E-3</v>
      </c>
      <c r="W34" s="12">
        <f>[7]ITO!$E$20</f>
        <v>1.0770142140486276E-3</v>
      </c>
      <c r="Y34" s="12">
        <f>[7]ITO!$E$20</f>
        <v>1.0770142140486276E-3</v>
      </c>
    </row>
    <row r="36" spans="1:25">
      <c r="C36" s="10">
        <f>SUM(C3:C35)</f>
        <v>7.8903338571525934</v>
      </c>
      <c r="E36" s="10">
        <f>SUM(E3:E35)</f>
        <v>9.7777402628994992</v>
      </c>
      <c r="G36" s="10">
        <f>SUM(G3:G35)</f>
        <v>11.917996498646403</v>
      </c>
      <c r="I36" s="10">
        <f>SUM(I3:I35)</f>
        <v>14.058252734393314</v>
      </c>
      <c r="K36" s="10">
        <f>SUM(K3:K35)</f>
        <v>7.6377009121957942</v>
      </c>
      <c r="M36" s="10">
        <f>SUM(M3:M35)</f>
        <v>9.7779571479427005</v>
      </c>
      <c r="O36" s="10">
        <f>SUM(O3:O35)</f>
        <v>11.918213383689602</v>
      </c>
      <c r="Q36" s="10">
        <f>SUM(Q3:Q35)</f>
        <v>14.058469619436512</v>
      </c>
      <c r="S36" s="10">
        <f>SUM(S3:S35)</f>
        <v>7.6379177972389938</v>
      </c>
      <c r="U36" s="10">
        <f>SUM(U3:U35)</f>
        <v>9.7781740329858984</v>
      </c>
      <c r="W36" s="10">
        <f>SUM(W3:W35)</f>
        <v>11.918430268732804</v>
      </c>
      <c r="Y36" s="10">
        <f>SUM(Y3:Y35)</f>
        <v>14.058686504479713</v>
      </c>
    </row>
    <row r="39" spans="1:25">
      <c r="C39" s="1"/>
      <c r="D39"/>
      <c r="E39"/>
      <c r="F39" t="s">
        <v>78</v>
      </c>
      <c r="G39"/>
    </row>
    <row r="40" spans="1:25">
      <c r="C40" s="1"/>
      <c r="D40" s="17">
        <f>C36</f>
        <v>7.8903338571525934</v>
      </c>
      <c r="E40" s="17">
        <f>E36</f>
        <v>9.7777402628994992</v>
      </c>
      <c r="F40" s="17">
        <f>G36</f>
        <v>11.917996498646403</v>
      </c>
      <c r="G40" s="17">
        <f>I36</f>
        <v>14.058252734393314</v>
      </c>
    </row>
    <row r="41" spans="1:25">
      <c r="C41" s="1" t="s">
        <v>77</v>
      </c>
      <c r="D41" s="17">
        <f>K36</f>
        <v>7.6377009121957942</v>
      </c>
      <c r="E41" s="17">
        <f>M36</f>
        <v>9.7779571479427005</v>
      </c>
      <c r="F41" s="17">
        <f>O36</f>
        <v>11.918213383689602</v>
      </c>
      <c r="G41" s="17">
        <f>Q36</f>
        <v>14.058469619436512</v>
      </c>
    </row>
    <row r="42" spans="1:25">
      <c r="C42" s="1"/>
      <c r="D42" s="17">
        <f>S36</f>
        <v>7.6379177972389938</v>
      </c>
      <c r="E42" s="17">
        <f>U36</f>
        <v>9.7781740329858984</v>
      </c>
      <c r="F42" s="17">
        <f>W36</f>
        <v>11.918430268732804</v>
      </c>
      <c r="G42" s="17">
        <f>Y36</f>
        <v>14.058686504479713</v>
      </c>
    </row>
  </sheetData>
  <conditionalFormatting sqref="D40:G42">
    <cfRule type="colorScale" priority="1">
      <colorScale>
        <cfvo type="min"/>
        <cfvo type="max"/>
        <color rgb="FFFCFCFF"/>
        <color rgb="FF63BE7B"/>
      </colorScale>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7E09A-FCB5-4AAF-A779-10D130D5516D}">
  <dimension ref="A1:Z42"/>
  <sheetViews>
    <sheetView workbookViewId="0">
      <selection activeCell="C26" sqref="C26"/>
    </sheetView>
  </sheetViews>
  <sheetFormatPr defaultRowHeight="15"/>
  <cols>
    <col min="1" max="2" width="22.85546875" style="10" customWidth="1"/>
    <col min="3" max="16384" width="9.140625" style="10"/>
  </cols>
  <sheetData>
    <row r="1" spans="1:26">
      <c r="C1" s="13" t="s">
        <v>77</v>
      </c>
      <c r="D1" s="13" t="s">
        <v>78</v>
      </c>
      <c r="E1" s="13" t="s">
        <v>77</v>
      </c>
      <c r="F1" s="13" t="s">
        <v>78</v>
      </c>
      <c r="G1" s="13" t="s">
        <v>77</v>
      </c>
      <c r="H1" s="13" t="s">
        <v>78</v>
      </c>
      <c r="I1" s="13" t="s">
        <v>77</v>
      </c>
      <c r="J1" s="13" t="s">
        <v>78</v>
      </c>
      <c r="K1" s="14" t="s">
        <v>77</v>
      </c>
      <c r="L1" s="14" t="s">
        <v>78</v>
      </c>
      <c r="M1" s="14" t="s">
        <v>77</v>
      </c>
      <c r="N1" s="14" t="s">
        <v>78</v>
      </c>
      <c r="O1" s="14" t="s">
        <v>77</v>
      </c>
      <c r="P1" s="14" t="s">
        <v>78</v>
      </c>
      <c r="Q1" s="14" t="s">
        <v>77</v>
      </c>
      <c r="R1" s="14" t="s">
        <v>78</v>
      </c>
      <c r="S1" s="13" t="s">
        <v>77</v>
      </c>
      <c r="T1" s="13" t="s">
        <v>78</v>
      </c>
      <c r="U1" s="13" t="s">
        <v>77</v>
      </c>
      <c r="V1" s="13" t="s">
        <v>78</v>
      </c>
      <c r="W1" s="13" t="s">
        <v>77</v>
      </c>
      <c r="X1" s="13" t="s">
        <v>78</v>
      </c>
      <c r="Y1" s="13" t="s">
        <v>77</v>
      </c>
      <c r="Z1" s="13" t="s">
        <v>78</v>
      </c>
    </row>
    <row r="2" spans="1:26">
      <c r="B2" s="10" t="s">
        <v>71</v>
      </c>
      <c r="C2" s="15">
        <v>1</v>
      </c>
      <c r="D2" s="15">
        <v>1</v>
      </c>
      <c r="E2" s="15">
        <v>1</v>
      </c>
      <c r="F2" s="15">
        <v>0.9</v>
      </c>
      <c r="G2" s="15">
        <v>1</v>
      </c>
      <c r="H2" s="15">
        <v>0.8</v>
      </c>
      <c r="I2" s="15">
        <v>1</v>
      </c>
      <c r="J2" s="15">
        <v>0.7</v>
      </c>
      <c r="K2" s="16">
        <v>0.95</v>
      </c>
      <c r="L2" s="16">
        <v>1</v>
      </c>
      <c r="M2" s="16">
        <v>0.95</v>
      </c>
      <c r="N2" s="16">
        <v>0.9</v>
      </c>
      <c r="O2" s="16">
        <v>0.95</v>
      </c>
      <c r="P2" s="16">
        <v>0.8</v>
      </c>
      <c r="Q2" s="16">
        <v>0.95</v>
      </c>
      <c r="R2" s="16">
        <v>0.7</v>
      </c>
      <c r="S2" s="15">
        <v>0.9</v>
      </c>
      <c r="T2" s="15">
        <v>1</v>
      </c>
      <c r="U2" s="15">
        <v>0.9</v>
      </c>
      <c r="V2" s="15">
        <v>0.9</v>
      </c>
      <c r="W2" s="15">
        <v>0.9</v>
      </c>
      <c r="X2" s="15">
        <v>0.8</v>
      </c>
      <c r="Y2" s="15">
        <v>0.9</v>
      </c>
      <c r="Z2" s="15">
        <v>0.7</v>
      </c>
    </row>
    <row r="3" spans="1:26" s="12" customFormat="1">
      <c r="A3" s="12" t="str">
        <f>results!A2</f>
        <v>ITO glass</v>
      </c>
      <c r="B3" s="34">
        <f>results!C2</f>
        <v>292.22870408888105</v>
      </c>
      <c r="C3" s="12">
        <f>$B3*(1-D$2)</f>
        <v>0</v>
      </c>
      <c r="E3" s="12">
        <f>$B3*(1-F$2)</f>
        <v>29.222870408888099</v>
      </c>
      <c r="G3" s="12">
        <f>$B3*(1-H$2)</f>
        <v>58.445740817776198</v>
      </c>
      <c r="I3" s="12">
        <f>$B3*(1-J$2)</f>
        <v>87.668611226664325</v>
      </c>
      <c r="K3" s="12">
        <f>$B3*(1-L$2)</f>
        <v>0</v>
      </c>
      <c r="M3" s="12">
        <f>$B3*(1-N$2)</f>
        <v>29.222870408888099</v>
      </c>
      <c r="O3" s="12">
        <f>$B3*(1-P$2)</f>
        <v>58.445740817776198</v>
      </c>
      <c r="Q3" s="12">
        <f>$B3*(1-R$2)</f>
        <v>87.668611226664325</v>
      </c>
      <c r="S3" s="12">
        <f>$B3*(1-T$2)</f>
        <v>0</v>
      </c>
      <c r="U3" s="12">
        <f>$B3*(1-V$2)</f>
        <v>29.222870408888099</v>
      </c>
      <c r="W3" s="12">
        <f>$B3*(1-X$2)</f>
        <v>58.445740817776198</v>
      </c>
      <c r="Y3" s="12">
        <f>$B3*(1-Z$2)</f>
        <v>87.668611226664325</v>
      </c>
    </row>
    <row r="4" spans="1:26" s="12" customFormat="1">
      <c r="A4" s="12" t="str">
        <f>results!A3</f>
        <v>SnO₂</v>
      </c>
      <c r="B4" s="34">
        <f>results!C3</f>
        <v>3.7774549302499995E-2</v>
      </c>
      <c r="C4" s="12">
        <f>$B4*(1-D$2)</f>
        <v>0</v>
      </c>
      <c r="E4" s="12">
        <f>$B4*(1-F$2)</f>
        <v>3.7774549302499985E-3</v>
      </c>
      <c r="G4" s="12">
        <f>$B4*(1-H$2)</f>
        <v>7.5549098604999971E-3</v>
      </c>
      <c r="I4" s="12">
        <f>$B4*(1-J$2)</f>
        <v>1.1332364790749999E-2</v>
      </c>
      <c r="K4" s="12">
        <f>$B4*(1-L$2)</f>
        <v>0</v>
      </c>
      <c r="M4" s="12">
        <f>$B4*(1-N$2)</f>
        <v>3.7774549302499985E-3</v>
      </c>
      <c r="O4" s="12">
        <f>$B4*(1-P$2)</f>
        <v>7.5549098604999971E-3</v>
      </c>
      <c r="Q4" s="12">
        <f>$B4*(1-R$2)</f>
        <v>1.1332364790749999E-2</v>
      </c>
      <c r="S4" s="12">
        <f>$B4*(1-T$2)</f>
        <v>0</v>
      </c>
      <c r="U4" s="12">
        <f>$B4*(1-V$2)</f>
        <v>3.7774549302499985E-3</v>
      </c>
      <c r="W4" s="12">
        <f>$B4*(1-X$2)</f>
        <v>7.5549098604999971E-3</v>
      </c>
      <c r="Y4" s="12">
        <f>$B4*(1-Z$2)</f>
        <v>1.1332364790749999E-2</v>
      </c>
    </row>
    <row r="5" spans="1:26" s="12" customFormat="1">
      <c r="A5" s="12" t="str">
        <f>results!A4</f>
        <v>H₂O</v>
      </c>
      <c r="B5" s="34">
        <f>results!C4</f>
        <v>1.2149445721202592E-4</v>
      </c>
      <c r="C5" s="12">
        <f>$B5*(1-D$2)</f>
        <v>0</v>
      </c>
      <c r="E5" s="12">
        <f>$B5*(1-F$2)</f>
        <v>1.2149445721202589E-5</v>
      </c>
      <c r="G5" s="12">
        <f>$B5*(1-H$2)</f>
        <v>2.4298891442405177E-5</v>
      </c>
      <c r="I5" s="12">
        <f>$B5*(1-J$2)</f>
        <v>3.6448337163607777E-5</v>
      </c>
      <c r="K5" s="12">
        <f>$B5*(1-L$2)</f>
        <v>0</v>
      </c>
      <c r="M5" s="12">
        <f>$B5*(1-N$2)</f>
        <v>1.2149445721202589E-5</v>
      </c>
      <c r="O5" s="12">
        <f>$B5*(1-P$2)</f>
        <v>2.4298891442405177E-5</v>
      </c>
      <c r="Q5" s="12">
        <f>$B5*(1-R$2)</f>
        <v>3.6448337163607777E-5</v>
      </c>
      <c r="S5" s="12">
        <f>$B5*(1-T$2)</f>
        <v>0</v>
      </c>
      <c r="U5" s="12">
        <f>$B5*(1-V$2)</f>
        <v>1.2149445721202589E-5</v>
      </c>
      <c r="W5" s="12">
        <f>$B5*(1-X$2)</f>
        <v>2.4298891442405177E-5</v>
      </c>
      <c r="Y5" s="12">
        <f>$B5*(1-Z$2)</f>
        <v>3.6448337163607777E-5</v>
      </c>
    </row>
    <row r="6" spans="1:26">
      <c r="A6" s="10" t="str">
        <f>results!A5</f>
        <v>PbI₂</v>
      </c>
      <c r="B6" s="35">
        <f>results!C5</f>
        <v>5.9957782482828542E-2</v>
      </c>
      <c r="C6" s="10">
        <f>$B6</f>
        <v>5.9957782482828542E-2</v>
      </c>
      <c r="E6" s="10">
        <f>$B6</f>
        <v>5.9957782482828542E-2</v>
      </c>
      <c r="G6" s="10">
        <f>$B6</f>
        <v>5.9957782482828542E-2</v>
      </c>
      <c r="I6" s="10">
        <f>$B6</f>
        <v>5.9957782482828542E-2</v>
      </c>
      <c r="K6" s="10">
        <f>$B6</f>
        <v>5.9957782482828542E-2</v>
      </c>
      <c r="M6" s="10">
        <f>$B6</f>
        <v>5.9957782482828542E-2</v>
      </c>
      <c r="O6" s="10">
        <f>$B6</f>
        <v>5.9957782482828542E-2</v>
      </c>
      <c r="Q6" s="10">
        <f>$B6</f>
        <v>5.9957782482828542E-2</v>
      </c>
      <c r="S6" s="10">
        <f>$B6</f>
        <v>5.9957782482828542E-2</v>
      </c>
      <c r="U6" s="10">
        <f>$B6</f>
        <v>5.9957782482828542E-2</v>
      </c>
      <c r="W6" s="10">
        <f>$B6</f>
        <v>5.9957782482828542E-2</v>
      </c>
      <c r="Y6" s="10">
        <f>$B6</f>
        <v>5.9957782482828542E-2</v>
      </c>
    </row>
    <row r="7" spans="1:26">
      <c r="A7" s="10" t="str">
        <f>results!A6</f>
        <v>DMF</v>
      </c>
      <c r="B7" s="35">
        <f>results!C6</f>
        <v>0.12919759675539927</v>
      </c>
      <c r="C7" s="10">
        <f t="shared" ref="C7:Y22" si="0">$B7</f>
        <v>0.12919759675539927</v>
      </c>
      <c r="E7" s="10">
        <f t="shared" si="0"/>
        <v>0.12919759675539927</v>
      </c>
      <c r="G7" s="10">
        <f t="shared" si="0"/>
        <v>0.12919759675539927</v>
      </c>
      <c r="I7" s="10">
        <f t="shared" si="0"/>
        <v>0.12919759675539927</v>
      </c>
      <c r="K7" s="10">
        <f t="shared" si="0"/>
        <v>0.12919759675539927</v>
      </c>
      <c r="M7" s="10">
        <f t="shared" si="0"/>
        <v>0.12919759675539927</v>
      </c>
      <c r="O7" s="10">
        <f t="shared" si="0"/>
        <v>0.12919759675539927</v>
      </c>
      <c r="Q7" s="10">
        <f t="shared" si="0"/>
        <v>0.12919759675539927</v>
      </c>
      <c r="S7" s="10">
        <f t="shared" si="0"/>
        <v>0.12919759675539927</v>
      </c>
      <c r="U7" s="10">
        <f t="shared" si="0"/>
        <v>0.12919759675539927</v>
      </c>
      <c r="W7" s="10">
        <f t="shared" si="0"/>
        <v>0.12919759675539927</v>
      </c>
      <c r="Y7" s="10">
        <f t="shared" si="0"/>
        <v>0.12919759675539927</v>
      </c>
    </row>
    <row r="8" spans="1:26">
      <c r="A8" s="10" t="str">
        <f>results!A7</f>
        <v>DMSO</v>
      </c>
      <c r="B8" s="35">
        <f>results!C7</f>
        <v>5.9398302219234068E-3</v>
      </c>
      <c r="C8" s="10">
        <f t="shared" si="0"/>
        <v>5.9398302219234068E-3</v>
      </c>
      <c r="E8" s="10">
        <f t="shared" si="0"/>
        <v>5.9398302219234068E-3</v>
      </c>
      <c r="G8" s="10">
        <f t="shared" si="0"/>
        <v>5.9398302219234068E-3</v>
      </c>
      <c r="I8" s="10">
        <f t="shared" si="0"/>
        <v>5.9398302219234068E-3</v>
      </c>
      <c r="K8" s="10">
        <f t="shared" si="0"/>
        <v>5.9398302219234068E-3</v>
      </c>
      <c r="M8" s="10">
        <f t="shared" si="0"/>
        <v>5.9398302219234068E-3</v>
      </c>
      <c r="O8" s="10">
        <f t="shared" si="0"/>
        <v>5.9398302219234068E-3</v>
      </c>
      <c r="Q8" s="10">
        <f t="shared" si="0"/>
        <v>5.9398302219234068E-3</v>
      </c>
      <c r="S8" s="10">
        <f t="shared" si="0"/>
        <v>5.9398302219234068E-3</v>
      </c>
      <c r="U8" s="10">
        <f t="shared" si="0"/>
        <v>5.9398302219234068E-3</v>
      </c>
      <c r="W8" s="10">
        <f t="shared" si="0"/>
        <v>5.9398302219234068E-3</v>
      </c>
      <c r="Y8" s="10">
        <f t="shared" si="0"/>
        <v>5.9398302219234068E-3</v>
      </c>
    </row>
    <row r="9" spans="1:26">
      <c r="A9" s="10" t="str">
        <f>results!A8</f>
        <v>FAI</v>
      </c>
      <c r="B9" s="35">
        <f>results!C8</f>
        <v>0.42337780030357741</v>
      </c>
      <c r="C9" s="10">
        <f t="shared" si="0"/>
        <v>0.42337780030357741</v>
      </c>
      <c r="E9" s="10">
        <f t="shared" si="0"/>
        <v>0.42337780030357741</v>
      </c>
      <c r="G9" s="10">
        <f t="shared" si="0"/>
        <v>0.42337780030357741</v>
      </c>
      <c r="I9" s="10">
        <f t="shared" si="0"/>
        <v>0.42337780030357741</v>
      </c>
      <c r="K9" s="10">
        <f t="shared" si="0"/>
        <v>0.42337780030357741</v>
      </c>
      <c r="M9" s="10">
        <f t="shared" si="0"/>
        <v>0.42337780030357741</v>
      </c>
      <c r="O9" s="10">
        <f t="shared" si="0"/>
        <v>0.42337780030357741</v>
      </c>
      <c r="Q9" s="10">
        <f t="shared" si="0"/>
        <v>0.42337780030357741</v>
      </c>
      <c r="S9" s="10">
        <f t="shared" si="0"/>
        <v>0.42337780030357741</v>
      </c>
      <c r="U9" s="10">
        <f t="shared" si="0"/>
        <v>0.42337780030357741</v>
      </c>
      <c r="W9" s="10">
        <f t="shared" si="0"/>
        <v>0.42337780030357741</v>
      </c>
      <c r="Y9" s="10">
        <f t="shared" si="0"/>
        <v>0.42337780030357741</v>
      </c>
    </row>
    <row r="10" spans="1:26">
      <c r="A10" s="10" t="str">
        <f>results!A9</f>
        <v>MABr</v>
      </c>
      <c r="B10" s="35">
        <f>results!C9</f>
        <v>1.865990772517371</v>
      </c>
      <c r="C10" s="10">
        <f t="shared" si="0"/>
        <v>1.865990772517371</v>
      </c>
      <c r="E10" s="10">
        <f t="shared" si="0"/>
        <v>1.865990772517371</v>
      </c>
      <c r="G10" s="10">
        <f t="shared" si="0"/>
        <v>1.865990772517371</v>
      </c>
      <c r="I10" s="10">
        <f t="shared" si="0"/>
        <v>1.865990772517371</v>
      </c>
      <c r="K10" s="10">
        <f t="shared" si="0"/>
        <v>1.865990772517371</v>
      </c>
      <c r="M10" s="10">
        <f t="shared" si="0"/>
        <v>1.865990772517371</v>
      </c>
      <c r="O10" s="10">
        <f t="shared" si="0"/>
        <v>1.865990772517371</v>
      </c>
      <c r="Q10" s="10">
        <f t="shared" si="0"/>
        <v>1.865990772517371</v>
      </c>
      <c r="S10" s="10">
        <f t="shared" si="0"/>
        <v>1.865990772517371</v>
      </c>
      <c r="U10" s="10">
        <f t="shared" si="0"/>
        <v>1.865990772517371</v>
      </c>
      <c r="W10" s="10">
        <f t="shared" si="0"/>
        <v>1.865990772517371</v>
      </c>
      <c r="Y10" s="10">
        <f t="shared" si="0"/>
        <v>1.865990772517371</v>
      </c>
    </row>
    <row r="11" spans="1:26">
      <c r="A11" s="10" t="str">
        <f>results!A10</f>
        <v>MACl</v>
      </c>
      <c r="B11" s="35">
        <f>results!C10</f>
        <v>2.8340510885295118E-6</v>
      </c>
      <c r="C11" s="10">
        <f t="shared" si="0"/>
        <v>2.8340510885295118E-6</v>
      </c>
      <c r="E11" s="10">
        <f t="shared" si="0"/>
        <v>2.8340510885295118E-6</v>
      </c>
      <c r="G11" s="10">
        <f t="shared" si="0"/>
        <v>2.8340510885295118E-6</v>
      </c>
      <c r="I11" s="10">
        <f t="shared" si="0"/>
        <v>2.8340510885295118E-6</v>
      </c>
      <c r="K11" s="10">
        <f t="shared" si="0"/>
        <v>2.8340510885295118E-6</v>
      </c>
      <c r="M11" s="10">
        <f t="shared" si="0"/>
        <v>2.8340510885295118E-6</v>
      </c>
      <c r="O11" s="10">
        <f t="shared" si="0"/>
        <v>2.8340510885295118E-6</v>
      </c>
      <c r="Q11" s="10">
        <f t="shared" si="0"/>
        <v>2.8340510885295118E-6</v>
      </c>
      <c r="S11" s="10">
        <f t="shared" si="0"/>
        <v>2.8340510885295118E-6</v>
      </c>
      <c r="U11" s="10">
        <f t="shared" si="0"/>
        <v>2.8340510885295118E-6</v>
      </c>
      <c r="W11" s="10">
        <f t="shared" si="0"/>
        <v>2.8340510885295118E-6</v>
      </c>
      <c r="Y11" s="10">
        <f t="shared" si="0"/>
        <v>2.8340510885295118E-6</v>
      </c>
    </row>
    <row r="12" spans="1:26">
      <c r="A12" s="10" t="str">
        <f>results!A11</f>
        <v>Isopropanol</v>
      </c>
      <c r="B12" s="35">
        <f>results!C11</f>
        <v>3.3424294376453116</v>
      </c>
      <c r="C12" s="10">
        <f t="shared" si="0"/>
        <v>3.3424294376453116</v>
      </c>
      <c r="E12" s="10">
        <f t="shared" si="0"/>
        <v>3.3424294376453116</v>
      </c>
      <c r="G12" s="10">
        <f t="shared" si="0"/>
        <v>3.3424294376453116</v>
      </c>
      <c r="I12" s="10">
        <f t="shared" si="0"/>
        <v>3.3424294376453116</v>
      </c>
      <c r="K12" s="10">
        <f t="shared" si="0"/>
        <v>3.3424294376453116</v>
      </c>
      <c r="M12" s="10">
        <f t="shared" si="0"/>
        <v>3.3424294376453116</v>
      </c>
      <c r="O12" s="10">
        <f t="shared" si="0"/>
        <v>3.3424294376453116</v>
      </c>
      <c r="Q12" s="10">
        <f t="shared" si="0"/>
        <v>3.3424294376453116</v>
      </c>
      <c r="S12" s="10">
        <f t="shared" si="0"/>
        <v>3.3424294376453116</v>
      </c>
      <c r="U12" s="10">
        <f t="shared" si="0"/>
        <v>3.3424294376453116</v>
      </c>
      <c r="W12" s="10">
        <f t="shared" si="0"/>
        <v>3.3424294376453116</v>
      </c>
      <c r="Y12" s="10">
        <f t="shared" si="0"/>
        <v>3.3424294376453116</v>
      </c>
    </row>
    <row r="13" spans="1:26">
      <c r="A13" s="10" t="str">
        <f>results!A12</f>
        <v>Spiro-OMeTAD</v>
      </c>
      <c r="B13" s="35">
        <f>results!C12</f>
        <v>0.51315829357722298</v>
      </c>
      <c r="C13" s="10">
        <f t="shared" si="0"/>
        <v>0.51315829357722298</v>
      </c>
      <c r="E13" s="10">
        <f t="shared" si="0"/>
        <v>0.51315829357722298</v>
      </c>
      <c r="G13" s="10">
        <f t="shared" si="0"/>
        <v>0.51315829357722298</v>
      </c>
      <c r="I13" s="10">
        <f t="shared" si="0"/>
        <v>0.51315829357722298</v>
      </c>
      <c r="K13" s="10">
        <f t="shared" si="0"/>
        <v>0.51315829357722298</v>
      </c>
      <c r="M13" s="10">
        <f t="shared" si="0"/>
        <v>0.51315829357722298</v>
      </c>
      <c r="O13" s="10">
        <f t="shared" si="0"/>
        <v>0.51315829357722298</v>
      </c>
      <c r="Q13" s="10">
        <f t="shared" si="0"/>
        <v>0.51315829357722298</v>
      </c>
      <c r="S13" s="10">
        <f t="shared" si="0"/>
        <v>0.51315829357722298</v>
      </c>
      <c r="U13" s="10">
        <f t="shared" si="0"/>
        <v>0.51315829357722298</v>
      </c>
      <c r="W13" s="10">
        <f t="shared" si="0"/>
        <v>0.51315829357722298</v>
      </c>
      <c r="Y13" s="10">
        <f t="shared" si="0"/>
        <v>0.51315829357722298</v>
      </c>
    </row>
    <row r="14" spans="1:26">
      <c r="A14" s="10" t="str">
        <f>results!A13</f>
        <v>LiTFSI</v>
      </c>
      <c r="B14" s="35">
        <f>results!C13</f>
        <v>2.2981147890881671E-2</v>
      </c>
      <c r="C14" s="10">
        <f t="shared" si="0"/>
        <v>2.2981147890881671E-2</v>
      </c>
      <c r="E14" s="10">
        <f t="shared" si="0"/>
        <v>2.2981147890881671E-2</v>
      </c>
      <c r="G14" s="10">
        <f t="shared" si="0"/>
        <v>2.2981147890881671E-2</v>
      </c>
      <c r="I14" s="10">
        <f t="shared" si="0"/>
        <v>2.2981147890881671E-2</v>
      </c>
      <c r="K14" s="10">
        <f t="shared" si="0"/>
        <v>2.2981147890881671E-2</v>
      </c>
      <c r="M14" s="10">
        <f t="shared" si="0"/>
        <v>2.2981147890881671E-2</v>
      </c>
      <c r="O14" s="10">
        <f t="shared" si="0"/>
        <v>2.2981147890881671E-2</v>
      </c>
      <c r="Q14" s="10">
        <f t="shared" si="0"/>
        <v>2.2981147890881671E-2</v>
      </c>
      <c r="S14" s="10">
        <f t="shared" si="0"/>
        <v>2.2981147890881671E-2</v>
      </c>
      <c r="U14" s="10">
        <f t="shared" si="0"/>
        <v>2.2981147890881671E-2</v>
      </c>
      <c r="W14" s="10">
        <f t="shared" si="0"/>
        <v>2.2981147890881671E-2</v>
      </c>
      <c r="Y14" s="10">
        <f t="shared" si="0"/>
        <v>2.2981147890881671E-2</v>
      </c>
    </row>
    <row r="15" spans="1:26">
      <c r="A15" s="10" t="str">
        <f>results!A14</f>
        <v>Acetonitrile</v>
      </c>
      <c r="B15" s="35">
        <f>results!C14</f>
        <v>1.1011636458905816E-2</v>
      </c>
      <c r="C15" s="10">
        <f t="shared" si="0"/>
        <v>1.1011636458905816E-2</v>
      </c>
      <c r="E15" s="10">
        <f t="shared" si="0"/>
        <v>1.1011636458905816E-2</v>
      </c>
      <c r="G15" s="10">
        <f t="shared" si="0"/>
        <v>1.1011636458905816E-2</v>
      </c>
      <c r="I15" s="10">
        <f t="shared" si="0"/>
        <v>1.1011636458905816E-2</v>
      </c>
      <c r="K15" s="10">
        <f t="shared" si="0"/>
        <v>1.1011636458905816E-2</v>
      </c>
      <c r="M15" s="10">
        <f t="shared" si="0"/>
        <v>1.1011636458905816E-2</v>
      </c>
      <c r="O15" s="10">
        <f t="shared" si="0"/>
        <v>1.1011636458905816E-2</v>
      </c>
      <c r="Q15" s="10">
        <f t="shared" si="0"/>
        <v>1.1011636458905816E-2</v>
      </c>
      <c r="S15" s="10">
        <f t="shared" si="0"/>
        <v>1.1011636458905816E-2</v>
      </c>
      <c r="U15" s="10">
        <f t="shared" si="0"/>
        <v>1.1011636458905816E-2</v>
      </c>
      <c r="W15" s="10">
        <f t="shared" si="0"/>
        <v>1.1011636458905816E-2</v>
      </c>
      <c r="Y15" s="10">
        <f t="shared" si="0"/>
        <v>1.1011636458905816E-2</v>
      </c>
    </row>
    <row r="16" spans="1:26">
      <c r="A16" s="10" t="str">
        <f>results!A15</f>
        <v>4-tert Butylpyridine</v>
      </c>
      <c r="B16" s="35">
        <f>results!C15</f>
        <v>1.8248398073474791E-2</v>
      </c>
      <c r="C16" s="10">
        <f t="shared" si="0"/>
        <v>1.8248398073474791E-2</v>
      </c>
      <c r="E16" s="10">
        <f t="shared" si="0"/>
        <v>1.8248398073474791E-2</v>
      </c>
      <c r="G16" s="10">
        <f t="shared" si="0"/>
        <v>1.8248398073474791E-2</v>
      </c>
      <c r="I16" s="10">
        <f t="shared" si="0"/>
        <v>1.8248398073474791E-2</v>
      </c>
      <c r="K16" s="10">
        <f t="shared" si="0"/>
        <v>1.8248398073474791E-2</v>
      </c>
      <c r="M16" s="10">
        <f t="shared" si="0"/>
        <v>1.8248398073474791E-2</v>
      </c>
      <c r="O16" s="10">
        <f t="shared" si="0"/>
        <v>1.8248398073474791E-2</v>
      </c>
      <c r="Q16" s="10">
        <f t="shared" si="0"/>
        <v>1.8248398073474791E-2</v>
      </c>
      <c r="S16" s="10">
        <f t="shared" si="0"/>
        <v>1.8248398073474791E-2</v>
      </c>
      <c r="U16" s="10">
        <f t="shared" si="0"/>
        <v>1.8248398073474791E-2</v>
      </c>
      <c r="W16" s="10">
        <f t="shared" si="0"/>
        <v>1.8248398073474791E-2</v>
      </c>
      <c r="Y16" s="10">
        <f t="shared" si="0"/>
        <v>1.8248398073474791E-2</v>
      </c>
    </row>
    <row r="17" spans="1:25">
      <c r="A17" s="10" t="str">
        <f>results!A16</f>
        <v>Chlorobenzene</v>
      </c>
      <c r="B17" s="35">
        <f>results!C16</f>
        <v>0.3158692872487171</v>
      </c>
      <c r="C17" s="10">
        <f t="shared" si="0"/>
        <v>0.3158692872487171</v>
      </c>
      <c r="E17" s="10">
        <f t="shared" si="0"/>
        <v>0.3158692872487171</v>
      </c>
      <c r="G17" s="10">
        <f t="shared" si="0"/>
        <v>0.3158692872487171</v>
      </c>
      <c r="I17" s="10">
        <f t="shared" si="0"/>
        <v>0.3158692872487171</v>
      </c>
      <c r="K17" s="10">
        <f t="shared" si="0"/>
        <v>0.3158692872487171</v>
      </c>
      <c r="M17" s="10">
        <f t="shared" si="0"/>
        <v>0.3158692872487171</v>
      </c>
      <c r="O17" s="10">
        <f t="shared" si="0"/>
        <v>0.3158692872487171</v>
      </c>
      <c r="Q17" s="10">
        <f t="shared" si="0"/>
        <v>0.3158692872487171</v>
      </c>
      <c r="S17" s="10">
        <f t="shared" si="0"/>
        <v>0.3158692872487171</v>
      </c>
      <c r="U17" s="10">
        <f t="shared" si="0"/>
        <v>0.3158692872487171</v>
      </c>
      <c r="W17" s="10">
        <f t="shared" si="0"/>
        <v>0.3158692872487171</v>
      </c>
      <c r="Y17" s="10">
        <f t="shared" si="0"/>
        <v>0.3158692872487171</v>
      </c>
    </row>
    <row r="18" spans="1:25" s="12" customFormat="1">
      <c r="A18" s="12" t="str">
        <f>results!A17</f>
        <v>Cu</v>
      </c>
      <c r="B18" s="34">
        <f>results!C17</f>
        <v>6.2376082969804805E-2</v>
      </c>
      <c r="C18" s="12">
        <f>$B18*(1-C$2)</f>
        <v>0</v>
      </c>
      <c r="E18" s="12">
        <f>$B18*(1-E$2)</f>
        <v>0</v>
      </c>
      <c r="G18" s="12">
        <f>$B18*(1-G$2)</f>
        <v>0</v>
      </c>
      <c r="I18" s="12">
        <f>$B18*(1-I$2)</f>
        <v>0</v>
      </c>
      <c r="K18" s="12">
        <f>$B18*(1-K$2)</f>
        <v>3.1188041484902429E-3</v>
      </c>
      <c r="M18" s="12">
        <f>$B18*(1-M$2)</f>
        <v>3.1188041484902429E-3</v>
      </c>
      <c r="O18" s="12">
        <f>$B18*(1-O$2)</f>
        <v>3.1188041484902429E-3</v>
      </c>
      <c r="Q18" s="12">
        <f>$B18*(1-Q$2)</f>
        <v>3.1188041484902429E-3</v>
      </c>
      <c r="S18" s="12">
        <f>$B18*(1-S$2)</f>
        <v>6.2376082969804788E-3</v>
      </c>
      <c r="U18" s="12">
        <f>$B18*(1-U$2)</f>
        <v>6.2376082969804788E-3</v>
      </c>
      <c r="W18" s="12">
        <f>$B18*(1-W$2)</f>
        <v>6.2376082969804788E-3</v>
      </c>
      <c r="Y18" s="12">
        <f>$B18*(1-Y$2)</f>
        <v>6.2376082969804788E-3</v>
      </c>
    </row>
    <row r="19" spans="1:25" s="12" customFormat="1">
      <c r="A19" s="10" t="str">
        <f>results!A18</f>
        <v>Ar</v>
      </c>
      <c r="B19" s="35">
        <f>results!C18</f>
        <v>2.6195734909818178</v>
      </c>
      <c r="C19" s="10">
        <f t="shared" si="0"/>
        <v>2.6195734909818178</v>
      </c>
      <c r="E19" s="10">
        <f t="shared" si="0"/>
        <v>2.6195734909818178</v>
      </c>
      <c r="G19" s="10">
        <f t="shared" si="0"/>
        <v>2.6195734909818178</v>
      </c>
      <c r="I19" s="10">
        <f t="shared" si="0"/>
        <v>2.6195734909818178</v>
      </c>
      <c r="K19" s="10">
        <f t="shared" si="0"/>
        <v>2.6195734909818178</v>
      </c>
      <c r="M19" s="10">
        <f t="shared" si="0"/>
        <v>2.6195734909818178</v>
      </c>
      <c r="O19" s="10">
        <f t="shared" si="0"/>
        <v>2.6195734909818178</v>
      </c>
      <c r="Q19" s="10">
        <f t="shared" si="0"/>
        <v>2.6195734909818178</v>
      </c>
      <c r="S19" s="10">
        <f t="shared" si="0"/>
        <v>2.6195734909818178</v>
      </c>
      <c r="U19" s="10">
        <f t="shared" si="0"/>
        <v>2.6195734909818178</v>
      </c>
      <c r="W19" s="10">
        <f t="shared" si="0"/>
        <v>2.6195734909818178</v>
      </c>
      <c r="Y19" s="10">
        <f t="shared" si="0"/>
        <v>2.6195734909818178</v>
      </c>
    </row>
    <row r="20" spans="1:25" s="12" customFormat="1">
      <c r="A20" s="10" t="str">
        <f>results!A19</f>
        <v>O₂</v>
      </c>
      <c r="B20" s="35">
        <f>results!C19</f>
        <v>1.0469033187490908E-3</v>
      </c>
      <c r="C20" s="10">
        <f t="shared" si="0"/>
        <v>1.0469033187490908E-3</v>
      </c>
      <c r="E20" s="10">
        <f t="shared" si="0"/>
        <v>1.0469033187490908E-3</v>
      </c>
      <c r="G20" s="10">
        <f t="shared" si="0"/>
        <v>1.0469033187490908E-3</v>
      </c>
      <c r="I20" s="10">
        <f t="shared" si="0"/>
        <v>1.0469033187490908E-3</v>
      </c>
      <c r="K20" s="10">
        <f t="shared" si="0"/>
        <v>1.0469033187490908E-3</v>
      </c>
      <c r="M20" s="10">
        <f t="shared" si="0"/>
        <v>1.0469033187490908E-3</v>
      </c>
      <c r="O20" s="10">
        <f t="shared" si="0"/>
        <v>1.0469033187490908E-3</v>
      </c>
      <c r="Q20" s="10">
        <f t="shared" si="0"/>
        <v>1.0469033187490908E-3</v>
      </c>
      <c r="S20" s="10">
        <f t="shared" si="0"/>
        <v>1.0469033187490908E-3</v>
      </c>
      <c r="U20" s="10">
        <f t="shared" si="0"/>
        <v>1.0469033187490908E-3</v>
      </c>
      <c r="W20" s="10">
        <f t="shared" si="0"/>
        <v>1.0469033187490908E-3</v>
      </c>
      <c r="Y20" s="10">
        <f t="shared" si="0"/>
        <v>1.0469033187490908E-3</v>
      </c>
    </row>
    <row r="21" spans="1:25" s="12" customFormat="1">
      <c r="A21" s="62" t="str">
        <f>results!A20</f>
        <v>Adhesive</v>
      </c>
      <c r="B21" s="35">
        <f>results!C20</f>
        <v>1.121768096012</v>
      </c>
      <c r="C21" s="62">
        <f t="shared" si="0"/>
        <v>1.121768096012</v>
      </c>
      <c r="E21" s="62"/>
      <c r="G21" s="62"/>
      <c r="I21" s="62"/>
      <c r="K21" s="62"/>
      <c r="M21" s="62"/>
      <c r="O21" s="62"/>
      <c r="Q21" s="62"/>
      <c r="S21" s="62"/>
      <c r="U21" s="62"/>
      <c r="W21" s="62"/>
      <c r="Y21" s="62"/>
    </row>
    <row r="22" spans="1:25" s="12" customFormat="1">
      <c r="A22" s="62" t="str">
        <f>results!A21</f>
        <v>PET</v>
      </c>
      <c r="B22" s="35">
        <f>results!C21</f>
        <v>4.876431431436</v>
      </c>
      <c r="C22" s="62">
        <f t="shared" si="0"/>
        <v>4.876431431436</v>
      </c>
      <c r="E22" s="62"/>
      <c r="G22" s="62"/>
      <c r="I22" s="62"/>
      <c r="K22" s="62"/>
      <c r="M22" s="62"/>
      <c r="O22" s="62"/>
      <c r="Q22" s="62"/>
      <c r="S22" s="62"/>
      <c r="U22" s="62"/>
      <c r="W22" s="62"/>
      <c r="Y22" s="62"/>
    </row>
    <row r="23" spans="1:25" s="12" customFormat="1">
      <c r="A23" s="12" t="str">
        <f>results!A23</f>
        <v>ETL slot-die coating</v>
      </c>
      <c r="B23" s="34">
        <f>results!C23</f>
        <v>0.2602417236290267</v>
      </c>
      <c r="C23" s="12">
        <f>$B23*(1-D$2)</f>
        <v>0</v>
      </c>
      <c r="E23" s="12">
        <f>$B23*(1-F$2)</f>
        <v>2.6024172362902664E-2</v>
      </c>
      <c r="G23" s="12">
        <f>$B23*(1-H$2)</f>
        <v>5.2048344725805329E-2</v>
      </c>
      <c r="I23" s="12">
        <f>$B23*(1-J$2)</f>
        <v>7.8072517088708021E-2</v>
      </c>
      <c r="K23" s="12">
        <f>$B23*(1-L$2)</f>
        <v>0</v>
      </c>
      <c r="M23" s="12">
        <f>$B23*(1-N$2)</f>
        <v>2.6024172362902664E-2</v>
      </c>
      <c r="O23" s="12">
        <f>$B23*(1-P$2)</f>
        <v>5.2048344725805329E-2</v>
      </c>
      <c r="Q23" s="12">
        <f>$B23*(1-R$2)</f>
        <v>7.8072517088708021E-2</v>
      </c>
      <c r="S23" s="12">
        <f>$B23*(1-T$2)</f>
        <v>0</v>
      </c>
      <c r="U23" s="12">
        <f>$B23*(1-V$2)</f>
        <v>2.6024172362902664E-2</v>
      </c>
      <c r="W23" s="12">
        <f>$B23*(1-X$2)</f>
        <v>5.2048344725805329E-2</v>
      </c>
      <c r="Y23" s="12">
        <f>$B23*(1-Z$2)</f>
        <v>7.8072517088708021E-2</v>
      </c>
    </row>
    <row r="24" spans="1:25" s="12" customFormat="1">
      <c r="A24" s="12" t="str">
        <f>results!A24</f>
        <v>ETL annealing</v>
      </c>
      <c r="B24" s="34">
        <f>results!C24</f>
        <v>80.303160434099667</v>
      </c>
      <c r="C24" s="12">
        <f>$B24*(1-D$2)</f>
        <v>0</v>
      </c>
      <c r="E24" s="12">
        <f>$B24*(1-F$2)</f>
        <v>8.0303160434099645</v>
      </c>
      <c r="G24" s="12">
        <f>$B24*(1-H$2)</f>
        <v>16.060632086819929</v>
      </c>
      <c r="I24" s="12">
        <f>$B24*(1-J$2)</f>
        <v>24.090948130229904</v>
      </c>
      <c r="K24" s="12">
        <f>$B24*(1-L$2)</f>
        <v>0</v>
      </c>
      <c r="M24" s="12">
        <f>$B24*(1-N$2)</f>
        <v>8.0303160434099645</v>
      </c>
      <c r="O24" s="12">
        <f>$B24*(1-P$2)</f>
        <v>16.060632086819929</v>
      </c>
      <c r="Q24" s="12">
        <f>$B24*(1-R$2)</f>
        <v>24.090948130229904</v>
      </c>
      <c r="S24" s="12">
        <f>$B24*(1-T$2)</f>
        <v>0</v>
      </c>
      <c r="U24" s="12">
        <f>$B24*(1-V$2)</f>
        <v>8.0303160434099645</v>
      </c>
      <c r="W24" s="12">
        <f>$B24*(1-X$2)</f>
        <v>16.060632086819929</v>
      </c>
      <c r="Y24" s="12">
        <f>$B24*(1-Z$2)</f>
        <v>24.090948130229904</v>
      </c>
    </row>
    <row r="25" spans="1:25">
      <c r="A25" s="10" t="str">
        <f>results!A25</f>
        <v>PL 1st-step slot-die coating</v>
      </c>
      <c r="B25" s="35">
        <f>results!C25</f>
        <v>0.37177389089860957</v>
      </c>
      <c r="C25" s="10">
        <f t="shared" ref="C25:Y31" si="1">$B25</f>
        <v>0.37177389089860957</v>
      </c>
      <c r="E25" s="10">
        <f t="shared" si="1"/>
        <v>0.37177389089860957</v>
      </c>
      <c r="G25" s="10">
        <f t="shared" si="1"/>
        <v>0.37177389089860957</v>
      </c>
      <c r="I25" s="10">
        <f t="shared" si="1"/>
        <v>0.37177389089860957</v>
      </c>
      <c r="K25" s="10">
        <f t="shared" si="1"/>
        <v>0.37177389089860957</v>
      </c>
      <c r="M25" s="10">
        <f t="shared" si="1"/>
        <v>0.37177389089860957</v>
      </c>
      <c r="O25" s="10">
        <f t="shared" si="1"/>
        <v>0.37177389089860957</v>
      </c>
      <c r="Q25" s="10">
        <f t="shared" si="1"/>
        <v>0.37177389089860957</v>
      </c>
      <c r="S25" s="10">
        <f t="shared" si="1"/>
        <v>0.37177389089860957</v>
      </c>
      <c r="U25" s="10">
        <f t="shared" si="1"/>
        <v>0.37177389089860957</v>
      </c>
      <c r="W25" s="10">
        <f t="shared" si="1"/>
        <v>0.37177389089860957</v>
      </c>
      <c r="Y25" s="10">
        <f t="shared" si="1"/>
        <v>0.37177389089860957</v>
      </c>
    </row>
    <row r="26" spans="1:25">
      <c r="A26" s="10" t="str">
        <f>results!A26</f>
        <v>PL annealing</v>
      </c>
      <c r="B26" s="35">
        <f>results!C26</f>
        <v>1.2491602734193281</v>
      </c>
      <c r="C26" s="10">
        <f t="shared" si="1"/>
        <v>1.2491602734193281</v>
      </c>
      <c r="E26" s="10">
        <f t="shared" si="1"/>
        <v>1.2491602734193281</v>
      </c>
      <c r="G26" s="10">
        <f t="shared" si="1"/>
        <v>1.2491602734193281</v>
      </c>
      <c r="I26" s="10">
        <f t="shared" si="1"/>
        <v>1.2491602734193281</v>
      </c>
      <c r="K26" s="10">
        <f t="shared" si="1"/>
        <v>1.2491602734193281</v>
      </c>
      <c r="M26" s="10">
        <f t="shared" si="1"/>
        <v>1.2491602734193281</v>
      </c>
      <c r="O26" s="10">
        <f t="shared" si="1"/>
        <v>1.2491602734193281</v>
      </c>
      <c r="Q26" s="10">
        <f t="shared" si="1"/>
        <v>1.2491602734193281</v>
      </c>
      <c r="S26" s="10">
        <f t="shared" si="1"/>
        <v>1.2491602734193281</v>
      </c>
      <c r="U26" s="10">
        <f t="shared" si="1"/>
        <v>1.2491602734193281</v>
      </c>
      <c r="W26" s="10">
        <f t="shared" si="1"/>
        <v>1.2491602734193281</v>
      </c>
      <c r="Y26" s="10">
        <f t="shared" si="1"/>
        <v>1.2491602734193281</v>
      </c>
    </row>
    <row r="27" spans="1:25">
      <c r="A27" s="10" t="str">
        <f>results!A27</f>
        <v>PL 2nd-step slot-die coating</v>
      </c>
      <c r="B27" s="35">
        <f>results!C27</f>
        <v>0.37177389089860957</v>
      </c>
      <c r="C27" s="10">
        <f t="shared" si="1"/>
        <v>0.37177389089860957</v>
      </c>
      <c r="E27" s="10">
        <f t="shared" si="1"/>
        <v>0.37177389089860957</v>
      </c>
      <c r="G27" s="10">
        <f t="shared" si="1"/>
        <v>0.37177389089860957</v>
      </c>
      <c r="I27" s="10">
        <f t="shared" si="1"/>
        <v>0.37177389089860957</v>
      </c>
      <c r="K27" s="10">
        <f t="shared" si="1"/>
        <v>0.37177389089860957</v>
      </c>
      <c r="M27" s="10">
        <f t="shared" si="1"/>
        <v>0.37177389089860957</v>
      </c>
      <c r="O27" s="10">
        <f t="shared" si="1"/>
        <v>0.37177389089860957</v>
      </c>
      <c r="Q27" s="10">
        <f t="shared" si="1"/>
        <v>0.37177389089860957</v>
      </c>
      <c r="S27" s="10">
        <f t="shared" si="1"/>
        <v>0.37177389089860957</v>
      </c>
      <c r="U27" s="10">
        <f t="shared" si="1"/>
        <v>0.37177389089860957</v>
      </c>
      <c r="W27" s="10">
        <f t="shared" si="1"/>
        <v>0.37177389089860957</v>
      </c>
      <c r="Y27" s="10">
        <f t="shared" si="1"/>
        <v>0.37177389089860957</v>
      </c>
    </row>
    <row r="28" spans="1:25">
      <c r="A28" s="10" t="str">
        <f>results!A28</f>
        <v>PL post-annealing</v>
      </c>
      <c r="B28" s="35">
        <f>results!C28</f>
        <v>40.151580217049833</v>
      </c>
      <c r="C28" s="10">
        <f t="shared" si="1"/>
        <v>40.151580217049833</v>
      </c>
      <c r="E28" s="10">
        <f t="shared" si="1"/>
        <v>40.151580217049833</v>
      </c>
      <c r="G28" s="10">
        <f t="shared" si="1"/>
        <v>40.151580217049833</v>
      </c>
      <c r="I28" s="10">
        <f t="shared" si="1"/>
        <v>40.151580217049833</v>
      </c>
      <c r="K28" s="10">
        <f t="shared" si="1"/>
        <v>40.151580217049833</v>
      </c>
      <c r="M28" s="10">
        <f t="shared" si="1"/>
        <v>40.151580217049833</v>
      </c>
      <c r="O28" s="10">
        <f t="shared" si="1"/>
        <v>40.151580217049833</v>
      </c>
      <c r="Q28" s="10">
        <f t="shared" si="1"/>
        <v>40.151580217049833</v>
      </c>
      <c r="S28" s="10">
        <f t="shared" si="1"/>
        <v>40.151580217049833</v>
      </c>
      <c r="U28" s="10">
        <f t="shared" si="1"/>
        <v>40.151580217049833</v>
      </c>
      <c r="W28" s="10">
        <f t="shared" si="1"/>
        <v>40.151580217049833</v>
      </c>
      <c r="Y28" s="10">
        <f t="shared" si="1"/>
        <v>40.151580217049833</v>
      </c>
    </row>
    <row r="29" spans="1:25">
      <c r="A29" s="10" t="str">
        <f>results!A29</f>
        <v>HTL slot-die coating</v>
      </c>
      <c r="B29" s="35">
        <f>results!C29</f>
        <v>1.7349448241935115</v>
      </c>
      <c r="C29" s="10">
        <f t="shared" si="1"/>
        <v>1.7349448241935115</v>
      </c>
      <c r="E29" s="10">
        <f t="shared" si="1"/>
        <v>1.7349448241935115</v>
      </c>
      <c r="G29" s="10">
        <f t="shared" si="1"/>
        <v>1.7349448241935115</v>
      </c>
      <c r="I29" s="10">
        <f t="shared" si="1"/>
        <v>1.7349448241935115</v>
      </c>
      <c r="K29" s="10">
        <f t="shared" si="1"/>
        <v>1.7349448241935115</v>
      </c>
      <c r="M29" s="10">
        <f t="shared" si="1"/>
        <v>1.7349448241935115</v>
      </c>
      <c r="O29" s="10">
        <f t="shared" si="1"/>
        <v>1.7349448241935115</v>
      </c>
      <c r="Q29" s="10">
        <f t="shared" si="1"/>
        <v>1.7349448241935115</v>
      </c>
      <c r="S29" s="10">
        <f t="shared" si="1"/>
        <v>1.7349448241935115</v>
      </c>
      <c r="U29" s="10">
        <f t="shared" si="1"/>
        <v>1.7349448241935115</v>
      </c>
      <c r="W29" s="10">
        <f t="shared" si="1"/>
        <v>1.7349448241935115</v>
      </c>
      <c r="Y29" s="10">
        <f t="shared" si="1"/>
        <v>1.7349448241935115</v>
      </c>
    </row>
    <row r="30" spans="1:25">
      <c r="A30" s="10" t="str">
        <f>results!A30</f>
        <v>Electrode sputtering</v>
      </c>
      <c r="B30" s="35">
        <f>results!C30</f>
        <v>79.113483983224114</v>
      </c>
      <c r="C30" s="10">
        <f t="shared" si="1"/>
        <v>79.113483983224114</v>
      </c>
      <c r="E30" s="10">
        <f t="shared" si="1"/>
        <v>79.113483983224114</v>
      </c>
      <c r="G30" s="10">
        <f t="shared" si="1"/>
        <v>79.113483983224114</v>
      </c>
      <c r="I30" s="10">
        <f t="shared" si="1"/>
        <v>79.113483983224114</v>
      </c>
      <c r="K30" s="10">
        <f t="shared" si="1"/>
        <v>79.113483983224114</v>
      </c>
      <c r="M30" s="10">
        <f t="shared" si="1"/>
        <v>79.113483983224114</v>
      </c>
      <c r="O30" s="10">
        <f t="shared" si="1"/>
        <v>79.113483983224114</v>
      </c>
      <c r="Q30" s="10">
        <f t="shared" si="1"/>
        <v>79.113483983224114</v>
      </c>
      <c r="S30" s="10">
        <f t="shared" si="1"/>
        <v>79.113483983224114</v>
      </c>
      <c r="U30" s="10">
        <f t="shared" si="1"/>
        <v>79.113483983224114</v>
      </c>
      <c r="W30" s="10">
        <f t="shared" si="1"/>
        <v>79.113483983224114</v>
      </c>
      <c r="Y30" s="10">
        <f t="shared" si="1"/>
        <v>79.113483983224114</v>
      </c>
    </row>
    <row r="31" spans="1:25">
      <c r="A31" s="10" t="str">
        <f>results!A31</f>
        <v>Lamination</v>
      </c>
      <c r="B31" s="35">
        <f>results!C31</f>
        <v>0.15614503417741601</v>
      </c>
      <c r="C31" s="10">
        <f t="shared" si="1"/>
        <v>0.15614503417741601</v>
      </c>
      <c r="E31" s="10">
        <f t="shared" si="1"/>
        <v>0.15614503417741601</v>
      </c>
      <c r="G31" s="10">
        <f t="shared" si="1"/>
        <v>0.15614503417741601</v>
      </c>
      <c r="I31" s="10">
        <f t="shared" si="1"/>
        <v>0.15614503417741601</v>
      </c>
      <c r="K31" s="10">
        <f t="shared" si="1"/>
        <v>0.15614503417741601</v>
      </c>
      <c r="M31" s="10">
        <f t="shared" si="1"/>
        <v>0.15614503417741601</v>
      </c>
      <c r="O31" s="10">
        <f t="shared" si="1"/>
        <v>0.15614503417741601</v>
      </c>
      <c r="Q31" s="10">
        <f t="shared" si="1"/>
        <v>0.15614503417741601</v>
      </c>
      <c r="S31" s="10">
        <f t="shared" si="1"/>
        <v>0.15614503417741601</v>
      </c>
      <c r="U31" s="10">
        <f t="shared" si="1"/>
        <v>0.15614503417741601</v>
      </c>
      <c r="W31" s="10">
        <f t="shared" si="1"/>
        <v>0.15614503417741601</v>
      </c>
      <c r="Y31" s="10">
        <f t="shared" si="1"/>
        <v>0.15614503417741601</v>
      </c>
    </row>
    <row r="32" spans="1:25" s="12" customFormat="1">
      <c r="A32" s="12" t="s">
        <v>162</v>
      </c>
      <c r="B32" s="34">
        <v>0</v>
      </c>
      <c r="C32" s="12">
        <f>'energy consumption'!$R$17*'recycling level-pec'!D$2</f>
        <v>0.28730686288644547</v>
      </c>
      <c r="E32" s="12">
        <f>'energy consumption'!$R$17*'recycling level-pec'!F$2</f>
        <v>0.25857617659780091</v>
      </c>
      <c r="G32" s="12">
        <f>'energy consumption'!$R$17*'recycling level-pec'!H$2</f>
        <v>0.22984549030915638</v>
      </c>
      <c r="I32" s="12">
        <f>'energy consumption'!$R$17*'recycling level-pec'!J$2</f>
        <v>0.20111480402051182</v>
      </c>
      <c r="K32" s="12">
        <f>'energy consumption'!$R$17*'recycling level-pec'!L$2</f>
        <v>0.28730686288644547</v>
      </c>
      <c r="M32" s="12">
        <f>'energy consumption'!$R$17*'recycling level-pec'!N$2</f>
        <v>0.25857617659780091</v>
      </c>
      <c r="O32" s="12">
        <f>'energy consumption'!$R$17*'recycling level-pec'!P$2</f>
        <v>0.22984549030915638</v>
      </c>
      <c r="Q32" s="12">
        <f>'energy consumption'!$R$17*'recycling level-pec'!R$2</f>
        <v>0.20111480402051182</v>
      </c>
      <c r="S32" s="12">
        <f>'energy consumption'!$R$17*'recycling level-pec'!T$2</f>
        <v>0.28730686288644547</v>
      </c>
      <c r="U32" s="12">
        <f>'energy consumption'!$R$17*'recycling level-pec'!V$2</f>
        <v>0.25857617659780091</v>
      </c>
      <c r="W32" s="12">
        <f>'energy consumption'!$R$17*'recycling level-pec'!X$2</f>
        <v>0.22984549030915638</v>
      </c>
      <c r="Y32" s="12">
        <f>'energy consumption'!$R$17*'recycling level-pec'!Z$2</f>
        <v>0.20111480402051182</v>
      </c>
    </row>
    <row r="33" spans="1:25" s="12" customFormat="1">
      <c r="A33" s="12" t="s">
        <v>75</v>
      </c>
      <c r="B33" s="34">
        <v>0</v>
      </c>
      <c r="C33" s="12">
        <f>[7]ITO!$F$19</f>
        <v>2.7772652980392154</v>
      </c>
      <c r="E33" s="12">
        <f>[7]ITO!$F$19</f>
        <v>2.7772652980392154</v>
      </c>
      <c r="G33" s="12">
        <f>[7]ITO!$F$19</f>
        <v>2.7772652980392154</v>
      </c>
      <c r="I33" s="12">
        <f>[7]ITO!$F$19</f>
        <v>2.7772652980392154</v>
      </c>
      <c r="K33" s="12">
        <f>[7]ITO!$F$19</f>
        <v>2.7772652980392154</v>
      </c>
      <c r="M33" s="12">
        <f>[7]ITO!$F$19</f>
        <v>2.7772652980392154</v>
      </c>
      <c r="O33" s="12">
        <f>[7]ITO!$F$19</f>
        <v>2.7772652980392154</v>
      </c>
      <c r="Q33" s="12">
        <f>[7]ITO!$F$19</f>
        <v>2.7772652980392154</v>
      </c>
      <c r="S33" s="12">
        <f>[7]ITO!$F$19</f>
        <v>2.7772652980392154</v>
      </c>
      <c r="U33" s="12">
        <f>[7]ITO!$F$19</f>
        <v>2.7772652980392154</v>
      </c>
      <c r="W33" s="12">
        <f>[7]ITO!$F$19</f>
        <v>2.7772652980392154</v>
      </c>
      <c r="Y33" s="12">
        <f>[7]ITO!$F$19</f>
        <v>2.7772652980392154</v>
      </c>
    </row>
    <row r="34" spans="1:25" s="12" customFormat="1">
      <c r="A34" s="12" t="s">
        <v>76</v>
      </c>
      <c r="B34" s="34">
        <v>0</v>
      </c>
      <c r="C34" s="12">
        <f>[7]ITO!$F$20</f>
        <v>8.9895944479058826E-3</v>
      </c>
      <c r="E34" s="12">
        <f>[7]ITO!$F$20</f>
        <v>8.9895944479058826E-3</v>
      </c>
      <c r="G34" s="12">
        <f>[7]ITO!$F$20</f>
        <v>8.9895944479058826E-3</v>
      </c>
      <c r="I34" s="12">
        <f>[7]ITO!$F$20</f>
        <v>8.9895944479058826E-3</v>
      </c>
      <c r="K34" s="12">
        <f>[7]ITO!$F$20</f>
        <v>8.9895944479058826E-3</v>
      </c>
      <c r="M34" s="12">
        <f>[7]ITO!$F$20</f>
        <v>8.9895944479058826E-3</v>
      </c>
      <c r="O34" s="12">
        <f>[7]ITO!$F$20</f>
        <v>8.9895944479058826E-3</v>
      </c>
      <c r="Q34" s="12">
        <f>[7]ITO!$F$20</f>
        <v>8.9895944479058826E-3</v>
      </c>
      <c r="S34" s="12">
        <f>[7]ITO!$F$20</f>
        <v>8.9895944479058826E-3</v>
      </c>
      <c r="U34" s="12">
        <f>[7]ITO!$F$20</f>
        <v>8.9895944479058826E-3</v>
      </c>
      <c r="W34" s="12">
        <f>[7]ITO!$F$20</f>
        <v>8.9895944479058826E-3</v>
      </c>
      <c r="Y34" s="12">
        <f>[7]ITO!$F$20</f>
        <v>8.9895944479058826E-3</v>
      </c>
    </row>
    <row r="36" spans="1:25">
      <c r="C36" s="10">
        <f>SUM(C3:C35)</f>
        <v>141.54940860821029</v>
      </c>
      <c r="E36" s="10">
        <f>SUM(E3:E35)</f>
        <v>172.8054786235106</v>
      </c>
      <c r="G36" s="10">
        <f>SUM(G3:G35)</f>
        <v>210.05974816625886</v>
      </c>
      <c r="I36" s="10">
        <f>SUM(I3:I35)</f>
        <v>247.31401770900723</v>
      </c>
      <c r="K36" s="10">
        <f>SUM(K3:K35)</f>
        <v>135.55432788491078</v>
      </c>
      <c r="M36" s="10">
        <f>SUM(M3:M35)</f>
        <v>172.80859742765907</v>
      </c>
      <c r="O36" s="10">
        <f>SUM(O3:O35)</f>
        <v>210.06286697040733</v>
      </c>
      <c r="Q36" s="10">
        <f>SUM(Q3:Q35)</f>
        <v>247.3171365131557</v>
      </c>
      <c r="S36" s="10">
        <f>SUM(S3:S35)</f>
        <v>135.55744668905928</v>
      </c>
      <c r="U36" s="10">
        <f>SUM(U3:U35)</f>
        <v>172.81171623180754</v>
      </c>
      <c r="W36" s="10">
        <f>SUM(W3:W35)</f>
        <v>210.06598577455586</v>
      </c>
      <c r="Y36" s="10">
        <f>SUM(Y3:Y35)</f>
        <v>247.3202553173042</v>
      </c>
    </row>
    <row r="39" spans="1:25">
      <c r="C39" s="1"/>
      <c r="D39"/>
      <c r="E39"/>
      <c r="F39" t="s">
        <v>78</v>
      </c>
      <c r="G39"/>
    </row>
    <row r="40" spans="1:25">
      <c r="C40" s="1"/>
      <c r="D40" s="18">
        <f>C36</f>
        <v>141.54940860821029</v>
      </c>
      <c r="E40" s="18">
        <f>E36</f>
        <v>172.8054786235106</v>
      </c>
      <c r="F40" s="18">
        <f>G36</f>
        <v>210.05974816625886</v>
      </c>
      <c r="G40" s="18">
        <f>I36</f>
        <v>247.31401770900723</v>
      </c>
    </row>
    <row r="41" spans="1:25">
      <c r="C41" s="1" t="s">
        <v>77</v>
      </c>
      <c r="D41" s="18">
        <f>K36</f>
        <v>135.55432788491078</v>
      </c>
      <c r="E41" s="18">
        <f>M36</f>
        <v>172.80859742765907</v>
      </c>
      <c r="F41" s="18">
        <f>O36</f>
        <v>210.06286697040733</v>
      </c>
      <c r="G41" s="18">
        <f>Q36</f>
        <v>247.3171365131557</v>
      </c>
    </row>
    <row r="42" spans="1:25">
      <c r="C42" s="1"/>
      <c r="D42" s="18">
        <f>S36</f>
        <v>135.55744668905928</v>
      </c>
      <c r="E42" s="18">
        <f>U36</f>
        <v>172.81171623180754</v>
      </c>
      <c r="F42" s="18">
        <f>W36</f>
        <v>210.06598577455586</v>
      </c>
      <c r="G42" s="18">
        <f>Y36</f>
        <v>247.3202553173042</v>
      </c>
    </row>
  </sheetData>
  <conditionalFormatting sqref="D40:G42">
    <cfRule type="colorScale" priority="1">
      <colorScale>
        <cfvo type="min"/>
        <cfvo type="max"/>
        <color rgb="FFFCFCFF"/>
        <color rgb="FFF8696B"/>
      </colorScale>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35F8C-B831-4304-B514-2F6FC64E6A8C}">
  <dimension ref="A1:R37"/>
  <sheetViews>
    <sheetView zoomScaleNormal="100" workbookViewId="0">
      <pane xSplit="1" topLeftCell="D1" activePane="topRight" state="frozen"/>
      <selection pane="topRight" activeCell="N28" sqref="N28"/>
    </sheetView>
  </sheetViews>
  <sheetFormatPr defaultRowHeight="15"/>
  <cols>
    <col min="1" max="1" width="19.140625" customWidth="1"/>
    <col min="2" max="2" width="19.28515625" customWidth="1"/>
    <col min="3" max="3" width="21.28515625" customWidth="1"/>
    <col min="6" max="6" width="17.140625" customWidth="1"/>
    <col min="7" max="7" width="26" customWidth="1"/>
    <col min="9" max="9" width="17.5703125" customWidth="1"/>
    <col min="10" max="10" width="23.85546875" customWidth="1"/>
    <col min="12" max="12" width="52.85546875" customWidth="1"/>
  </cols>
  <sheetData>
    <row r="1" spans="1:18">
      <c r="I1" t="s">
        <v>78</v>
      </c>
      <c r="J1" t="s">
        <v>77</v>
      </c>
    </row>
    <row r="2" spans="1:18">
      <c r="I2" s="28">
        <v>1</v>
      </c>
      <c r="J2" s="28">
        <v>1</v>
      </c>
    </row>
    <row r="3" spans="1:18">
      <c r="B3" t="str">
        <f>'recycling level-cf'!B2</f>
        <v>Carbon footprint</v>
      </c>
      <c r="C3" t="str">
        <f>'recycling level-pec'!B2</f>
        <v>Primary energy consumption</v>
      </c>
      <c r="F3" t="s">
        <v>70</v>
      </c>
      <c r="G3" t="s">
        <v>71</v>
      </c>
      <c r="I3" t="s">
        <v>70</v>
      </c>
      <c r="J3" t="s">
        <v>71</v>
      </c>
    </row>
    <row r="4" spans="1:18">
      <c r="A4" s="11" t="str">
        <f>'recycling level-cf'!A3</f>
        <v>ITO glass</v>
      </c>
      <c r="B4">
        <f>'recycling level-cf'!B3</f>
        <v>16.837863429999999</v>
      </c>
      <c r="C4">
        <f>'recycling level-pec'!B3</f>
        <v>292.22870408888105</v>
      </c>
      <c r="F4">
        <v>0</v>
      </c>
      <c r="G4">
        <v>0</v>
      </c>
      <c r="I4">
        <f>B4*(1-$I$2)</f>
        <v>0</v>
      </c>
      <c r="J4">
        <f>C4*(1-$I$2)</f>
        <v>0</v>
      </c>
    </row>
    <row r="5" spans="1:18">
      <c r="A5" s="11" t="str">
        <f>'recycling level-cf'!A4</f>
        <v>SnO₂</v>
      </c>
      <c r="B5">
        <f>'recycling level-cf'!B4</f>
        <v>2.4568249999999997E-3</v>
      </c>
      <c r="C5">
        <f>'recycling level-pec'!B4</f>
        <v>3.7774549302499995E-2</v>
      </c>
      <c r="F5">
        <v>0</v>
      </c>
      <c r="G5">
        <v>0</v>
      </c>
      <c r="I5">
        <f t="shared" ref="I5:I6" si="0">B5*(1-$I$2)</f>
        <v>0</v>
      </c>
      <c r="J5">
        <f t="shared" ref="J5:J6" si="1">C5*(1-$I$2)</f>
        <v>0</v>
      </c>
    </row>
    <row r="6" spans="1:18">
      <c r="A6" s="11" t="str">
        <f>'recycling level-cf'!A5</f>
        <v>H₂O</v>
      </c>
      <c r="B6">
        <f>'recycling level-cf'!B5</f>
        <v>8.8302478460674152E-6</v>
      </c>
      <c r="C6">
        <f>'recycling level-pec'!B5</f>
        <v>1.2149445721202592E-4</v>
      </c>
      <c r="F6">
        <v>0</v>
      </c>
      <c r="G6">
        <v>0</v>
      </c>
      <c r="I6">
        <f t="shared" si="0"/>
        <v>0</v>
      </c>
      <c r="J6">
        <f t="shared" si="1"/>
        <v>0</v>
      </c>
    </row>
    <row r="7" spans="1:18">
      <c r="A7" t="str">
        <f>'recycling level-cf'!A6</f>
        <v>PbI₂</v>
      </c>
      <c r="B7">
        <f>'recycling level-cf'!B6</f>
        <v>5.0422090564514258E-3</v>
      </c>
      <c r="C7">
        <f>'recycling level-pec'!B6</f>
        <v>5.9957782482828542E-2</v>
      </c>
      <c r="F7">
        <v>5.0422090564514258E-3</v>
      </c>
      <c r="G7">
        <v>5.9957782482828542E-2</v>
      </c>
      <c r="I7">
        <f>B7</f>
        <v>5.0422090564514258E-3</v>
      </c>
      <c r="J7">
        <f>C7</f>
        <v>5.9957782482828542E-2</v>
      </c>
    </row>
    <row r="8" spans="1:18">
      <c r="A8" t="str">
        <f>'recycling level-cf'!A7</f>
        <v>DMF</v>
      </c>
      <c r="B8">
        <f>'recycling level-cf'!B7</f>
        <v>4.7500373710823293E-3</v>
      </c>
      <c r="C8">
        <f>'recycling level-pec'!B7</f>
        <v>0.12919759675539927</v>
      </c>
      <c r="F8">
        <v>4.7500373710823293E-3</v>
      </c>
      <c r="G8">
        <v>0.12919759675539927</v>
      </c>
      <c r="I8">
        <f t="shared" ref="I8:I18" si="2">B8</f>
        <v>4.7500373710823293E-3</v>
      </c>
      <c r="J8">
        <f t="shared" ref="J8:J18" si="3">C8</f>
        <v>0.12919759675539927</v>
      </c>
    </row>
    <row r="9" spans="1:18">
      <c r="A9" t="str">
        <f>'recycling level-cf'!A8</f>
        <v>DMSO</v>
      </c>
      <c r="B9">
        <f>'recycling level-cf'!B8</f>
        <v>1.2872013029725408E-4</v>
      </c>
      <c r="C9">
        <f>'recycling level-pec'!B8</f>
        <v>5.9398302219234068E-3</v>
      </c>
      <c r="F9">
        <v>1.2872013029725408E-4</v>
      </c>
      <c r="G9">
        <v>5.9398302219234068E-3</v>
      </c>
      <c r="I9">
        <f t="shared" si="2"/>
        <v>1.2872013029725408E-4</v>
      </c>
      <c r="J9">
        <f t="shared" si="3"/>
        <v>5.9398302219234068E-3</v>
      </c>
    </row>
    <row r="10" spans="1:18">
      <c r="A10" t="str">
        <f>'recycling level-cf'!A9</f>
        <v>FAI</v>
      </c>
      <c r="B10">
        <f>'recycling level-cf'!B9</f>
        <v>2.3900391307546311E-2</v>
      </c>
      <c r="C10">
        <f>'recycling level-pec'!B9</f>
        <v>0.42337780030357741</v>
      </c>
      <c r="F10">
        <v>2.3900391307546311E-2</v>
      </c>
      <c r="G10">
        <v>0.42337780030357741</v>
      </c>
      <c r="I10">
        <f t="shared" si="2"/>
        <v>2.3900391307546311E-2</v>
      </c>
      <c r="J10">
        <f t="shared" si="3"/>
        <v>0.42337780030357741</v>
      </c>
    </row>
    <row r="11" spans="1:18" ht="15.75" thickBot="1">
      <c r="A11" t="str">
        <f>'recycling level-cf'!A10</f>
        <v>MABr</v>
      </c>
      <c r="B11">
        <f>'recycling level-cf'!B10</f>
        <v>0.10592670348814012</v>
      </c>
      <c r="C11">
        <f>'recycling level-pec'!B10</f>
        <v>1.865990772517371</v>
      </c>
      <c r="F11">
        <v>0.10592670348814012</v>
      </c>
      <c r="G11">
        <v>1.865990772517371</v>
      </c>
      <c r="I11">
        <f t="shared" si="2"/>
        <v>0.10592670348814012</v>
      </c>
      <c r="J11">
        <f t="shared" si="3"/>
        <v>1.865990772517371</v>
      </c>
    </row>
    <row r="12" spans="1:18" ht="16.5" thickTop="1" thickBot="1">
      <c r="A12" t="str">
        <f>'recycling level-cf'!A11</f>
        <v>MACl</v>
      </c>
      <c r="B12">
        <f>'recycling level-cf'!B11</f>
        <v>1.5715091537824337E-7</v>
      </c>
      <c r="C12">
        <f>'recycling level-pec'!B11</f>
        <v>2.8340510885295118E-6</v>
      </c>
      <c r="F12">
        <v>1.5715091537824337E-7</v>
      </c>
      <c r="G12">
        <v>2.8340510885295118E-6</v>
      </c>
      <c r="I12">
        <f t="shared" si="2"/>
        <v>1.5715091537824337E-7</v>
      </c>
      <c r="J12">
        <f t="shared" si="3"/>
        <v>2.8340510885295118E-6</v>
      </c>
      <c r="L12" s="30" t="s">
        <v>131</v>
      </c>
    </row>
    <row r="13" spans="1:18" ht="15.75" thickTop="1">
      <c r="A13" t="str">
        <f>'recycling level-cf'!A12</f>
        <v>Isopropanol</v>
      </c>
      <c r="B13">
        <f>'recycling level-cf'!B12</f>
        <v>0.10111823698954497</v>
      </c>
      <c r="C13">
        <f>'recycling level-pec'!B12</f>
        <v>3.3424294376453116</v>
      </c>
      <c r="F13">
        <v>7.0010429895449536E-3</v>
      </c>
      <c r="G13">
        <v>0.23141712987831131</v>
      </c>
      <c r="I13">
        <f t="shared" si="2"/>
        <v>0.10111823698954497</v>
      </c>
      <c r="J13">
        <f t="shared" si="3"/>
        <v>3.3424294376453116</v>
      </c>
      <c r="L13" t="s">
        <v>136</v>
      </c>
      <c r="M13" s="33">
        <f>O13*0.8</f>
        <v>8.0000000000000016E-2</v>
      </c>
      <c r="O13" s="31">
        <v>0.1</v>
      </c>
      <c r="P13">
        <f>$F$35</f>
        <v>0.90125733955369391</v>
      </c>
      <c r="Q13" s="32">
        <f>O13*1.2</f>
        <v>0.12</v>
      </c>
    </row>
    <row r="14" spans="1:18">
      <c r="A14" t="str">
        <f>'recycling level-cf'!A13</f>
        <v>Spiro-OMeTAD</v>
      </c>
      <c r="B14">
        <f>'recycling level-cf'!B13</f>
        <v>3.1854997688690531E-2</v>
      </c>
      <c r="C14">
        <f>'recycling level-pec'!B13</f>
        <v>0.51315829357722298</v>
      </c>
      <c r="F14">
        <v>3.1854997688690531E-2</v>
      </c>
      <c r="G14">
        <v>0.51315829357722298</v>
      </c>
      <c r="I14">
        <f t="shared" si="2"/>
        <v>3.1854997688690531E-2</v>
      </c>
      <c r="J14">
        <f t="shared" si="3"/>
        <v>0.51315829357722298</v>
      </c>
      <c r="L14" t="s">
        <v>137</v>
      </c>
      <c r="M14" s="33">
        <f t="shared" ref="M14:M15" si="4">O14*0.8</f>
        <v>0.21280000000000002</v>
      </c>
      <c r="O14" s="31">
        <v>0.26600000000000001</v>
      </c>
      <c r="P14">
        <f t="shared" ref="P14:P18" si="5">$F$35</f>
        <v>0.90125733955369391</v>
      </c>
      <c r="Q14" s="32">
        <f t="shared" ref="Q14:Q15" si="6">O14*1.2</f>
        <v>0.31919999999999998</v>
      </c>
    </row>
    <row r="15" spans="1:18">
      <c r="A15" t="str">
        <f>'recycling level-cf'!A14</f>
        <v>LiTFSI</v>
      </c>
      <c r="B15">
        <f>'recycling level-cf'!B14</f>
        <v>1.4649900522011319E-3</v>
      </c>
      <c r="C15">
        <f>'recycling level-pec'!B14</f>
        <v>2.2981147890881671E-2</v>
      </c>
      <c r="F15">
        <v>1.4649900522011319E-3</v>
      </c>
      <c r="G15">
        <v>2.2981147890881671E-2</v>
      </c>
      <c r="I15">
        <f t="shared" si="2"/>
        <v>1.4649900522011319E-3</v>
      </c>
      <c r="J15">
        <f t="shared" si="3"/>
        <v>2.2981147890881671E-2</v>
      </c>
      <c r="L15" t="s">
        <v>138</v>
      </c>
      <c r="M15" s="33">
        <f t="shared" si="4"/>
        <v>0.56799999999999995</v>
      </c>
      <c r="O15" s="31">
        <v>0.71</v>
      </c>
      <c r="P15">
        <f t="shared" si="5"/>
        <v>0.90125733955369391</v>
      </c>
      <c r="Q15" s="32">
        <f t="shared" si="6"/>
        <v>0.85199999999999998</v>
      </c>
    </row>
    <row r="16" spans="1:18">
      <c r="A16" t="str">
        <f>'recycling level-cf'!A15</f>
        <v>Acetonitrile</v>
      </c>
      <c r="B16">
        <f>'recycling level-cf'!B15</f>
        <v>4.0681139631535285E-4</v>
      </c>
      <c r="C16">
        <f>'recycling level-pec'!B15</f>
        <v>1.1011636458905816E-2</v>
      </c>
      <c r="F16">
        <v>4.0681139631535285E-4</v>
      </c>
      <c r="G16">
        <v>1.1011636458905816E-2</v>
      </c>
      <c r="I16">
        <f t="shared" si="2"/>
        <v>4.0681139631535285E-4</v>
      </c>
      <c r="J16">
        <f t="shared" si="3"/>
        <v>1.1011636458905816E-2</v>
      </c>
      <c r="L16" t="s">
        <v>132</v>
      </c>
      <c r="M16" s="33">
        <f>O16*0.7</f>
        <v>0.7</v>
      </c>
      <c r="O16" s="31">
        <v>1</v>
      </c>
      <c r="P16">
        <f t="shared" si="5"/>
        <v>0.90125733955369391</v>
      </c>
      <c r="Q16" s="32" t="s">
        <v>99</v>
      </c>
      <c r="R16">
        <f>P16</f>
        <v>0.90125733955369391</v>
      </c>
    </row>
    <row r="17" spans="1:18">
      <c r="A17" t="str">
        <f>'recycling level-cf'!A16</f>
        <v>4-tert Butylpyridine</v>
      </c>
      <c r="B17">
        <f>'recycling level-cf'!B16</f>
        <v>1.1128396373775934E-3</v>
      </c>
      <c r="C17">
        <f>'recycling level-pec'!B16</f>
        <v>1.8248398073474791E-2</v>
      </c>
      <c r="F17">
        <v>1.1128396373775934E-3</v>
      </c>
      <c r="G17">
        <v>1.8248398073474791E-2</v>
      </c>
      <c r="I17">
        <f t="shared" si="2"/>
        <v>1.1128396373775934E-3</v>
      </c>
      <c r="J17">
        <f t="shared" si="3"/>
        <v>1.8248398073474791E-2</v>
      </c>
      <c r="L17" t="s">
        <v>133</v>
      </c>
      <c r="M17" s="33">
        <f>0.9*O17</f>
        <v>0.9</v>
      </c>
      <c r="O17" s="31">
        <v>1</v>
      </c>
      <c r="P17">
        <f t="shared" si="5"/>
        <v>0.90125733955369391</v>
      </c>
      <c r="Q17" s="32" t="s">
        <v>99</v>
      </c>
      <c r="R17">
        <f>P17</f>
        <v>0.90125733955369391</v>
      </c>
    </row>
    <row r="18" spans="1:18" ht="15.75" thickBot="1">
      <c r="A18" t="str">
        <f>'recycling level-cf'!A17</f>
        <v>Chlorobenzene</v>
      </c>
      <c r="B18">
        <f>'recycling level-cf'!B17</f>
        <v>1.3047440743568469E-2</v>
      </c>
      <c r="C18">
        <f>'recycling level-pec'!B17</f>
        <v>0.3158692872487171</v>
      </c>
      <c r="F18">
        <v>1.3047440743568469E-2</v>
      </c>
      <c r="G18">
        <v>0.3158692872487171</v>
      </c>
      <c r="I18">
        <f t="shared" si="2"/>
        <v>1.3047440743568469E-2</v>
      </c>
      <c r="J18">
        <f t="shared" si="3"/>
        <v>0.3158692872487171</v>
      </c>
      <c r="L18" t="s">
        <v>134</v>
      </c>
      <c r="M18" s="33">
        <f>O18*0.8</f>
        <v>0.8</v>
      </c>
      <c r="O18" s="31">
        <v>1</v>
      </c>
      <c r="P18">
        <f t="shared" si="5"/>
        <v>0.90125733955369391</v>
      </c>
      <c r="Q18" s="32" t="s">
        <v>99</v>
      </c>
      <c r="R18">
        <f>P18</f>
        <v>0.90125733955369391</v>
      </c>
    </row>
    <row r="19" spans="1:18" ht="16.5" thickTop="1" thickBot="1">
      <c r="A19" s="11" t="str">
        <f>'recycling level-cf'!A18</f>
        <v>Cu</v>
      </c>
      <c r="B19">
        <f>'recycling level-cf'!B18</f>
        <v>4.3377008640000008E-3</v>
      </c>
      <c r="C19">
        <f>'recycling level-pec'!B18</f>
        <v>6.2376082969804805E-2</v>
      </c>
      <c r="F19">
        <v>0</v>
      </c>
      <c r="G19">
        <v>0</v>
      </c>
      <c r="I19">
        <f>B19*(1-$J$2)</f>
        <v>0</v>
      </c>
      <c r="J19">
        <f>C19*(1-$J$2)</f>
        <v>0</v>
      </c>
      <c r="L19" s="30" t="s">
        <v>135</v>
      </c>
    </row>
    <row r="20" spans="1:18" ht="15.75" thickTop="1">
      <c r="A20" t="str">
        <f>'recycling level-cf'!A19</f>
        <v>Ar</v>
      </c>
      <c r="B20">
        <f>'recycling level-cf'!B19</f>
        <v>0.17435194181818181</v>
      </c>
      <c r="C20">
        <f>'recycling level-pec'!B19</f>
        <v>2.6195734909818178</v>
      </c>
      <c r="F20">
        <v>5.8513339999999997E-2</v>
      </c>
      <c r="G20">
        <v>1.121768096012</v>
      </c>
      <c r="I20">
        <f>B20</f>
        <v>0.17435194181818181</v>
      </c>
      <c r="J20">
        <f>C20</f>
        <v>2.6195734909818178</v>
      </c>
      <c r="L20" t="s">
        <v>136</v>
      </c>
      <c r="M20" s="33">
        <f>M13</f>
        <v>8.0000000000000016E-2</v>
      </c>
      <c r="O20" s="31">
        <f>O13</f>
        <v>0.1</v>
      </c>
      <c r="P20">
        <f>$G$35</f>
        <v>17.564736687676128</v>
      </c>
      <c r="Q20" s="32">
        <f>Q13</f>
        <v>0.12</v>
      </c>
    </row>
    <row r="21" spans="1:18">
      <c r="A21" t="str">
        <f>'recycling level-cf'!A20</f>
        <v>O₂</v>
      </c>
      <c r="B21">
        <f>'recycling level-cf'!B20</f>
        <v>7.6841745454545455E-5</v>
      </c>
      <c r="C21">
        <f>'recycling level-pec'!B20</f>
        <v>1.0469033187490908E-3</v>
      </c>
      <c r="F21">
        <v>0.19433649</v>
      </c>
      <c r="G21">
        <v>4.876431431436</v>
      </c>
      <c r="I21">
        <f>B21</f>
        <v>7.6841745454545455E-5</v>
      </c>
      <c r="J21">
        <f>C21</f>
        <v>1.0469033187490908E-3</v>
      </c>
      <c r="L21" t="s">
        <v>137</v>
      </c>
      <c r="M21" s="33">
        <f>M14</f>
        <v>0.21280000000000002</v>
      </c>
      <c r="O21" s="31">
        <f>O14</f>
        <v>0.26600000000000001</v>
      </c>
      <c r="P21">
        <f t="shared" ref="P21:P25" si="7">$G$35</f>
        <v>17.564736687676128</v>
      </c>
      <c r="Q21" s="32">
        <f>Q14</f>
        <v>0.31919999999999998</v>
      </c>
    </row>
    <row r="22" spans="1:18">
      <c r="A22" s="11" t="str">
        <f>'recycling level-cf'!A23</f>
        <v>ETL slot-die coating</v>
      </c>
      <c r="B22">
        <f>'recycling level-cf'!B23</f>
        <v>1.4790000011831998E-2</v>
      </c>
      <c r="C22">
        <f>'recycling level-pec'!B23</f>
        <v>0.2602417236290267</v>
      </c>
      <c r="F22">
        <v>0</v>
      </c>
      <c r="G22">
        <v>0</v>
      </c>
      <c r="I22">
        <f>B22*(1-$I$2)</f>
        <v>0</v>
      </c>
      <c r="J22">
        <f>C22*(1-$I$2)</f>
        <v>0</v>
      </c>
      <c r="L22" t="s">
        <v>138</v>
      </c>
      <c r="M22" s="33">
        <f>M15</f>
        <v>0.56799999999999995</v>
      </c>
      <c r="O22" s="31">
        <f>O15</f>
        <v>0.71</v>
      </c>
      <c r="P22">
        <f t="shared" si="7"/>
        <v>17.564736687676128</v>
      </c>
      <c r="Q22" s="32">
        <f>Q15</f>
        <v>0.85199999999999998</v>
      </c>
    </row>
    <row r="23" spans="1:18">
      <c r="A23" s="11" t="str">
        <f>'recycling level-cf'!A24</f>
        <v>ETL annealing</v>
      </c>
      <c r="B23">
        <f>'recycling level-cf'!B24</f>
        <v>4.5637714322224454</v>
      </c>
      <c r="C23">
        <f>'recycling level-pec'!B24</f>
        <v>80.303160434099667</v>
      </c>
      <c r="F23">
        <v>0</v>
      </c>
      <c r="G23">
        <v>0</v>
      </c>
      <c r="I23">
        <f>B23*(1-$I$2)</f>
        <v>0</v>
      </c>
      <c r="J23">
        <f>C23*(1-$I$2)</f>
        <v>0</v>
      </c>
      <c r="L23" t="s">
        <v>132</v>
      </c>
      <c r="M23" s="33">
        <f>M17</f>
        <v>0.9</v>
      </c>
      <c r="O23" s="31">
        <f>O17</f>
        <v>1</v>
      </c>
      <c r="P23">
        <f t="shared" si="7"/>
        <v>17.564736687676128</v>
      </c>
      <c r="Q23" s="32" t="s">
        <v>99</v>
      </c>
      <c r="R23">
        <f>P23</f>
        <v>17.564736687676128</v>
      </c>
    </row>
    <row r="24" spans="1:18">
      <c r="A24" t="str">
        <f>'recycling level-cf'!A25</f>
        <v>PL 1st-step slot-die coating</v>
      </c>
      <c r="B24">
        <f>'recycling level-cf'!B25</f>
        <v>2.1128571445474281E-2</v>
      </c>
      <c r="C24">
        <f>'recycling level-pec'!B25</f>
        <v>0.37177389089860957</v>
      </c>
      <c r="F24">
        <v>3.5212032028169624E-2</v>
      </c>
      <c r="G24">
        <v>0.61958349561598691</v>
      </c>
      <c r="I24">
        <f>B24</f>
        <v>2.1128571445474281E-2</v>
      </c>
      <c r="J24">
        <f>C24</f>
        <v>0.37177389089860957</v>
      </c>
      <c r="L24" t="s">
        <v>133</v>
      </c>
      <c r="M24" s="33">
        <f>M16</f>
        <v>0.7</v>
      </c>
      <c r="O24" s="31">
        <f>O16</f>
        <v>1</v>
      </c>
      <c r="P24">
        <f t="shared" si="7"/>
        <v>17.564736687676128</v>
      </c>
      <c r="Q24" s="32" t="str">
        <f>Q16</f>
        <v>-</v>
      </c>
      <c r="R24">
        <f>P24</f>
        <v>17.564736687676128</v>
      </c>
    </row>
    <row r="25" spans="1:18">
      <c r="A25" t="str">
        <f>'recycling level-cf'!A26</f>
        <v>PL annealing</v>
      </c>
      <c r="B25">
        <f>'recycling level-cf'!B26</f>
        <v>7.0992000056793583E-2</v>
      </c>
      <c r="C25">
        <f>'recycling level-pec'!B26</f>
        <v>1.2491602734193281</v>
      </c>
      <c r="F25">
        <v>3.7819178112447121E-3</v>
      </c>
      <c r="G25">
        <v>6.6545828873175783E-2</v>
      </c>
      <c r="I25">
        <f t="shared" ref="I25:I30" si="8">B25</f>
        <v>7.0992000056793583E-2</v>
      </c>
      <c r="J25">
        <f t="shared" ref="J25:J30" si="9">C25</f>
        <v>1.2491602734193281</v>
      </c>
      <c r="L25" t="s">
        <v>134</v>
      </c>
      <c r="M25" s="33">
        <f>M18</f>
        <v>0.8</v>
      </c>
      <c r="O25" s="31">
        <f>O18</f>
        <v>1</v>
      </c>
      <c r="P25">
        <f t="shared" si="7"/>
        <v>17.564736687676128</v>
      </c>
      <c r="Q25" s="32" t="str">
        <f>Q18</f>
        <v>-</v>
      </c>
      <c r="R25">
        <f>P25</f>
        <v>17.564736687676128</v>
      </c>
    </row>
    <row r="26" spans="1:18">
      <c r="A26" t="str">
        <f>'recycling level-cf'!A27</f>
        <v>PL 2nd-step slot-die coating</v>
      </c>
      <c r="B26">
        <f>'recycling level-cf'!B27</f>
        <v>2.1128571445474281E-2</v>
      </c>
      <c r="C26">
        <f>'recycling level-pec'!B27</f>
        <v>0.37177389089860957</v>
      </c>
      <c r="F26">
        <v>3.5212032028169624E-2</v>
      </c>
      <c r="G26">
        <v>0.61958349561598691</v>
      </c>
      <c r="I26">
        <f t="shared" si="8"/>
        <v>2.1128571445474281E-2</v>
      </c>
      <c r="J26">
        <f t="shared" si="9"/>
        <v>0.37177389089860957</v>
      </c>
    </row>
    <row r="27" spans="1:18">
      <c r="A27" t="str">
        <f>'recycling level-cf'!A28</f>
        <v>PL post-annealing</v>
      </c>
      <c r="B27">
        <f>'recycling level-cf'!B28</f>
        <v>2.2818857161112227</v>
      </c>
      <c r="C27">
        <f>'recycling level-pec'!B28</f>
        <v>40.151580217049833</v>
      </c>
      <c r="F27">
        <v>0.15757990880186301</v>
      </c>
      <c r="G27">
        <v>2.7727428697156578</v>
      </c>
      <c r="I27">
        <f t="shared" si="8"/>
        <v>2.2818857161112227</v>
      </c>
      <c r="J27">
        <f t="shared" si="9"/>
        <v>40.151580217049833</v>
      </c>
    </row>
    <row r="28" spans="1:18">
      <c r="A28" t="str">
        <f>'recycling level-cf'!A29</f>
        <v>HTL slot-die coating</v>
      </c>
      <c r="B28">
        <f>'recycling level-cf'!B29</f>
        <v>9.8600000078879993E-2</v>
      </c>
      <c r="C28">
        <f>'recycling level-pec'!B29</f>
        <v>1.7349448241935115</v>
      </c>
      <c r="F28">
        <v>3.5212032028169624E-2</v>
      </c>
      <c r="G28">
        <v>0.61958349561598691</v>
      </c>
      <c r="I28">
        <f t="shared" si="8"/>
        <v>9.8600000078879993E-2</v>
      </c>
      <c r="J28">
        <f t="shared" si="9"/>
        <v>1.7349448241935115</v>
      </c>
    </row>
    <row r="29" spans="1:18">
      <c r="A29" t="str">
        <f>'recycling level-cf'!A30</f>
        <v>Electrode sputtering</v>
      </c>
      <c r="B29">
        <f>'recycling level-cf'!B30</f>
        <v>4.4961600035969278</v>
      </c>
      <c r="C29">
        <f>'recycling level-pec'!B30</f>
        <v>79.113483983224114</v>
      </c>
      <c r="F29">
        <v>2.36640000189312E-3</v>
      </c>
      <c r="G29">
        <v>4.1638675780644278E-2</v>
      </c>
      <c r="I29">
        <f t="shared" si="8"/>
        <v>4.4961600035969278</v>
      </c>
      <c r="J29">
        <f t="shared" si="9"/>
        <v>79.113483983224114</v>
      </c>
    </row>
    <row r="30" spans="1:18">
      <c r="A30" t="str">
        <f>'recycling level-cf'!A31</f>
        <v>Lamination</v>
      </c>
      <c r="B30">
        <f>'recycling level-cf'!B31</f>
        <v>8.8740000070991979E-3</v>
      </c>
      <c r="C30">
        <f>'recycling level-pec'!B31</f>
        <v>0.15614503417741601</v>
      </c>
      <c r="F30">
        <v>8.8740000070991979E-3</v>
      </c>
      <c r="G30">
        <v>0.15614503417741601</v>
      </c>
      <c r="I30">
        <f t="shared" si="8"/>
        <v>8.8740000070991979E-3</v>
      </c>
      <c r="J30">
        <f t="shared" si="9"/>
        <v>0.15614503417741601</v>
      </c>
    </row>
    <row r="31" spans="1:18">
      <c r="A31" s="11" t="str">
        <f>'recycling level-cf'!A32</f>
        <v>UV/O3 cleaning</v>
      </c>
      <c r="B31">
        <f>'recycling level-cf'!B32</f>
        <v>0</v>
      </c>
      <c r="C31">
        <f>'recycling level-pec'!B32</f>
        <v>0</v>
      </c>
      <c r="F31">
        <v>1.6328160013062525E-2</v>
      </c>
      <c r="G31">
        <v>0.28730686288644547</v>
      </c>
      <c r="I31">
        <v>1.6328160013062525E-2</v>
      </c>
      <c r="J31">
        <v>0.28730686288644547</v>
      </c>
    </row>
    <row r="32" spans="1:18">
      <c r="A32" t="str">
        <f>'recycling level-cf'!A33</f>
        <v>Recycling</v>
      </c>
      <c r="B32">
        <f>'recycling level-cf'!B33</f>
        <v>0</v>
      </c>
      <c r="C32">
        <f>'recycling level-pec'!B33</f>
        <v>0</v>
      </c>
      <c r="F32">
        <v>0.15812767160784313</v>
      </c>
      <c r="G32">
        <v>2.7772652980392154</v>
      </c>
      <c r="I32">
        <v>0.15812767160784313</v>
      </c>
      <c r="J32">
        <v>2.7772652980392154</v>
      </c>
    </row>
    <row r="33" spans="1:10">
      <c r="A33" t="str">
        <f>'recycling level-cf'!A34</f>
        <v>Treatment</v>
      </c>
      <c r="B33">
        <f>'recycling level-cf'!B34</f>
        <v>0</v>
      </c>
      <c r="C33">
        <f>'recycling level-pec'!B34</f>
        <v>0</v>
      </c>
      <c r="F33">
        <v>1.0770142140486276E-3</v>
      </c>
      <c r="G33">
        <v>8.9895944479058826E-3</v>
      </c>
      <c r="I33">
        <v>1.0770142140486276E-3</v>
      </c>
      <c r="J33">
        <v>8.9895944479058826E-3</v>
      </c>
    </row>
    <row r="35" spans="1:10">
      <c r="F35">
        <f>SUM(F4:F34)</f>
        <v>0.90125733955369391</v>
      </c>
      <c r="G35">
        <f>SUM(G4:G34)</f>
        <v>17.564736687676128</v>
      </c>
      <c r="I35">
        <f>SUM(I4:I34)</f>
        <v>7.6374840271525946</v>
      </c>
      <c r="J35">
        <f>SUM(J4:J34)</f>
        <v>135.55120908076231</v>
      </c>
    </row>
    <row r="37" spans="1:10">
      <c r="I37">
        <f>F35-I35</f>
        <v>-6.7362266875989008</v>
      </c>
      <c r="J37">
        <f>G35-J35</f>
        <v>-117.98647239308617</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E1FE-7D60-4C81-AF96-C4E1D2D85AEC}">
  <sheetPr codeName="Sheet3"/>
  <dimension ref="A1:X39"/>
  <sheetViews>
    <sheetView tabSelected="1" zoomScaleNormal="100" workbookViewId="0">
      <selection activeCell="G37" sqref="G37"/>
    </sheetView>
  </sheetViews>
  <sheetFormatPr defaultRowHeight="15"/>
  <cols>
    <col min="1" max="1" width="29.85546875" customWidth="1"/>
    <col min="2" max="6" width="9.28515625" bestFit="1" customWidth="1"/>
    <col min="7" max="8" width="21.7109375" customWidth="1"/>
    <col min="9" max="13" width="9.42578125" bestFit="1" customWidth="1"/>
    <col min="14" max="14" width="12.7109375" bestFit="1" customWidth="1"/>
    <col min="15" max="15" width="12.140625" bestFit="1" customWidth="1"/>
    <col min="16" max="24" width="9.42578125" bestFit="1" customWidth="1"/>
  </cols>
  <sheetData>
    <row r="1" spans="1:8">
      <c r="A1" s="72"/>
      <c r="B1" s="72" t="s">
        <v>70</v>
      </c>
      <c r="C1" s="72" t="s">
        <v>71</v>
      </c>
      <c r="D1" s="72"/>
      <c r="E1" s="72"/>
      <c r="F1" s="72"/>
      <c r="G1" s="72" t="str">
        <f>B1</f>
        <v>Carbon footprint</v>
      </c>
      <c r="H1" s="72" t="str">
        <f>C1</f>
        <v>Primary energy consumption</v>
      </c>
    </row>
    <row r="2" spans="1:8">
      <c r="A2" s="73" t="str">
        <f>'[8]material inventory'!L13</f>
        <v>ITO glass</v>
      </c>
      <c r="B2">
        <f>'[8]material inventory'!M13</f>
        <v>1.6837863429999995</v>
      </c>
      <c r="C2">
        <f>'[8]material inventory'!V13</f>
        <v>29.222870408888099</v>
      </c>
      <c r="D2" s="9"/>
      <c r="E2" s="9"/>
      <c r="F2" s="9"/>
      <c r="G2" s="9">
        <f>B2</f>
        <v>1.6837863429999995</v>
      </c>
      <c r="H2" s="9">
        <f>C2</f>
        <v>29.222870408888099</v>
      </c>
    </row>
    <row r="3" spans="1:8">
      <c r="A3" s="73" t="str">
        <f>'[8]material inventory'!L14</f>
        <v>SnO₂</v>
      </c>
      <c r="B3">
        <f>'[8]material inventory'!M14</f>
        <v>2.4568249999999997E-3</v>
      </c>
      <c r="C3">
        <f>'[8]material inventory'!V14</f>
        <v>3.7774549302499995E-2</v>
      </c>
      <c r="G3" s="9">
        <f t="shared" ref="G3:H31" si="0">B3</f>
        <v>2.4568249999999997E-3</v>
      </c>
      <c r="H3" s="9">
        <f t="shared" si="0"/>
        <v>3.7774549302499995E-2</v>
      </c>
    </row>
    <row r="4" spans="1:8">
      <c r="A4" s="73" t="str">
        <f>'[8]material inventory'!L15</f>
        <v>H₂O</v>
      </c>
      <c r="B4">
        <f>'[8]material inventory'!M15</f>
        <v>8.8302478460674152E-6</v>
      </c>
      <c r="C4">
        <f>'[8]material inventory'!V15</f>
        <v>1.2149445721202592E-4</v>
      </c>
      <c r="G4" s="9">
        <f t="shared" si="0"/>
        <v>8.8302478460674152E-6</v>
      </c>
      <c r="H4" s="9">
        <f t="shared" si="0"/>
        <v>1.2149445721202592E-4</v>
      </c>
    </row>
    <row r="5" spans="1:8">
      <c r="A5" s="73" t="str">
        <f>'[8]material inventory'!L16</f>
        <v>PbI₂</v>
      </c>
      <c r="B5">
        <f>'[8]material inventory'!M16</f>
        <v>5.0422090564514258E-3</v>
      </c>
      <c r="C5">
        <f>'[8]material inventory'!V16</f>
        <v>5.9957782482828542E-2</v>
      </c>
      <c r="G5" s="9">
        <f t="shared" si="0"/>
        <v>5.0422090564514258E-3</v>
      </c>
      <c r="H5" s="9">
        <f t="shared" si="0"/>
        <v>5.9957782482828542E-2</v>
      </c>
    </row>
    <row r="6" spans="1:8">
      <c r="A6" s="73" t="str">
        <f>'[8]material inventory'!L17</f>
        <v>DMF</v>
      </c>
      <c r="B6">
        <f>'[8]material inventory'!M17</f>
        <v>4.7500373710823293E-3</v>
      </c>
      <c r="C6">
        <f>'[8]material inventory'!V17</f>
        <v>0.12919759675539927</v>
      </c>
      <c r="G6" s="9">
        <f t="shared" si="0"/>
        <v>4.7500373710823293E-3</v>
      </c>
      <c r="H6" s="9">
        <f t="shared" si="0"/>
        <v>0.12919759675539927</v>
      </c>
    </row>
    <row r="7" spans="1:8">
      <c r="A7" s="73" t="str">
        <f>'[8]material inventory'!L18</f>
        <v>DMSO</v>
      </c>
      <c r="B7">
        <f>'[8]material inventory'!M18</f>
        <v>1.2872013029725408E-4</v>
      </c>
      <c r="C7">
        <f>'[8]material inventory'!V18</f>
        <v>5.9398302219234068E-3</v>
      </c>
      <c r="G7" s="9">
        <f t="shared" si="0"/>
        <v>1.2872013029725408E-4</v>
      </c>
      <c r="H7" s="9">
        <f t="shared" si="0"/>
        <v>5.9398302219234068E-3</v>
      </c>
    </row>
    <row r="8" spans="1:8">
      <c r="A8" s="73" t="str">
        <f>'[8]material inventory'!L19</f>
        <v>FAI</v>
      </c>
      <c r="B8">
        <f>'[8]material inventory'!M19</f>
        <v>2.3900391307546311E-2</v>
      </c>
      <c r="C8">
        <f>'[8]material inventory'!V19</f>
        <v>0.42337780030357741</v>
      </c>
      <c r="G8" s="9">
        <f t="shared" si="0"/>
        <v>2.3900391307546311E-2</v>
      </c>
      <c r="H8" s="9">
        <f t="shared" si="0"/>
        <v>0.42337780030357741</v>
      </c>
    </row>
    <row r="9" spans="1:8">
      <c r="A9" s="73" t="str">
        <f>'[8]material inventory'!L20</f>
        <v>MABr</v>
      </c>
      <c r="B9">
        <f>'[8]material inventory'!M20</f>
        <v>0.10592670348814012</v>
      </c>
      <c r="C9">
        <f>'[8]material inventory'!V20</f>
        <v>1.865990772517371</v>
      </c>
      <c r="G9" s="9">
        <f t="shared" si="0"/>
        <v>0.10592670348814012</v>
      </c>
      <c r="H9" s="9">
        <f t="shared" si="0"/>
        <v>1.865990772517371</v>
      </c>
    </row>
    <row r="10" spans="1:8">
      <c r="A10" s="73" t="str">
        <f>'[8]material inventory'!L21</f>
        <v>MACl</v>
      </c>
      <c r="B10">
        <f>'[8]material inventory'!M21</f>
        <v>1.5715091537824337E-7</v>
      </c>
      <c r="C10">
        <f>'[8]material inventory'!V21</f>
        <v>2.8340510885295118E-6</v>
      </c>
      <c r="G10" s="9">
        <f t="shared" si="0"/>
        <v>1.5715091537824337E-7</v>
      </c>
      <c r="H10" s="9">
        <f t="shared" si="0"/>
        <v>2.8340510885295118E-6</v>
      </c>
    </row>
    <row r="11" spans="1:8">
      <c r="A11" s="73" t="str">
        <f>'[8]material inventory'!L22</f>
        <v>Isopropanol</v>
      </c>
      <c r="B11">
        <f>'[8]material inventory'!M22</f>
        <v>0.10111823698954497</v>
      </c>
      <c r="C11">
        <f>'[8]material inventory'!V22</f>
        <v>3.3424294376453116</v>
      </c>
      <c r="G11" s="9">
        <f t="shared" si="0"/>
        <v>0.10111823698954497</v>
      </c>
      <c r="H11" s="9">
        <f t="shared" si="0"/>
        <v>3.3424294376453116</v>
      </c>
    </row>
    <row r="12" spans="1:8">
      <c r="A12" s="73" t="str">
        <f>'[8]material inventory'!L23</f>
        <v>Spiro-OMeTAD</v>
      </c>
      <c r="B12">
        <f>'[8]material inventory'!M23</f>
        <v>3.1854997688690531E-2</v>
      </c>
      <c r="C12">
        <f>'[8]material inventory'!V23</f>
        <v>0.51315829357722298</v>
      </c>
      <c r="G12" s="9">
        <f t="shared" si="0"/>
        <v>3.1854997688690531E-2</v>
      </c>
      <c r="H12" s="9">
        <f t="shared" si="0"/>
        <v>0.51315829357722298</v>
      </c>
    </row>
    <row r="13" spans="1:8">
      <c r="A13" s="73" t="str">
        <f>'[8]material inventory'!L24</f>
        <v>LiTFSI</v>
      </c>
      <c r="B13">
        <f>'[8]material inventory'!M24</f>
        <v>1.4649900522011319E-3</v>
      </c>
      <c r="C13">
        <f>'[8]material inventory'!V24</f>
        <v>2.2981147890881671E-2</v>
      </c>
      <c r="G13" s="9">
        <f t="shared" si="0"/>
        <v>1.4649900522011319E-3</v>
      </c>
      <c r="H13" s="9">
        <f t="shared" si="0"/>
        <v>2.2981147890881671E-2</v>
      </c>
    </row>
    <row r="14" spans="1:8">
      <c r="A14" s="73" t="str">
        <f>'[8]material inventory'!L25</f>
        <v>Acetonitrile</v>
      </c>
      <c r="B14">
        <f>'[8]material inventory'!M25</f>
        <v>4.0681139631535285E-4</v>
      </c>
      <c r="C14">
        <f>'[8]material inventory'!V25</f>
        <v>1.1011636458905816E-2</v>
      </c>
      <c r="G14" s="9">
        <f t="shared" si="0"/>
        <v>4.0681139631535285E-4</v>
      </c>
      <c r="H14" s="9">
        <f t="shared" si="0"/>
        <v>1.1011636458905816E-2</v>
      </c>
    </row>
    <row r="15" spans="1:8">
      <c r="A15" s="73" t="str">
        <f>'[8]material inventory'!L26</f>
        <v>4-tert Butylpyridine</v>
      </c>
      <c r="B15">
        <f>'[8]material inventory'!M26</f>
        <v>1.1128396373775934E-3</v>
      </c>
      <c r="C15">
        <f>'[8]material inventory'!V26</f>
        <v>1.8248398073474791E-2</v>
      </c>
      <c r="G15" s="9">
        <f t="shared" si="0"/>
        <v>1.1128396373775934E-3</v>
      </c>
      <c r="H15" s="9">
        <f t="shared" si="0"/>
        <v>1.8248398073474791E-2</v>
      </c>
    </row>
    <row r="16" spans="1:8">
      <c r="A16" s="73" t="str">
        <f>'[8]material inventory'!L27</f>
        <v>Chlorobenzene</v>
      </c>
      <c r="B16">
        <f>'[8]material inventory'!M27</f>
        <v>1.3047440743568469E-2</v>
      </c>
      <c r="C16">
        <f>'[8]material inventory'!V27</f>
        <v>0.3158692872487171</v>
      </c>
      <c r="G16" s="9">
        <f t="shared" si="0"/>
        <v>1.3047440743568469E-2</v>
      </c>
      <c r="H16" s="9">
        <f t="shared" si="0"/>
        <v>0.3158692872487171</v>
      </c>
    </row>
    <row r="17" spans="1:8">
      <c r="A17" s="73" t="str">
        <f>'[8]material inventory'!L28</f>
        <v>Cu</v>
      </c>
      <c r="B17">
        <f>'[8]material inventory'!M28</f>
        <v>2.2772929536000004E-3</v>
      </c>
      <c r="C17">
        <f>'[8]material inventory'!V28</f>
        <v>3.2747443559147528E-2</v>
      </c>
      <c r="G17" s="9">
        <f t="shared" si="0"/>
        <v>2.2772929536000004E-3</v>
      </c>
      <c r="H17" s="9">
        <f t="shared" si="0"/>
        <v>3.2747443559147528E-2</v>
      </c>
    </row>
    <row r="18" spans="1:8">
      <c r="A18" s="73" t="str">
        <f>'[8]material inventory'!L29</f>
        <v>Ar</v>
      </c>
      <c r="B18">
        <f>'[8]material inventory'!M29</f>
        <v>0.17435194181818181</v>
      </c>
      <c r="C18">
        <f>'[8]material inventory'!V29</f>
        <v>2.6195734909818178</v>
      </c>
      <c r="G18" s="9">
        <f t="shared" si="0"/>
        <v>0.17435194181818181</v>
      </c>
      <c r="H18" s="9">
        <f t="shared" si="0"/>
        <v>2.6195734909818178</v>
      </c>
    </row>
    <row r="19" spans="1:8">
      <c r="A19" s="73" t="str">
        <f>'[8]material inventory'!L30</f>
        <v>O₂</v>
      </c>
      <c r="B19">
        <f>'[8]material inventory'!M30</f>
        <v>7.6841745454545455E-5</v>
      </c>
      <c r="C19">
        <f>'[8]material inventory'!V30</f>
        <v>1.0469033187490908E-3</v>
      </c>
      <c r="G19" s="9">
        <f t="shared" si="0"/>
        <v>7.6841745454545455E-5</v>
      </c>
      <c r="H19" s="9">
        <f t="shared" si="0"/>
        <v>1.0469033187490908E-3</v>
      </c>
    </row>
    <row r="20" spans="1:8">
      <c r="A20" s="73" t="str">
        <f>'[8]material inventory'!L31</f>
        <v>Adhesive</v>
      </c>
      <c r="B20">
        <f>'[8]material inventory'!M31</f>
        <v>5.8513339999999997E-2</v>
      </c>
      <c r="C20">
        <f>'[8]material inventory'!V31</f>
        <v>1.121768096012</v>
      </c>
      <c r="G20" s="9">
        <f t="shared" si="0"/>
        <v>5.8513339999999997E-2</v>
      </c>
      <c r="H20" s="9">
        <f t="shared" si="0"/>
        <v>1.121768096012</v>
      </c>
    </row>
    <row r="21" spans="1:8">
      <c r="A21" s="73" t="str">
        <f>'[8]material inventory'!L32</f>
        <v>PET</v>
      </c>
      <c r="B21">
        <f>'[8]material inventory'!M32</f>
        <v>0.19433649</v>
      </c>
      <c r="C21">
        <f>'[8]material inventory'!V32</f>
        <v>4.876431431436</v>
      </c>
      <c r="G21" s="9">
        <f t="shared" si="0"/>
        <v>0.19433649</v>
      </c>
      <c r="H21" s="9">
        <f t="shared" si="0"/>
        <v>4.876431431436</v>
      </c>
    </row>
    <row r="22" spans="1:8">
      <c r="A22" s="74" t="str">
        <f>'[8]energy consumption'!H3</f>
        <v>UV/O₃ cleaning</v>
      </c>
      <c r="B22">
        <f>'[8]energy consumption'!I3</f>
        <v>1.6328160013062525E-2</v>
      </c>
      <c r="C22">
        <f>'[8]energy consumption'!R3</f>
        <v>0.28730686288644547</v>
      </c>
      <c r="G22" s="9">
        <f t="shared" si="0"/>
        <v>1.6328160013062525E-2</v>
      </c>
      <c r="H22" s="9">
        <f t="shared" si="0"/>
        <v>0.28730686288644547</v>
      </c>
    </row>
    <row r="23" spans="1:8">
      <c r="A23" s="74" t="str">
        <f>'[8]energy consumption'!H4</f>
        <v>ETL slot-die coating</v>
      </c>
      <c r="B23">
        <f>'[8]energy consumption'!I4</f>
        <v>1.4790000011831998E-2</v>
      </c>
      <c r="C23">
        <f>'[8]energy consumption'!R4</f>
        <v>0.2602417236290267</v>
      </c>
      <c r="G23" s="9">
        <f t="shared" si="0"/>
        <v>1.4790000011831998E-2</v>
      </c>
      <c r="H23" s="9">
        <f t="shared" si="0"/>
        <v>0.2602417236290267</v>
      </c>
    </row>
    <row r="24" spans="1:8">
      <c r="A24" s="74" t="str">
        <f>'[8]energy consumption'!H5</f>
        <v>ETL annealing</v>
      </c>
      <c r="B24">
        <f>'[8]energy consumption'!I5</f>
        <v>4.5637714322224454</v>
      </c>
      <c r="C24">
        <f>'[8]energy consumption'!R5</f>
        <v>80.303160434099667</v>
      </c>
      <c r="G24" s="9">
        <f t="shared" si="0"/>
        <v>4.5637714322224454</v>
      </c>
      <c r="H24" s="9">
        <f t="shared" si="0"/>
        <v>80.303160434099667</v>
      </c>
    </row>
    <row r="25" spans="1:8">
      <c r="A25" s="74" t="str">
        <f>'[8]energy consumption'!H6</f>
        <v>PL 1st-step slot-die coating</v>
      </c>
      <c r="B25">
        <f>'[8]energy consumption'!I6</f>
        <v>2.1128571445474281E-2</v>
      </c>
      <c r="C25">
        <f>'[8]energy consumption'!R6</f>
        <v>0.37177389089860957</v>
      </c>
      <c r="G25" s="9">
        <f t="shared" si="0"/>
        <v>2.1128571445474281E-2</v>
      </c>
      <c r="H25" s="9">
        <f t="shared" si="0"/>
        <v>0.37177389089860957</v>
      </c>
    </row>
    <row r="26" spans="1:8">
      <c r="A26" s="74" t="str">
        <f>'[8]energy consumption'!H7</f>
        <v>PL annealing</v>
      </c>
      <c r="B26">
        <f>'[8]energy consumption'!I7</f>
        <v>7.0992000056793583E-2</v>
      </c>
      <c r="C26">
        <f>'[8]energy consumption'!R7</f>
        <v>1.2491602734193281</v>
      </c>
      <c r="G26" s="9">
        <f t="shared" si="0"/>
        <v>7.0992000056793583E-2</v>
      </c>
      <c r="H26" s="9">
        <f t="shared" si="0"/>
        <v>1.2491602734193281</v>
      </c>
    </row>
    <row r="27" spans="1:8">
      <c r="A27" s="74" t="str">
        <f>'[8]energy consumption'!H8</f>
        <v>PL 2nd-step slot-die coating</v>
      </c>
      <c r="B27">
        <f>'[8]energy consumption'!I8</f>
        <v>2.1128571445474281E-2</v>
      </c>
      <c r="C27">
        <f>'[8]energy consumption'!R8</f>
        <v>0.37177389089860957</v>
      </c>
      <c r="G27" s="9">
        <f t="shared" si="0"/>
        <v>2.1128571445474281E-2</v>
      </c>
      <c r="H27" s="9">
        <f t="shared" si="0"/>
        <v>0.37177389089860957</v>
      </c>
    </row>
    <row r="28" spans="1:8">
      <c r="A28" s="74" t="str">
        <f>'[8]energy consumption'!H9</f>
        <v>PL post-annealing</v>
      </c>
      <c r="B28">
        <f>'[8]energy consumption'!I9</f>
        <v>2.2818857161112227</v>
      </c>
      <c r="C28">
        <f>'[8]energy consumption'!R9</f>
        <v>40.151580217049833</v>
      </c>
      <c r="G28" s="9">
        <f t="shared" si="0"/>
        <v>2.2818857161112227</v>
      </c>
      <c r="H28" s="9">
        <f t="shared" si="0"/>
        <v>40.151580217049833</v>
      </c>
    </row>
    <row r="29" spans="1:8">
      <c r="A29" s="74" t="str">
        <f>'[8]energy consumption'!H10</f>
        <v>HTL slot-die coating</v>
      </c>
      <c r="B29">
        <f>'[8]energy consumption'!I10</f>
        <v>9.8600000078879993E-2</v>
      </c>
      <c r="C29">
        <f>'[8]energy consumption'!R10</f>
        <v>1.7349448241935115</v>
      </c>
      <c r="G29" s="9">
        <f t="shared" si="0"/>
        <v>9.8600000078879993E-2</v>
      </c>
      <c r="H29" s="9">
        <f t="shared" si="0"/>
        <v>1.7349448241935115</v>
      </c>
    </row>
    <row r="30" spans="1:8">
      <c r="A30" s="74" t="str">
        <f>'[8]energy consumption'!H11</f>
        <v>Electrode sputtering</v>
      </c>
      <c r="B30">
        <f>'[8]energy consumption'!I11</f>
        <v>4.4961600035969278</v>
      </c>
      <c r="C30">
        <f>'[8]energy consumption'!R11</f>
        <v>79.113483983224114</v>
      </c>
      <c r="G30" s="9">
        <f t="shared" si="0"/>
        <v>4.4961600035969278</v>
      </c>
      <c r="H30" s="9">
        <f t="shared" si="0"/>
        <v>79.113483983224114</v>
      </c>
    </row>
    <row r="31" spans="1:8">
      <c r="A31" s="74" t="str">
        <f>'[8]energy consumption'!H12</f>
        <v>Lamination</v>
      </c>
      <c r="B31">
        <f>'[8]energy consumption'!I12</f>
        <v>8.8740000070991979E-3</v>
      </c>
      <c r="C31">
        <f>'[8]energy consumption'!R12</f>
        <v>0.15614503417741601</v>
      </c>
      <c r="G31" s="9">
        <f t="shared" si="0"/>
        <v>8.8740000070991979E-3</v>
      </c>
      <c r="H31" s="9">
        <f t="shared" si="0"/>
        <v>0.15614503417741601</v>
      </c>
    </row>
    <row r="32" spans="1:8">
      <c r="A32" s="75" t="s">
        <v>14</v>
      </c>
      <c r="B32" s="81">
        <f>'[8]material inventory'!M33</f>
        <v>0</v>
      </c>
      <c r="C32" s="82">
        <f>'[8]material inventory'!V33</f>
        <v>0</v>
      </c>
      <c r="D32" s="81"/>
      <c r="E32" s="81"/>
      <c r="F32" s="81"/>
      <c r="G32" s="81">
        <f>B32</f>
        <v>0</v>
      </c>
      <c r="H32" s="81">
        <f>C32</f>
        <v>0</v>
      </c>
    </row>
    <row r="33" spans="1:24">
      <c r="A33" s="75" t="s">
        <v>76</v>
      </c>
      <c r="B33" s="81">
        <f>'[8]material inventory'!M47</f>
        <v>1.2757696199999999E-4</v>
      </c>
      <c r="C33" s="81">
        <f>'[8]material inventory'!V47</f>
        <v>1.0661210680980003E-3</v>
      </c>
      <c r="D33" s="81"/>
      <c r="E33" s="81"/>
      <c r="F33" s="81"/>
      <c r="G33" s="81">
        <f t="shared" ref="G33:H33" si="1">B33</f>
        <v>1.2757696199999999E-4</v>
      </c>
      <c r="H33" s="81">
        <f t="shared" si="1"/>
        <v>1.0661210680980003E-3</v>
      </c>
    </row>
    <row r="34" spans="1:24">
      <c r="A34" s="75" t="s">
        <v>74</v>
      </c>
      <c r="B34" s="81">
        <f>'[8]material inventory'!M51</f>
        <v>1.2908860778050111E-3</v>
      </c>
      <c r="C34" s="82">
        <f>'[8]material inventory'!V51</f>
        <v>4.1314842180230411E-2</v>
      </c>
      <c r="D34" s="82"/>
      <c r="E34" s="82"/>
      <c r="F34" s="82"/>
      <c r="G34" s="82">
        <v>0.15919788064941176</v>
      </c>
      <c r="H34" s="82">
        <v>2.7861990010039213</v>
      </c>
    </row>
    <row r="35" spans="1:24">
      <c r="A35" s="83" t="s">
        <v>34</v>
      </c>
      <c r="B35" s="83">
        <f>SUM(B2:B34)</f>
        <v>13.99963835780623</v>
      </c>
      <c r="C35" s="83">
        <f t="shared" ref="C35:H35" si="2">SUM(C2:C34)</f>
        <v>248.66245073290716</v>
      </c>
      <c r="D35" s="83"/>
      <c r="E35" s="83"/>
      <c r="F35" s="83"/>
      <c r="G35" s="83">
        <f>SUM(G2:G34)</f>
        <v>14.157545352377836</v>
      </c>
      <c r="H35" s="83">
        <f t="shared" si="2"/>
        <v>251.40733489173084</v>
      </c>
    </row>
    <row r="36" spans="1:24">
      <c r="B36" s="9"/>
      <c r="C36" s="9"/>
      <c r="D36" s="9"/>
      <c r="E36" s="9"/>
      <c r="F36" s="9"/>
      <c r="G36" s="9"/>
      <c r="H36" s="9"/>
      <c r="I36" s="9"/>
      <c r="J36" s="9"/>
      <c r="K36" s="9"/>
      <c r="L36" s="9"/>
      <c r="M36" s="9"/>
      <c r="N36" s="9"/>
      <c r="O36" s="9"/>
      <c r="P36" s="9"/>
      <c r="Q36" s="9"/>
      <c r="R36" s="9"/>
      <c r="S36" s="9"/>
      <c r="T36" s="9"/>
      <c r="U36" s="9"/>
      <c r="V36" s="9"/>
      <c r="W36" s="9"/>
      <c r="X36" s="9"/>
    </row>
    <row r="37" spans="1:24">
      <c r="B37" s="9"/>
      <c r="C37" s="9"/>
      <c r="D37" s="9"/>
      <c r="E37" s="9"/>
      <c r="F37" s="9"/>
      <c r="G37" s="9"/>
      <c r="H37" s="9"/>
      <c r="I37" s="9"/>
      <c r="J37" s="9"/>
      <c r="K37" s="9"/>
      <c r="L37" s="9"/>
      <c r="M37" s="9"/>
      <c r="N37" s="9"/>
      <c r="O37" s="9"/>
      <c r="P37" s="9"/>
      <c r="Q37" s="9"/>
      <c r="R37" s="9"/>
      <c r="S37" s="9"/>
      <c r="T37" s="9"/>
      <c r="U37" s="9"/>
      <c r="V37" s="9"/>
      <c r="W37" s="9"/>
      <c r="X37" s="9"/>
    </row>
    <row r="38" spans="1:24">
      <c r="B38" s="9"/>
      <c r="C38" s="9"/>
      <c r="D38" s="9"/>
      <c r="E38" s="9"/>
      <c r="F38" s="9"/>
      <c r="G38" s="9"/>
      <c r="H38" s="9"/>
      <c r="I38" s="9"/>
      <c r="J38" s="9"/>
      <c r="K38" s="9"/>
      <c r="L38" s="9"/>
      <c r="M38" s="9"/>
      <c r="N38" s="9"/>
      <c r="O38" s="9"/>
      <c r="P38" s="9"/>
      <c r="Q38" s="9"/>
      <c r="R38" s="9"/>
      <c r="S38" s="9"/>
      <c r="T38" s="9"/>
      <c r="U38" s="9"/>
      <c r="V38" s="9"/>
      <c r="W38" s="9"/>
      <c r="X38" s="9"/>
    </row>
    <row r="39" spans="1:24">
      <c r="B39" s="9"/>
      <c r="C39" s="9"/>
      <c r="D39" s="9"/>
      <c r="E39" s="9"/>
      <c r="F39" s="9"/>
      <c r="G39" s="9"/>
      <c r="H39" s="9"/>
      <c r="I39" s="9"/>
      <c r="J39" s="9"/>
      <c r="K39" s="9"/>
      <c r="L39" s="9"/>
      <c r="M39" s="9"/>
      <c r="N39" s="9"/>
      <c r="O39" s="9"/>
      <c r="P39" s="9"/>
      <c r="Q39" s="9"/>
      <c r="R39" s="9"/>
      <c r="S39" s="9"/>
      <c r="T39" s="9"/>
      <c r="U39" s="9"/>
      <c r="V39" s="9"/>
      <c r="W39" s="9"/>
      <c r="X39" s="9"/>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material inventory</vt:lpstr>
      <vt:lpstr>energy consumption</vt:lpstr>
      <vt:lpstr>results</vt:lpstr>
      <vt:lpstr>uncertainty</vt:lpstr>
      <vt:lpstr>recycling level-cf</vt:lpstr>
      <vt:lpstr>recycling level-pec</vt:lpstr>
      <vt:lpstr>sensitivity</vt:lpstr>
      <vt:lpstr>results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2020-01-04T20:09:18Z</dcterms:modified>
</cp:coreProperties>
</file>