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746123CC-2DD0-4CA5-9522-1BCB7AB839F2}" xr6:coauthVersionLast="45" xr6:coauthVersionMax="45" xr10:uidLastSave="{00000000-0000-0000-0000-000000000000}"/>
  <bookViews>
    <workbookView xWindow="-28920" yWindow="-120" windowWidth="29040" windowHeight="15840" activeTab="6" xr2:uid="{00000000-000D-0000-FFFF-FFFF00000000}"/>
  </bookViews>
  <sheets>
    <sheet name="mateiral inventory" sheetId="1" r:id="rId1"/>
    <sheet name="energy inventory" sheetId="2" r:id="rId2"/>
    <sheet name="Results" sheetId="3" r:id="rId3"/>
    <sheet name="CB_DATA_" sheetId="5" state="veryHidden" r:id="rId4"/>
    <sheet name="Recycling" sheetId="6" r:id="rId5"/>
    <sheet name="uncertainty" sheetId="4" r:id="rId6"/>
    <sheet name="Results (2)" sheetId="7" r:id="rId7"/>
  </sheets>
  <externalReferences>
    <externalReference r:id="rId8"/>
    <externalReference r:id="rId9"/>
    <externalReference r:id="rId10"/>
    <externalReference r:id="rId11"/>
  </externalReferences>
  <definedNames>
    <definedName name="CB_1498f0c570aa47528611da8ae9c5412b" localSheetId="5" hidden="1">uncertainty!$C$4</definedName>
    <definedName name="CB_1adb21ab6e604eb094b6510f143468d3" localSheetId="5" hidden="1">uncertainty!$C$8</definedName>
    <definedName name="CB_3c4ad79b438640dabf6fb79091cbe167" localSheetId="3" hidden="1">#N/A</definedName>
    <definedName name="CB_5369fa9e403e48419f668e5893ad42f6" localSheetId="5" hidden="1">uncertainty!$C$6</definedName>
    <definedName name="CB_828bc82cdb764be08385f2fb07286589" localSheetId="3" hidden="1">#N/A</definedName>
    <definedName name="CB_Block_00000000000000000000000000000000" localSheetId="3" hidden="1">"'7.0.0.0"</definedName>
    <definedName name="CB_Block_00000000000000000000000000000000" localSheetId="5" hidden="1">"'7.0.0.0"</definedName>
    <definedName name="CB_Block_00000000000000000000000000000001" localSheetId="3" hidden="1">"'637136677795550796"</definedName>
    <definedName name="CB_Block_00000000000000000000000000000001" localSheetId="5" hidden="1">"'637136677795819263"</definedName>
    <definedName name="CB_Block_00000000000000000000000000000003" localSheetId="3" hidden="1">"'11.1.4716.0"</definedName>
    <definedName name="CB_Block_00000000000000000000000000000003" localSheetId="5" hidden="1">"'11.1.4716.0"</definedName>
    <definedName name="CB_BlockExt_00000000000000000000000000000003" localSheetId="3" hidden="1">"'11.1.2.4.850"</definedName>
    <definedName name="CB_BlockExt_00000000000000000000000000000003" localSheetId="5" hidden="1">"'11.1.2.4.850"</definedName>
    <definedName name="CB_c4afc9c94b8e42eca433de7fe90a6f77" localSheetId="5" hidden="1">uncertainty!$C$2</definedName>
    <definedName name="CB_cdcb296dd0c14006b68d29a966c8db49" localSheetId="5" hidden="1">uncertainty!$C$9</definedName>
    <definedName name="CB_d2b9a80ebb484da3941a8a423688dc42" localSheetId="5" hidden="1">uncertainty!$C$10</definedName>
    <definedName name="CB_e67efa37378c453193a6bd51da50b942" localSheetId="5" hidden="1">uncertainty!$C$7</definedName>
    <definedName name="CB_fcc81876c204460ab8cf8d0e2ef8e5b6" localSheetId="5" hidden="1">uncertainty!$C$3</definedName>
    <definedName name="CBCR_257c931ea5024a4c82b2d4404bdd31e3" localSheetId="5" hidden="1">uncertainty!$E$4</definedName>
    <definedName name="CBCR_2ca147aa25e0472ca42061c28bce5789" localSheetId="5" hidden="1">uncertainty!$E$2</definedName>
    <definedName name="CBCR_44150d60330c4bfca684cdc56bb3b541" localSheetId="5" hidden="1">uncertainty!$C$3</definedName>
    <definedName name="CBCR_472f607942974ab7a04eb65cbbf1b2ae" localSheetId="5" hidden="1">uncertainty!$E$7</definedName>
    <definedName name="CBCR_4d16fb822560492e82a4d5aa38b7d063" localSheetId="5" hidden="1">uncertainty!$E$3</definedName>
    <definedName name="CBCR_803a714d9bf2495da45c2351fdee383f" localSheetId="5" hidden="1">uncertainty!$C$7</definedName>
    <definedName name="CBCR_9693578c01fc42038a316e4652d53452" localSheetId="5" hidden="1">uncertainty!$E$8</definedName>
    <definedName name="CBCR_9a2c9149b3564ae197df0f3684d4ae76" localSheetId="5" hidden="1">uncertainty!$C$4</definedName>
    <definedName name="CBCR_b158331be314495f8700de3cd241a579" localSheetId="5" hidden="1">uncertainty!$E$6</definedName>
    <definedName name="CBCR_c4d0c305e77e489b859b0ba4d146d04a" localSheetId="5" hidden="1">uncertainty!$C$8</definedName>
    <definedName name="CBCR_dca09947e77443ea9cca47824d45623c" localSheetId="5" hidden="1">uncertainty!$C$6</definedName>
    <definedName name="CBCR_ef395a3d31f740c0a6edb6e1a13221c9" localSheetId="5" hidden="1">uncertainty!$C$2</definedName>
    <definedName name="CBWorkbookPriority" localSheetId="3" hidden="1">-1589539535218880</definedName>
    <definedName name="CBx_2a9da58c3e844b8288bcce61b3365a2e" localSheetId="3" hidden="1">"'CB_DATA_'!$A$1"</definedName>
    <definedName name="CBx_7ec3dce2f7e94a96a3913a0369f7e605" localSheetId="3" hidden="1">"'uncertainty'!$A$1"</definedName>
    <definedName name="CBx_Sheet_Guid" localSheetId="3" hidden="1">"'2a9da58c-3e84-4b82-88bc-ce61b3365a2e"</definedName>
    <definedName name="CBx_Sheet_Guid" localSheetId="5" hidden="1">"'7ec3dce2-f7e9-4a96-a391-3a0369f7e605"</definedName>
    <definedName name="CBx_SheetRef" localSheetId="3" hidden="1">CB_DATA_!$A$14</definedName>
    <definedName name="CBx_SheetRef" localSheetId="5" hidden="1">CB_DATA_!$B$14</definedName>
    <definedName name="CBx_StorageType" localSheetId="3" hidden="1">2</definedName>
    <definedName name="CBx_StorageType" localSheetId="5"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7" l="1"/>
  <c r="B26" i="7"/>
  <c r="H25" i="7"/>
  <c r="G25" i="7"/>
  <c r="G24" i="7"/>
  <c r="C24" i="7"/>
  <c r="H24" i="7" s="1"/>
  <c r="B24" i="7"/>
  <c r="A24" i="7"/>
  <c r="H23" i="7"/>
  <c r="C23" i="7"/>
  <c r="B23" i="7"/>
  <c r="G23" i="7" s="1"/>
  <c r="A23" i="7"/>
  <c r="H22" i="7"/>
  <c r="C22" i="7"/>
  <c r="B22" i="7"/>
  <c r="G22" i="7" s="1"/>
  <c r="A22" i="7"/>
  <c r="C21" i="7"/>
  <c r="H21" i="7" s="1"/>
  <c r="B21" i="7"/>
  <c r="G21" i="7" s="1"/>
  <c r="A21" i="7"/>
  <c r="H20" i="7"/>
  <c r="G20" i="7"/>
  <c r="C20" i="7"/>
  <c r="B20" i="7"/>
  <c r="A20" i="7"/>
  <c r="H19" i="7"/>
  <c r="G19" i="7"/>
  <c r="C19" i="7"/>
  <c r="B19" i="7"/>
  <c r="A19" i="7"/>
  <c r="C18" i="7"/>
  <c r="H18" i="7" s="1"/>
  <c r="B18" i="7"/>
  <c r="G18" i="7" s="1"/>
  <c r="A18" i="7"/>
  <c r="G17" i="7"/>
  <c r="C17" i="7"/>
  <c r="H17" i="7" s="1"/>
  <c r="B17" i="7"/>
  <c r="A17" i="7"/>
  <c r="H16" i="7"/>
  <c r="G16" i="7"/>
  <c r="C16" i="7"/>
  <c r="B16" i="7"/>
  <c r="A16" i="7"/>
  <c r="H15" i="7"/>
  <c r="C15" i="7"/>
  <c r="B15" i="7"/>
  <c r="G15" i="7" s="1"/>
  <c r="A15" i="7"/>
  <c r="H14" i="7"/>
  <c r="C14" i="7"/>
  <c r="B14" i="7"/>
  <c r="G14" i="7" s="1"/>
  <c r="A14" i="7"/>
  <c r="G13" i="7"/>
  <c r="C13" i="7"/>
  <c r="H13" i="7" s="1"/>
  <c r="B13" i="7"/>
  <c r="A13" i="7"/>
  <c r="H12" i="7"/>
  <c r="G12" i="7"/>
  <c r="C12" i="7"/>
  <c r="B12" i="7"/>
  <c r="A12" i="7"/>
  <c r="H11" i="7"/>
  <c r="G11" i="7"/>
  <c r="C11" i="7"/>
  <c r="B11" i="7"/>
  <c r="A11" i="7"/>
  <c r="C10" i="7"/>
  <c r="H10" i="7" s="1"/>
  <c r="B10" i="7"/>
  <c r="G10" i="7" s="1"/>
  <c r="A10" i="7"/>
  <c r="G9" i="7"/>
  <c r="C9" i="7"/>
  <c r="H9" i="7" s="1"/>
  <c r="B9" i="7"/>
  <c r="A9" i="7"/>
  <c r="H8" i="7"/>
  <c r="G8" i="7"/>
  <c r="C8" i="7"/>
  <c r="B8" i="7"/>
  <c r="A8" i="7"/>
  <c r="C7" i="7"/>
  <c r="H7" i="7" s="1"/>
  <c r="B7" i="7"/>
  <c r="G7" i="7" s="1"/>
  <c r="A7" i="7"/>
  <c r="H6" i="7"/>
  <c r="C6" i="7"/>
  <c r="B6" i="7"/>
  <c r="G6" i="7" s="1"/>
  <c r="A6" i="7"/>
  <c r="C5" i="7"/>
  <c r="H5" i="7" s="1"/>
  <c r="B5" i="7"/>
  <c r="G5" i="7" s="1"/>
  <c r="A5" i="7"/>
  <c r="H4" i="7"/>
  <c r="C4" i="7"/>
  <c r="B4" i="7"/>
  <c r="G4" i="7" s="1"/>
  <c r="A4" i="7"/>
  <c r="H3" i="7"/>
  <c r="G3" i="7"/>
  <c r="C3" i="7"/>
  <c r="B3" i="7"/>
  <c r="A3" i="7"/>
  <c r="C2" i="7"/>
  <c r="C28" i="7" s="1"/>
  <c r="B2" i="7"/>
  <c r="B28" i="7" s="1"/>
  <c r="A2" i="7"/>
  <c r="H1" i="7"/>
  <c r="G1" i="7"/>
  <c r="H2" i="7" l="1"/>
  <c r="H28" i="7" s="1"/>
  <c r="G2" i="7"/>
  <c r="G28" i="7" s="1"/>
  <c r="F1" i="4" l="1"/>
  <c r="P2" i="5"/>
  <c r="F14" i="1" l="1"/>
  <c r="U10" i="1" s="1"/>
  <c r="J9" i="3" s="1"/>
  <c r="F9" i="2"/>
  <c r="L7" i="2" s="1"/>
  <c r="D17" i="3" s="1"/>
  <c r="E9" i="2"/>
  <c r="C9" i="2"/>
  <c r="D9" i="2"/>
  <c r="A17" i="3"/>
  <c r="A9" i="3"/>
  <c r="M10" i="1" l="1"/>
  <c r="B9" i="3" s="1"/>
  <c r="AC10" i="1"/>
  <c r="R9" i="3" s="1"/>
  <c r="V10" i="1"/>
  <c r="K9" i="3" s="1"/>
  <c r="AI10" i="1"/>
  <c r="X9" i="3" s="1"/>
  <c r="AA10" i="1"/>
  <c r="P9" i="3" s="1"/>
  <c r="S10" i="1"/>
  <c r="H9" i="3" s="1"/>
  <c r="AH10" i="1"/>
  <c r="W9" i="3" s="1"/>
  <c r="Z10" i="1"/>
  <c r="O9" i="3" s="1"/>
  <c r="R10" i="1"/>
  <c r="G9" i="3" s="1"/>
  <c r="N10" i="1"/>
  <c r="C9" i="3" s="1"/>
  <c r="AB10" i="1"/>
  <c r="Q9" i="3" s="1"/>
  <c r="T10" i="1"/>
  <c r="I9" i="3" s="1"/>
  <c r="AG10" i="1"/>
  <c r="V9" i="3" s="1"/>
  <c r="Y10" i="1"/>
  <c r="N9" i="3" s="1"/>
  <c r="Q10" i="1"/>
  <c r="F9" i="3" s="1"/>
  <c r="AF10" i="1"/>
  <c r="U9" i="3" s="1"/>
  <c r="X10" i="1"/>
  <c r="M9" i="3" s="1"/>
  <c r="P10" i="1"/>
  <c r="E9" i="3" s="1"/>
  <c r="AE10" i="1"/>
  <c r="T9" i="3" s="1"/>
  <c r="W10" i="1"/>
  <c r="L9" i="3" s="1"/>
  <c r="O10" i="1"/>
  <c r="D9" i="3" s="1"/>
  <c r="AD10" i="1"/>
  <c r="S9" i="3" s="1"/>
  <c r="S7" i="2"/>
  <c r="K17" i="3" s="1"/>
  <c r="Z7" i="2"/>
  <c r="R17" i="3" s="1"/>
  <c r="K7" i="2"/>
  <c r="C17" i="3" s="1"/>
  <c r="Y7" i="2"/>
  <c r="Q17" i="3" s="1"/>
  <c r="Q7" i="2"/>
  <c r="I17" i="3" s="1"/>
  <c r="AF7" i="2"/>
  <c r="X17" i="3" s="1"/>
  <c r="X7" i="2"/>
  <c r="P17" i="3" s="1"/>
  <c r="P7" i="2"/>
  <c r="H17" i="3" s="1"/>
  <c r="AA7" i="2"/>
  <c r="S17" i="3" s="1"/>
  <c r="J7" i="2"/>
  <c r="B17" i="3" s="1"/>
  <c r="AE7" i="2"/>
  <c r="W17" i="3" s="1"/>
  <c r="O7" i="2"/>
  <c r="G17" i="3" s="1"/>
  <c r="AD7" i="2"/>
  <c r="V17" i="3" s="1"/>
  <c r="V7" i="2"/>
  <c r="N17" i="3" s="1"/>
  <c r="N7" i="2"/>
  <c r="F17" i="3" s="1"/>
  <c r="W7" i="2"/>
  <c r="O17" i="3" s="1"/>
  <c r="AC7" i="2"/>
  <c r="U17" i="3" s="1"/>
  <c r="U7" i="2"/>
  <c r="M17" i="3" s="1"/>
  <c r="M7" i="2"/>
  <c r="E17" i="3" s="1"/>
  <c r="R7" i="2"/>
  <c r="J17" i="3" s="1"/>
  <c r="AB7" i="2"/>
  <c r="T17" i="3" s="1"/>
  <c r="T7" i="2"/>
  <c r="L17" i="3" s="1"/>
  <c r="F34" i="1" l="1"/>
  <c r="A26" i="6" l="1"/>
  <c r="A25" i="6"/>
  <c r="A24" i="6"/>
  <c r="A23" i="6"/>
  <c r="A22" i="6"/>
  <c r="A21" i="6"/>
  <c r="A20" i="6"/>
  <c r="A19" i="6"/>
  <c r="A13" i="6"/>
  <c r="A12" i="6"/>
  <c r="A11" i="6"/>
  <c r="A10" i="6"/>
  <c r="A9" i="6"/>
  <c r="A8" i="6"/>
  <c r="A7" i="6"/>
  <c r="A6" i="6"/>
  <c r="A5" i="6"/>
  <c r="A4" i="6"/>
  <c r="A3" i="6"/>
  <c r="A2" i="6"/>
  <c r="A3" i="3" l="1"/>
  <c r="A4" i="3"/>
  <c r="A5" i="3"/>
  <c r="A6" i="3"/>
  <c r="A7" i="3"/>
  <c r="A8" i="3"/>
  <c r="A10" i="3"/>
  <c r="A11" i="3"/>
  <c r="A12" i="3"/>
  <c r="A13" i="3"/>
  <c r="A14" i="3"/>
  <c r="A11" i="5" l="1"/>
  <c r="B11" i="5"/>
  <c r="C15" i="2" l="1"/>
  <c r="C14" i="2"/>
  <c r="C11" i="2"/>
  <c r="C10" i="2"/>
  <c r="C12" i="2"/>
  <c r="C10" i="4" l="1"/>
  <c r="C9" i="4"/>
  <c r="E12" i="2" l="1"/>
  <c r="C7" i="2"/>
  <c r="C17" i="2"/>
  <c r="D17" i="2"/>
  <c r="F21" i="1" s="1"/>
  <c r="F22" i="1" s="1"/>
  <c r="D7" i="2" l="1"/>
  <c r="F5" i="1"/>
  <c r="O4" i="1" l="1"/>
  <c r="W4" i="1"/>
  <c r="AE4" i="1"/>
  <c r="Y4" i="1"/>
  <c r="M4" i="1"/>
  <c r="P4" i="1"/>
  <c r="X4" i="1"/>
  <c r="AF4" i="1"/>
  <c r="AG4" i="1"/>
  <c r="AD4" i="1"/>
  <c r="F24" i="1"/>
  <c r="Q4" i="1"/>
  <c r="R4" i="1"/>
  <c r="Z4" i="1"/>
  <c r="AH4" i="1"/>
  <c r="AB4" i="1"/>
  <c r="AC4" i="1"/>
  <c r="V4" i="1"/>
  <c r="S4" i="1"/>
  <c r="AA4" i="1"/>
  <c r="AI4" i="1"/>
  <c r="T4" i="1"/>
  <c r="N4" i="1"/>
  <c r="U4" i="1"/>
  <c r="H7" i="1"/>
  <c r="F7" i="1" s="1"/>
  <c r="E7" i="2"/>
  <c r="F6" i="1"/>
  <c r="A15" i="3"/>
  <c r="A16" i="3"/>
  <c r="A18" i="3"/>
  <c r="A19" i="3"/>
  <c r="A20" i="3"/>
  <c r="A21" i="3"/>
  <c r="A22" i="3"/>
  <c r="A23" i="3"/>
  <c r="A2" i="3"/>
  <c r="A24" i="3"/>
  <c r="U3" i="3" l="1"/>
  <c r="M3" i="3"/>
  <c r="J3" i="3"/>
  <c r="O3" i="3"/>
  <c r="G3" i="3"/>
  <c r="B3" i="3"/>
  <c r="W3" i="3"/>
  <c r="E3" i="3"/>
  <c r="P3" i="3"/>
  <c r="N3" i="3"/>
  <c r="Q3" i="3"/>
  <c r="C3" i="3"/>
  <c r="I3" i="3"/>
  <c r="X3" i="3"/>
  <c r="F3" i="3"/>
  <c r="H3" i="3"/>
  <c r="T3" i="3"/>
  <c r="K3" i="3"/>
  <c r="S3" i="3"/>
  <c r="L3" i="3"/>
  <c r="R3" i="3"/>
  <c r="V3" i="3"/>
  <c r="D3" i="3"/>
  <c r="Q14" i="1"/>
  <c r="F13" i="3" s="1"/>
  <c r="Y14" i="1"/>
  <c r="N13" i="3" s="1"/>
  <c r="AG14" i="1"/>
  <c r="V13" i="3" s="1"/>
  <c r="AA14" i="1"/>
  <c r="P13" i="3" s="1"/>
  <c r="AE14" i="1"/>
  <c r="T13" i="3" s="1"/>
  <c r="AF14" i="1"/>
  <c r="U13" i="3" s="1"/>
  <c r="R14" i="1"/>
  <c r="G13" i="3" s="1"/>
  <c r="Z14" i="1"/>
  <c r="O13" i="3" s="1"/>
  <c r="AH14" i="1"/>
  <c r="W13" i="3" s="1"/>
  <c r="S14" i="1"/>
  <c r="H13" i="3" s="1"/>
  <c r="AI14" i="1"/>
  <c r="X13" i="3" s="1"/>
  <c r="W14" i="1"/>
  <c r="L13" i="3" s="1"/>
  <c r="T14" i="1"/>
  <c r="I13" i="3" s="1"/>
  <c r="AB14" i="1"/>
  <c r="Q13" i="3" s="1"/>
  <c r="N14" i="1"/>
  <c r="V14" i="1"/>
  <c r="K13" i="3" s="1"/>
  <c r="O14" i="1"/>
  <c r="D13" i="3" s="1"/>
  <c r="P14" i="1"/>
  <c r="E13" i="3" s="1"/>
  <c r="U14" i="1"/>
  <c r="J13" i="3" s="1"/>
  <c r="AC14" i="1"/>
  <c r="R13" i="3" s="1"/>
  <c r="M14" i="1"/>
  <c r="AD14" i="1"/>
  <c r="S13" i="3" s="1"/>
  <c r="X14" i="1"/>
  <c r="M13" i="3" s="1"/>
  <c r="P15" i="1"/>
  <c r="E14" i="3" s="1"/>
  <c r="X15" i="1"/>
  <c r="M14" i="3" s="1"/>
  <c r="AF15" i="1"/>
  <c r="U14" i="3" s="1"/>
  <c r="R15" i="1"/>
  <c r="G14" i="3" s="1"/>
  <c r="AH15" i="1"/>
  <c r="W14" i="3" s="1"/>
  <c r="W15" i="1"/>
  <c r="L14" i="3" s="1"/>
  <c r="Q15" i="1"/>
  <c r="F14" i="3" s="1"/>
  <c r="Y15" i="1"/>
  <c r="N14" i="3" s="1"/>
  <c r="AG15" i="1"/>
  <c r="V14" i="3" s="1"/>
  <c r="Z15" i="1"/>
  <c r="O14" i="3" s="1"/>
  <c r="V15" i="1"/>
  <c r="K14" i="3" s="1"/>
  <c r="AE15" i="1"/>
  <c r="T14" i="3" s="1"/>
  <c r="S15" i="1"/>
  <c r="H14" i="3" s="1"/>
  <c r="AA15" i="1"/>
  <c r="P14" i="3" s="1"/>
  <c r="AI15" i="1"/>
  <c r="X14" i="3" s="1"/>
  <c r="U15" i="1"/>
  <c r="J14" i="3" s="1"/>
  <c r="AC15" i="1"/>
  <c r="R14" i="3" s="1"/>
  <c r="T15" i="1"/>
  <c r="I14" i="3" s="1"/>
  <c r="AB15" i="1"/>
  <c r="Q14" i="3" s="1"/>
  <c r="N15" i="1"/>
  <c r="M15" i="1"/>
  <c r="AD15" i="1"/>
  <c r="S14" i="3" s="1"/>
  <c r="O15" i="1"/>
  <c r="D14" i="3" s="1"/>
  <c r="F33" i="1"/>
  <c r="F32" i="1"/>
  <c r="C13" i="3" l="1"/>
  <c r="C12" i="6"/>
  <c r="B13" i="3"/>
  <c r="B12" i="6"/>
  <c r="C14" i="3"/>
  <c r="C13" i="6"/>
  <c r="B14" i="3"/>
  <c r="B13" i="6"/>
  <c r="O3" i="1"/>
  <c r="D2" i="3" s="1"/>
  <c r="P3" i="1"/>
  <c r="E2" i="3" s="1"/>
  <c r="Q3" i="1"/>
  <c r="R3" i="1"/>
  <c r="S3" i="1"/>
  <c r="H2" i="3" s="1"/>
  <c r="T3" i="1"/>
  <c r="U3" i="1"/>
  <c r="J2" i="3" s="1"/>
  <c r="V3" i="1"/>
  <c r="K2" i="3" s="1"/>
  <c r="W3" i="1"/>
  <c r="L2" i="3" s="1"/>
  <c r="X3" i="1"/>
  <c r="Y3" i="1"/>
  <c r="N2" i="3" s="1"/>
  <c r="Z3" i="1"/>
  <c r="O2" i="3" s="1"/>
  <c r="AA3" i="1"/>
  <c r="P2" i="3" s="1"/>
  <c r="AB3" i="1"/>
  <c r="Q2" i="3" s="1"/>
  <c r="AC3" i="1"/>
  <c r="R2" i="3" s="1"/>
  <c r="AD3" i="1"/>
  <c r="AE3" i="1"/>
  <c r="T2" i="3" s="1"/>
  <c r="AF3" i="1"/>
  <c r="AG3" i="1"/>
  <c r="V2" i="3" s="1"/>
  <c r="AH3" i="1"/>
  <c r="W2" i="3" s="1"/>
  <c r="AI3" i="1"/>
  <c r="X2" i="3" s="1"/>
  <c r="N3" i="1"/>
  <c r="C2" i="3" s="1"/>
  <c r="M3" i="1"/>
  <c r="B2" i="3" s="1"/>
  <c r="I2" i="3" l="1"/>
  <c r="G2" i="3"/>
  <c r="U2" i="3"/>
  <c r="M2" i="3"/>
  <c r="F2" i="3"/>
  <c r="S2" i="3"/>
  <c r="F12" i="2"/>
  <c r="E14" i="2"/>
  <c r="F14" i="2" s="1"/>
  <c r="E15" i="2"/>
  <c r="F15" i="2" s="1"/>
  <c r="E11" i="2"/>
  <c r="F11" i="2" s="1"/>
  <c r="E10" i="2"/>
  <c r="D5" i="2"/>
  <c r="C5" i="2"/>
  <c r="E5" i="2" s="1"/>
  <c r="F5" i="2" s="1"/>
  <c r="L5" i="2" l="1"/>
  <c r="D15" i="3" s="1"/>
  <c r="T5" i="2"/>
  <c r="L15" i="3" s="1"/>
  <c r="AB5" i="2"/>
  <c r="T15" i="3" s="1"/>
  <c r="U5" i="2"/>
  <c r="M15" i="3" s="1"/>
  <c r="AC5" i="2"/>
  <c r="U15" i="3" s="1"/>
  <c r="N5" i="2"/>
  <c r="F15" i="3" s="1"/>
  <c r="V5" i="2"/>
  <c r="N15" i="3" s="1"/>
  <c r="AD5" i="2"/>
  <c r="V15" i="3" s="1"/>
  <c r="W5" i="2"/>
  <c r="O15" i="3" s="1"/>
  <c r="AE5" i="2"/>
  <c r="W15" i="3" s="1"/>
  <c r="P5" i="2"/>
  <c r="H15" i="3" s="1"/>
  <c r="J5" i="2"/>
  <c r="S5" i="2"/>
  <c r="K15" i="3" s="1"/>
  <c r="M5" i="2"/>
  <c r="E15" i="3" s="1"/>
  <c r="O5" i="2"/>
  <c r="G15" i="3" s="1"/>
  <c r="X5" i="2"/>
  <c r="P15" i="3" s="1"/>
  <c r="AF5" i="2"/>
  <c r="X15" i="3" s="1"/>
  <c r="K5" i="2"/>
  <c r="Q5" i="2"/>
  <c r="I15" i="3" s="1"/>
  <c r="R5" i="2"/>
  <c r="J15" i="3" s="1"/>
  <c r="AA5" i="2"/>
  <c r="S15" i="3" s="1"/>
  <c r="Y5" i="2"/>
  <c r="Q15" i="3" s="1"/>
  <c r="Z5" i="2"/>
  <c r="R15" i="3" s="1"/>
  <c r="F10" i="2"/>
  <c r="O8" i="2" s="1"/>
  <c r="G18" i="3" s="1"/>
  <c r="O12" i="2"/>
  <c r="G22" i="3" s="1"/>
  <c r="W12" i="2"/>
  <c r="O22" i="3" s="1"/>
  <c r="AE12" i="2"/>
  <c r="W22" i="3" s="1"/>
  <c r="J12" i="2"/>
  <c r="AB12" i="2"/>
  <c r="T22" i="3" s="1"/>
  <c r="AC12" i="2"/>
  <c r="U22" i="3" s="1"/>
  <c r="V12" i="2"/>
  <c r="N22" i="3" s="1"/>
  <c r="P12" i="2"/>
  <c r="H22" i="3" s="1"/>
  <c r="X12" i="2"/>
  <c r="P22" i="3" s="1"/>
  <c r="AF12" i="2"/>
  <c r="X22" i="3" s="1"/>
  <c r="K12" i="2"/>
  <c r="AA12" i="2"/>
  <c r="S22" i="3" s="1"/>
  <c r="M12" i="2"/>
  <c r="E22" i="3" s="1"/>
  <c r="Q12" i="2"/>
  <c r="I22" i="3" s="1"/>
  <c r="Y12" i="2"/>
  <c r="Q22" i="3" s="1"/>
  <c r="T12" i="2"/>
  <c r="L22" i="3" s="1"/>
  <c r="R12" i="2"/>
  <c r="J22" i="3" s="1"/>
  <c r="Z12" i="2"/>
  <c r="R22" i="3" s="1"/>
  <c r="L12" i="2"/>
  <c r="D22" i="3" s="1"/>
  <c r="U12" i="2"/>
  <c r="M22" i="3" s="1"/>
  <c r="AD12" i="2"/>
  <c r="V22" i="3" s="1"/>
  <c r="S12" i="2"/>
  <c r="K22" i="3" s="1"/>
  <c r="N12" i="2"/>
  <c r="F22" i="3" s="1"/>
  <c r="P11" i="2"/>
  <c r="H21" i="3" s="1"/>
  <c r="X11" i="2"/>
  <c r="P21" i="3" s="1"/>
  <c r="AF11" i="2"/>
  <c r="X21" i="3" s="1"/>
  <c r="J11" i="2"/>
  <c r="AB11" i="2"/>
  <c r="T21" i="3" s="1"/>
  <c r="N11" i="2"/>
  <c r="F21" i="3" s="1"/>
  <c r="K11" i="2"/>
  <c r="Q11" i="2"/>
  <c r="I21" i="3" s="1"/>
  <c r="Y11" i="2"/>
  <c r="Q21" i="3" s="1"/>
  <c r="R11" i="2"/>
  <c r="J21" i="3" s="1"/>
  <c r="Z11" i="2"/>
  <c r="R21" i="3" s="1"/>
  <c r="L11" i="2"/>
  <c r="D21" i="3" s="1"/>
  <c r="W11" i="2"/>
  <c r="O21" i="3" s="1"/>
  <c r="S11" i="2"/>
  <c r="K21" i="3" s="1"/>
  <c r="AA11" i="2"/>
  <c r="S21" i="3" s="1"/>
  <c r="T11" i="2"/>
  <c r="L21" i="3" s="1"/>
  <c r="V11" i="2"/>
  <c r="N21" i="3" s="1"/>
  <c r="O11" i="2"/>
  <c r="G21" i="3" s="1"/>
  <c r="M11" i="2"/>
  <c r="E21" i="3" s="1"/>
  <c r="U11" i="2"/>
  <c r="M21" i="3" s="1"/>
  <c r="AC11" i="2"/>
  <c r="U21" i="3" s="1"/>
  <c r="AD11" i="2"/>
  <c r="V21" i="3" s="1"/>
  <c r="AE11" i="2"/>
  <c r="W21" i="3" s="1"/>
  <c r="O10" i="2"/>
  <c r="G20" i="3" s="1"/>
  <c r="W10" i="2"/>
  <c r="O20" i="3" s="1"/>
  <c r="AE10" i="2"/>
  <c r="W20" i="3" s="1"/>
  <c r="J10" i="2"/>
  <c r="AB10" i="2"/>
  <c r="T20" i="3" s="1"/>
  <c r="AD10" i="2"/>
  <c r="V20" i="3" s="1"/>
  <c r="P10" i="2"/>
  <c r="H20" i="3" s="1"/>
  <c r="X10" i="2"/>
  <c r="P20" i="3" s="1"/>
  <c r="AF10" i="2"/>
  <c r="X20" i="3" s="1"/>
  <c r="Z10" i="2"/>
  <c r="R20" i="3" s="1"/>
  <c r="Q10" i="2"/>
  <c r="I20" i="3" s="1"/>
  <c r="Y10" i="2"/>
  <c r="Q20" i="3" s="1"/>
  <c r="AA10" i="2"/>
  <c r="S20" i="3" s="1"/>
  <c r="L10" i="2"/>
  <c r="D20" i="3" s="1"/>
  <c r="T10" i="2"/>
  <c r="L20" i="3" s="1"/>
  <c r="K10" i="2"/>
  <c r="R10" i="2"/>
  <c r="J20" i="3" s="1"/>
  <c r="S10" i="2"/>
  <c r="K20" i="3" s="1"/>
  <c r="V10" i="2"/>
  <c r="N20" i="3" s="1"/>
  <c r="M10" i="2"/>
  <c r="E20" i="3" s="1"/>
  <c r="U10" i="2"/>
  <c r="M20" i="3" s="1"/>
  <c r="AC10" i="2"/>
  <c r="U20" i="3" s="1"/>
  <c r="N10" i="2"/>
  <c r="F20" i="3" s="1"/>
  <c r="O9" i="2"/>
  <c r="G19" i="3" s="1"/>
  <c r="W9" i="2"/>
  <c r="O19" i="3" s="1"/>
  <c r="AE9" i="2"/>
  <c r="W19" i="3" s="1"/>
  <c r="Z9" i="2"/>
  <c r="R19" i="3" s="1"/>
  <c r="M9" i="2"/>
  <c r="E19" i="3" s="1"/>
  <c r="N9" i="2"/>
  <c r="F19" i="3" s="1"/>
  <c r="P9" i="2"/>
  <c r="H19" i="3" s="1"/>
  <c r="X9" i="2"/>
  <c r="P19" i="3" s="1"/>
  <c r="AF9" i="2"/>
  <c r="X19" i="3" s="1"/>
  <c r="R9" i="2"/>
  <c r="J19" i="3" s="1"/>
  <c r="AC9" i="2"/>
  <c r="U19" i="3" s="1"/>
  <c r="Q9" i="2"/>
  <c r="I19" i="3" s="1"/>
  <c r="Y9" i="2"/>
  <c r="Q19" i="3" s="1"/>
  <c r="AD9" i="2"/>
  <c r="V19" i="3" s="1"/>
  <c r="J9" i="2"/>
  <c r="S9" i="2"/>
  <c r="K19" i="3" s="1"/>
  <c r="AA9" i="2"/>
  <c r="S19" i="3" s="1"/>
  <c r="L9" i="2"/>
  <c r="D19" i="3" s="1"/>
  <c r="T9" i="2"/>
  <c r="L19" i="3" s="1"/>
  <c r="AB9" i="2"/>
  <c r="T19" i="3" s="1"/>
  <c r="U9" i="2"/>
  <c r="M19" i="3" s="1"/>
  <c r="K9" i="2"/>
  <c r="V9" i="2"/>
  <c r="N19" i="3" s="1"/>
  <c r="E17" i="2"/>
  <c r="F17" i="2" s="1"/>
  <c r="F7" i="2"/>
  <c r="E19" i="2" l="1"/>
  <c r="F19" i="2"/>
  <c r="C20" i="3"/>
  <c r="C23" i="6"/>
  <c r="C21" i="3"/>
  <c r="C24" i="6"/>
  <c r="B22" i="3"/>
  <c r="B25" i="6"/>
  <c r="B15" i="3"/>
  <c r="B19" i="6"/>
  <c r="B19" i="3"/>
  <c r="B22" i="6"/>
  <c r="C19" i="3"/>
  <c r="C22" i="6"/>
  <c r="B21" i="3"/>
  <c r="B24" i="6"/>
  <c r="C22" i="3"/>
  <c r="C25" i="6"/>
  <c r="B20" i="3"/>
  <c r="B23" i="6"/>
  <c r="C15" i="3"/>
  <c r="C19" i="6"/>
  <c r="P8" i="2"/>
  <c r="H18" i="3" s="1"/>
  <c r="M8" i="2"/>
  <c r="E18" i="3" s="1"/>
  <c r="AE8" i="2"/>
  <c r="W18" i="3" s="1"/>
  <c r="V8" i="2"/>
  <c r="N18" i="3" s="1"/>
  <c r="K8" i="2"/>
  <c r="T8" i="2"/>
  <c r="L18" i="3" s="1"/>
  <c r="AA8" i="2"/>
  <c r="S18" i="3" s="1"/>
  <c r="Z8" i="2"/>
  <c r="R18" i="3" s="1"/>
  <c r="J8" i="2"/>
  <c r="S8" i="2"/>
  <c r="K18" i="3" s="1"/>
  <c r="AC8" i="2"/>
  <c r="U18" i="3" s="1"/>
  <c r="Y8" i="2"/>
  <c r="Q18" i="3" s="1"/>
  <c r="AF8" i="2"/>
  <c r="X18" i="3" s="1"/>
  <c r="R8" i="2"/>
  <c r="J18" i="3" s="1"/>
  <c r="U8" i="2"/>
  <c r="M18" i="3" s="1"/>
  <c r="Q8" i="2"/>
  <c r="I18" i="3" s="1"/>
  <c r="X8" i="2"/>
  <c r="P18" i="3" s="1"/>
  <c r="AB8" i="2"/>
  <c r="T18" i="3" s="1"/>
  <c r="AD8" i="2"/>
  <c r="V18" i="3" s="1"/>
  <c r="W8" i="2"/>
  <c r="O18" i="3" s="1"/>
  <c r="L8" i="2"/>
  <c r="D18" i="3" s="1"/>
  <c r="N8" i="2"/>
  <c r="F18" i="3" s="1"/>
  <c r="N13" i="2"/>
  <c r="F23" i="3" s="1"/>
  <c r="V13" i="2"/>
  <c r="N23" i="3" s="1"/>
  <c r="AD13" i="2"/>
  <c r="V23" i="3" s="1"/>
  <c r="AC13" i="2"/>
  <c r="U23" i="3" s="1"/>
  <c r="O13" i="2"/>
  <c r="G23" i="3" s="1"/>
  <c r="W13" i="2"/>
  <c r="O23" i="3" s="1"/>
  <c r="AE13" i="2"/>
  <c r="W23" i="3" s="1"/>
  <c r="P13" i="2"/>
  <c r="H23" i="3" s="1"/>
  <c r="X13" i="2"/>
  <c r="P23" i="3" s="1"/>
  <c r="AF13" i="2"/>
  <c r="X23" i="3" s="1"/>
  <c r="K13" i="2"/>
  <c r="Z13" i="2"/>
  <c r="R23" i="3" s="1"/>
  <c r="Q13" i="2"/>
  <c r="I23" i="3" s="1"/>
  <c r="Y13" i="2"/>
  <c r="Q23" i="3" s="1"/>
  <c r="J13" i="2"/>
  <c r="AA13" i="2"/>
  <c r="S23" i="3" s="1"/>
  <c r="U13" i="2"/>
  <c r="M23" i="3" s="1"/>
  <c r="R13" i="2"/>
  <c r="J23" i="3" s="1"/>
  <c r="S13" i="2"/>
  <c r="K23" i="3" s="1"/>
  <c r="L13" i="2"/>
  <c r="D23" i="3" s="1"/>
  <c r="T13" i="2"/>
  <c r="L23" i="3" s="1"/>
  <c r="AB13" i="2"/>
  <c r="T23" i="3" s="1"/>
  <c r="M13" i="2"/>
  <c r="E23" i="3" s="1"/>
  <c r="O6" i="2"/>
  <c r="G16" i="3" s="1"/>
  <c r="W6" i="2"/>
  <c r="O16" i="3" s="1"/>
  <c r="AE6" i="2"/>
  <c r="W16" i="3" s="1"/>
  <c r="AB6" i="2"/>
  <c r="T16" i="3" s="1"/>
  <c r="N6" i="2"/>
  <c r="F16" i="3" s="1"/>
  <c r="P6" i="2"/>
  <c r="H16" i="3" s="1"/>
  <c r="X6" i="2"/>
  <c r="P16" i="3" s="1"/>
  <c r="AF6" i="2"/>
  <c r="X16" i="3" s="1"/>
  <c r="Y6" i="2"/>
  <c r="Q16" i="3" s="1"/>
  <c r="J6" i="2"/>
  <c r="B16" i="3" s="1"/>
  <c r="Q6" i="2"/>
  <c r="I16" i="3" s="1"/>
  <c r="V6" i="2"/>
  <c r="N16" i="3" s="1"/>
  <c r="R6" i="2"/>
  <c r="J16" i="3" s="1"/>
  <c r="Z6" i="2"/>
  <c r="R16" i="3" s="1"/>
  <c r="K6" i="2"/>
  <c r="C16" i="3" s="1"/>
  <c r="AA6" i="2"/>
  <c r="S16" i="3" s="1"/>
  <c r="T6" i="2"/>
  <c r="L16" i="3" s="1"/>
  <c r="S6" i="2"/>
  <c r="K16" i="3" s="1"/>
  <c r="L6" i="2"/>
  <c r="D16" i="3" s="1"/>
  <c r="M6" i="2"/>
  <c r="E16" i="3" s="1"/>
  <c r="U6" i="2"/>
  <c r="M16" i="3" s="1"/>
  <c r="AC6" i="2"/>
  <c r="U16" i="3" s="1"/>
  <c r="AD6" i="2"/>
  <c r="V16" i="3" s="1"/>
  <c r="C23" i="3" l="1"/>
  <c r="C26" i="6"/>
  <c r="B18" i="3"/>
  <c r="B21" i="6"/>
  <c r="B23" i="3"/>
  <c r="B26" i="6"/>
  <c r="C18" i="3"/>
  <c r="C21" i="6"/>
  <c r="F16" i="1"/>
  <c r="K18" i="1"/>
  <c r="J18" i="1"/>
  <c r="F20" i="1"/>
  <c r="I10" i="1"/>
  <c r="H9" i="1"/>
  <c r="H10" i="1"/>
  <c r="H11" i="1" l="1"/>
  <c r="B11" i="1" s="1"/>
  <c r="F11" i="1" s="1"/>
  <c r="P13" i="1"/>
  <c r="E12" i="3" s="1"/>
  <c r="X13" i="1"/>
  <c r="M12" i="3" s="1"/>
  <c r="AF13" i="1"/>
  <c r="U12" i="3" s="1"/>
  <c r="U13" i="1"/>
  <c r="J12" i="3" s="1"/>
  <c r="Q13" i="1"/>
  <c r="F12" i="3" s="1"/>
  <c r="Y13" i="1"/>
  <c r="N12" i="3" s="1"/>
  <c r="AG13" i="1"/>
  <c r="V12" i="3" s="1"/>
  <c r="AE13" i="1"/>
  <c r="T12" i="3" s="1"/>
  <c r="R13" i="1"/>
  <c r="G12" i="3" s="1"/>
  <c r="Z13" i="1"/>
  <c r="O12" i="3" s="1"/>
  <c r="AH13" i="1"/>
  <c r="W12" i="3" s="1"/>
  <c r="W13" i="1"/>
  <c r="L12" i="3" s="1"/>
  <c r="S13" i="1"/>
  <c r="H12" i="3" s="1"/>
  <c r="AA13" i="1"/>
  <c r="P12" i="3" s="1"/>
  <c r="AI13" i="1"/>
  <c r="X12" i="3" s="1"/>
  <c r="N13" i="1"/>
  <c r="T13" i="1"/>
  <c r="I12" i="3" s="1"/>
  <c r="AB13" i="1"/>
  <c r="Q12" i="3" s="1"/>
  <c r="O13" i="1"/>
  <c r="D12" i="3" s="1"/>
  <c r="M13" i="1"/>
  <c r="AC13" i="1"/>
  <c r="R12" i="3" s="1"/>
  <c r="V13" i="1"/>
  <c r="K12" i="3" s="1"/>
  <c r="AD13" i="1"/>
  <c r="S12" i="3" s="1"/>
  <c r="F17" i="1"/>
  <c r="P11" i="1"/>
  <c r="E10" i="3" s="1"/>
  <c r="X11" i="1"/>
  <c r="M10" i="3" s="1"/>
  <c r="AF11" i="1"/>
  <c r="U10" i="3" s="1"/>
  <c r="O11" i="1"/>
  <c r="D10" i="3" s="1"/>
  <c r="N11" i="1"/>
  <c r="Q11" i="1"/>
  <c r="F10" i="3" s="1"/>
  <c r="AG11" i="1"/>
  <c r="V10" i="3" s="1"/>
  <c r="M11" i="1"/>
  <c r="AE11" i="1"/>
  <c r="T10" i="3" s="1"/>
  <c r="Y11" i="1"/>
  <c r="N10" i="3" s="1"/>
  <c r="R11" i="1"/>
  <c r="G10" i="3" s="1"/>
  <c r="Z11" i="1"/>
  <c r="O10" i="3" s="1"/>
  <c r="AH11" i="1"/>
  <c r="W10" i="3" s="1"/>
  <c r="AA11" i="1"/>
  <c r="P10" i="3" s="1"/>
  <c r="AI11" i="1"/>
  <c r="X10" i="3" s="1"/>
  <c r="S11" i="1"/>
  <c r="H10" i="3" s="1"/>
  <c r="T11" i="1"/>
  <c r="I10" i="3" s="1"/>
  <c r="AB11" i="1"/>
  <c r="Q10" i="3" s="1"/>
  <c r="U11" i="1"/>
  <c r="J10" i="3" s="1"/>
  <c r="AC11" i="1"/>
  <c r="R10" i="3" s="1"/>
  <c r="AD11" i="1"/>
  <c r="S10" i="3" s="1"/>
  <c r="W11" i="1"/>
  <c r="L10" i="3" s="1"/>
  <c r="V11" i="1"/>
  <c r="K10" i="3" s="1"/>
  <c r="F30" i="1"/>
  <c r="C10" i="3" l="1"/>
  <c r="C9" i="6"/>
  <c r="B12" i="3"/>
  <c r="B11" i="6"/>
  <c r="B10" i="3"/>
  <c r="B9" i="6"/>
  <c r="C12" i="3"/>
  <c r="C11" i="6"/>
  <c r="B9" i="1"/>
  <c r="F9" i="1" s="1"/>
  <c r="Z7" i="1"/>
  <c r="O6" i="3" s="1"/>
  <c r="AA7" i="1"/>
  <c r="P6" i="3" s="1"/>
  <c r="X7" i="1"/>
  <c r="M6" i="3" s="1"/>
  <c r="W7" i="1"/>
  <c r="L6" i="3" s="1"/>
  <c r="F27" i="1"/>
  <c r="R7" i="1"/>
  <c r="G6" i="3" s="1"/>
  <c r="AB7" i="1"/>
  <c r="Q6" i="3" s="1"/>
  <c r="AH7" i="1"/>
  <c r="W6" i="3" s="1"/>
  <c r="AD7" i="1"/>
  <c r="S6" i="3" s="1"/>
  <c r="AC7" i="1"/>
  <c r="R6" i="3" s="1"/>
  <c r="N7" i="1"/>
  <c r="AI7" i="1"/>
  <c r="X6" i="3" s="1"/>
  <c r="M7" i="1"/>
  <c r="S7" i="1"/>
  <c r="H6" i="3" s="1"/>
  <c r="U7" i="1"/>
  <c r="J6" i="3" s="1"/>
  <c r="AG7" i="1"/>
  <c r="V6" i="3" s="1"/>
  <c r="AF7" i="1"/>
  <c r="U6" i="3" s="1"/>
  <c r="P7" i="1"/>
  <c r="E6" i="3" s="1"/>
  <c r="Y7" i="1"/>
  <c r="N6" i="3" s="1"/>
  <c r="O7" i="1"/>
  <c r="D6" i="3" s="1"/>
  <c r="V7" i="1"/>
  <c r="K6" i="3" s="1"/>
  <c r="Q7" i="1"/>
  <c r="F6" i="3" s="1"/>
  <c r="AE7" i="1"/>
  <c r="T6" i="3" s="1"/>
  <c r="T7" i="1"/>
  <c r="I6" i="3" s="1"/>
  <c r="B12" i="1"/>
  <c r="F12" i="1" s="1"/>
  <c r="P8" i="1" s="1"/>
  <c r="E7" i="3" s="1"/>
  <c r="P41" i="1"/>
  <c r="X41" i="1"/>
  <c r="AF41" i="1"/>
  <c r="Q41" i="1"/>
  <c r="Y41" i="1"/>
  <c r="AG41" i="1"/>
  <c r="N41" i="1"/>
  <c r="AE41" i="1"/>
  <c r="R41" i="1"/>
  <c r="Z41" i="1"/>
  <c r="AH41" i="1"/>
  <c r="M41" i="1"/>
  <c r="S41" i="1"/>
  <c r="AA41" i="1"/>
  <c r="AI41" i="1"/>
  <c r="T41" i="1"/>
  <c r="AB41" i="1"/>
  <c r="O41" i="1"/>
  <c r="U41" i="1"/>
  <c r="AC41" i="1"/>
  <c r="W41" i="1"/>
  <c r="V41" i="1"/>
  <c r="AD41" i="1"/>
  <c r="F18" i="1"/>
  <c r="F31" i="1" s="1"/>
  <c r="Y5" i="1" l="1"/>
  <c r="N4" i="3" s="1"/>
  <c r="AI8" i="1"/>
  <c r="X7" i="3" s="1"/>
  <c r="AG5" i="1"/>
  <c r="V4" i="3" s="1"/>
  <c r="C6" i="3"/>
  <c r="C6" i="6"/>
  <c r="B6" i="3"/>
  <c r="B6" i="6"/>
  <c r="Z5" i="1"/>
  <c r="AB5" i="1"/>
  <c r="R5" i="1"/>
  <c r="O5" i="1"/>
  <c r="U5" i="1"/>
  <c r="T5" i="1"/>
  <c r="AD5" i="1"/>
  <c r="F25" i="1"/>
  <c r="F10" i="1"/>
  <c r="AH6" i="1" s="1"/>
  <c r="W5" i="3" s="1"/>
  <c r="P5" i="1"/>
  <c r="AA5" i="1"/>
  <c r="N5" i="1"/>
  <c r="C4" i="6" s="1"/>
  <c r="V5" i="1"/>
  <c r="AE5" i="1"/>
  <c r="W5" i="1"/>
  <c r="M5" i="1"/>
  <c r="B4" i="6" s="1"/>
  <c r="AI5" i="1"/>
  <c r="S5" i="1"/>
  <c r="X5" i="1"/>
  <c r="AH5" i="1"/>
  <c r="AF5" i="1"/>
  <c r="Q5" i="1"/>
  <c r="AC5" i="1"/>
  <c r="F13" i="1"/>
  <c r="Y9" i="1" s="1"/>
  <c r="N8" i="3" s="1"/>
  <c r="R8" i="1"/>
  <c r="G7" i="3" s="1"/>
  <c r="AH8" i="1"/>
  <c r="W7" i="3" s="1"/>
  <c r="O8" i="1"/>
  <c r="D7" i="3" s="1"/>
  <c r="Q8" i="1"/>
  <c r="F7" i="3" s="1"/>
  <c r="T8" i="1"/>
  <c r="I7" i="3" s="1"/>
  <c r="AD8" i="1"/>
  <c r="S7" i="3" s="1"/>
  <c r="S8" i="1"/>
  <c r="H7" i="3" s="1"/>
  <c r="X8" i="1"/>
  <c r="M7" i="3" s="1"/>
  <c r="U8" i="1"/>
  <c r="J7" i="3" s="1"/>
  <c r="Y8" i="1"/>
  <c r="N7" i="3" s="1"/>
  <c r="AG8" i="1"/>
  <c r="V7" i="3" s="1"/>
  <c r="M8" i="1"/>
  <c r="W8" i="1"/>
  <c r="L7" i="3" s="1"/>
  <c r="AF8" i="1"/>
  <c r="U7" i="3" s="1"/>
  <c r="Z8" i="1"/>
  <c r="O7" i="3" s="1"/>
  <c r="N8" i="1"/>
  <c r="AC8" i="1"/>
  <c r="R7" i="3" s="1"/>
  <c r="V8" i="1"/>
  <c r="K7" i="3" s="1"/>
  <c r="AA8" i="1"/>
  <c r="P7" i="3" s="1"/>
  <c r="F28" i="1"/>
  <c r="AE8" i="1"/>
  <c r="T7" i="3" s="1"/>
  <c r="AB8" i="1"/>
  <c r="Q7" i="3" s="1"/>
  <c r="N6" i="1"/>
  <c r="W9" i="1"/>
  <c r="L8" i="3" s="1"/>
  <c r="T42" i="1"/>
  <c r="AB42" i="1"/>
  <c r="M42" i="1"/>
  <c r="U42" i="1"/>
  <c r="AC42" i="1"/>
  <c r="W42" i="1"/>
  <c r="AI42" i="1"/>
  <c r="V42" i="1"/>
  <c r="AD42" i="1"/>
  <c r="AE42" i="1"/>
  <c r="AA42" i="1"/>
  <c r="P42" i="1"/>
  <c r="X42" i="1"/>
  <c r="AF42" i="1"/>
  <c r="Q42" i="1"/>
  <c r="Y42" i="1"/>
  <c r="AG42" i="1"/>
  <c r="O42" i="1"/>
  <c r="Z42" i="1"/>
  <c r="N42" i="1"/>
  <c r="AH42" i="1"/>
  <c r="R42" i="1"/>
  <c r="S42" i="1"/>
  <c r="X6" i="1" l="1"/>
  <c r="M5" i="3" s="1"/>
  <c r="C5" i="3"/>
  <c r="C5" i="6"/>
  <c r="B7" i="3"/>
  <c r="B7" i="6"/>
  <c r="C7" i="3"/>
  <c r="C7" i="6"/>
  <c r="D4" i="3"/>
  <c r="M4" i="3"/>
  <c r="Q4" i="3"/>
  <c r="X4" i="3"/>
  <c r="B4" i="3"/>
  <c r="W4" i="3"/>
  <c r="P4" i="3"/>
  <c r="H4" i="3"/>
  <c r="R4" i="3"/>
  <c r="L4" i="3"/>
  <c r="S4" i="3"/>
  <c r="O4" i="3"/>
  <c r="F4" i="3"/>
  <c r="T4" i="3"/>
  <c r="I4" i="3"/>
  <c r="C4" i="3"/>
  <c r="G4" i="3"/>
  <c r="E4" i="3"/>
  <c r="U4" i="3"/>
  <c r="K4" i="3"/>
  <c r="J4" i="3"/>
  <c r="X9" i="1"/>
  <c r="M8" i="3" s="1"/>
  <c r="U6" i="1"/>
  <c r="J5" i="3" s="1"/>
  <c r="AI6" i="1"/>
  <c r="X5" i="3" s="1"/>
  <c r="AD6" i="1"/>
  <c r="S5" i="3" s="1"/>
  <c r="Z9" i="1"/>
  <c r="O8" i="3" s="1"/>
  <c r="W6" i="1"/>
  <c r="L5" i="3" s="1"/>
  <c r="V6" i="1"/>
  <c r="K5" i="3" s="1"/>
  <c r="T6" i="1"/>
  <c r="I5" i="3" s="1"/>
  <c r="AA6" i="1"/>
  <c r="P5" i="3" s="1"/>
  <c r="Q6" i="1"/>
  <c r="F5" i="3" s="1"/>
  <c r="Z6" i="1"/>
  <c r="O5" i="3" s="1"/>
  <c r="P9" i="1"/>
  <c r="E8" i="3" s="1"/>
  <c r="AG6" i="1"/>
  <c r="AC6" i="1"/>
  <c r="R5" i="3" s="1"/>
  <c r="P6" i="1"/>
  <c r="E5" i="3" s="1"/>
  <c r="AF9" i="1"/>
  <c r="U8" i="3" s="1"/>
  <c r="S6" i="1"/>
  <c r="H5" i="3" s="1"/>
  <c r="AF6" i="1"/>
  <c r="U5" i="3" s="1"/>
  <c r="AE6" i="1"/>
  <c r="T5" i="3" s="1"/>
  <c r="R6" i="1"/>
  <c r="G5" i="3" s="1"/>
  <c r="AB6" i="1"/>
  <c r="Q5" i="3" s="1"/>
  <c r="Y6" i="1"/>
  <c r="O9" i="1"/>
  <c r="D8" i="3" s="1"/>
  <c r="M6" i="1"/>
  <c r="F26" i="1"/>
  <c r="R19" i="1" s="1"/>
  <c r="O6" i="1"/>
  <c r="D5" i="3" s="1"/>
  <c r="AB12" i="1"/>
  <c r="Q11" i="3" s="1"/>
  <c r="AG12" i="1"/>
  <c r="V11" i="3" s="1"/>
  <c r="S9" i="1"/>
  <c r="H8" i="3" s="1"/>
  <c r="T9" i="1"/>
  <c r="I8" i="3" s="1"/>
  <c r="Q12" i="1"/>
  <c r="F11" i="3" s="1"/>
  <c r="U9" i="1"/>
  <c r="J8" i="3" s="1"/>
  <c r="AH9" i="1"/>
  <c r="W8" i="3" s="1"/>
  <c r="M9" i="1"/>
  <c r="AF12" i="1"/>
  <c r="U11" i="3" s="1"/>
  <c r="AG9" i="1"/>
  <c r="V8" i="3" s="1"/>
  <c r="AD9" i="1"/>
  <c r="S8" i="3" s="1"/>
  <c r="Q9" i="1"/>
  <c r="F8" i="3" s="1"/>
  <c r="V9" i="1"/>
  <c r="K8" i="3" s="1"/>
  <c r="AC9" i="1"/>
  <c r="R8" i="3" s="1"/>
  <c r="AE9" i="1"/>
  <c r="T8" i="3" s="1"/>
  <c r="R9" i="1"/>
  <c r="G8" i="3" s="1"/>
  <c r="N9" i="1"/>
  <c r="AI12" i="1"/>
  <c r="X11" i="3" s="1"/>
  <c r="O12" i="1"/>
  <c r="D11" i="3" s="1"/>
  <c r="AA12" i="1"/>
  <c r="P11" i="3" s="1"/>
  <c r="AD12" i="1"/>
  <c r="S11" i="3" s="1"/>
  <c r="S12" i="1"/>
  <c r="H11" i="3" s="1"/>
  <c r="M12" i="1"/>
  <c r="U12" i="1"/>
  <c r="J11" i="3" s="1"/>
  <c r="V12" i="1"/>
  <c r="K11" i="3" s="1"/>
  <c r="AE12" i="1"/>
  <c r="T11" i="3" s="1"/>
  <c r="P12" i="1"/>
  <c r="E11" i="3" s="1"/>
  <c r="AH12" i="1"/>
  <c r="W11" i="3" s="1"/>
  <c r="AC12" i="1"/>
  <c r="R11" i="3" s="1"/>
  <c r="AI9" i="1"/>
  <c r="X8" i="3" s="1"/>
  <c r="X12" i="1"/>
  <c r="M11" i="3" s="1"/>
  <c r="N12" i="1"/>
  <c r="T12" i="1"/>
  <c r="I11" i="3" s="1"/>
  <c r="R12" i="1"/>
  <c r="G11" i="3" s="1"/>
  <c r="W12" i="1"/>
  <c r="L11" i="3" s="1"/>
  <c r="Y12" i="1"/>
  <c r="N11" i="3" s="1"/>
  <c r="AA9" i="1"/>
  <c r="P8" i="3" s="1"/>
  <c r="AB9" i="1"/>
  <c r="Q8" i="3" s="1"/>
  <c r="F29" i="1"/>
  <c r="Z12" i="1"/>
  <c r="O11" i="3" s="1"/>
  <c r="X19" i="1"/>
  <c r="AF19" i="1" l="1"/>
  <c r="S19" i="1"/>
  <c r="F35" i="1"/>
  <c r="M33" i="1" s="1"/>
  <c r="B26" i="3" s="1"/>
  <c r="AB19" i="1"/>
  <c r="AI19" i="1"/>
  <c r="C11" i="3"/>
  <c r="C10" i="6"/>
  <c r="B8" i="3"/>
  <c r="B8" i="6"/>
  <c r="B11" i="3"/>
  <c r="B10" i="6"/>
  <c r="B5" i="3"/>
  <c r="B5" i="6"/>
  <c r="C8" i="3"/>
  <c r="C8" i="6"/>
  <c r="N5" i="3"/>
  <c r="V5" i="3"/>
  <c r="AE19" i="1"/>
  <c r="M19" i="1"/>
  <c r="T19" i="1"/>
  <c r="Z19" i="1"/>
  <c r="Z16" i="1" s="1"/>
  <c r="W19" i="1"/>
  <c r="AC19" i="1"/>
  <c r="P19" i="1"/>
  <c r="AA19" i="1"/>
  <c r="AD19" i="1"/>
  <c r="N19" i="1"/>
  <c r="Q19" i="1"/>
  <c r="V19" i="1"/>
  <c r="V16" i="1" s="1"/>
  <c r="AH19" i="1"/>
  <c r="AG19" i="1"/>
  <c r="Y19" i="1"/>
  <c r="U19" i="1"/>
  <c r="O19" i="1"/>
  <c r="O22" i="1"/>
  <c r="P22" i="1"/>
  <c r="M22" i="1"/>
  <c r="Z22" i="1"/>
  <c r="AE22" i="1"/>
  <c r="AB22" i="1"/>
  <c r="T22" i="1"/>
  <c r="AI22" i="1"/>
  <c r="W22" i="1"/>
  <c r="AC22" i="1"/>
  <c r="X22" i="1"/>
  <c r="R22" i="1"/>
  <c r="Q22" i="1"/>
  <c r="AA22" i="1"/>
  <c r="V22" i="1"/>
  <c r="S22" i="1"/>
  <c r="AH22" i="1"/>
  <c r="Y22" i="1"/>
  <c r="AD22" i="1"/>
  <c r="AG22" i="1"/>
  <c r="U22" i="1"/>
  <c r="N22" i="1"/>
  <c r="AF22" i="1"/>
  <c r="T33" i="1" l="1"/>
  <c r="I26" i="3" s="1"/>
  <c r="AH33" i="1"/>
  <c r="W26" i="3" s="1"/>
  <c r="S33" i="1"/>
  <c r="H26" i="3" s="1"/>
  <c r="O33" i="1"/>
  <c r="D26" i="3" s="1"/>
  <c r="AD33" i="1"/>
  <c r="S26" i="3" s="1"/>
  <c r="W33" i="1"/>
  <c r="L26" i="3" s="1"/>
  <c r="AF33" i="1"/>
  <c r="U26" i="3" s="1"/>
  <c r="V33" i="1"/>
  <c r="K26" i="3" s="1"/>
  <c r="X33" i="1"/>
  <c r="M26" i="3" s="1"/>
  <c r="AC33" i="1"/>
  <c r="R26" i="3" s="1"/>
  <c r="Q33" i="1"/>
  <c r="F26" i="3" s="1"/>
  <c r="Q16" i="1"/>
  <c r="Q28" i="1" s="1"/>
  <c r="T16" i="1"/>
  <c r="AI16" i="1"/>
  <c r="N16" i="1"/>
  <c r="M16" i="1"/>
  <c r="AB16" i="1"/>
  <c r="AB28" i="1" s="1"/>
  <c r="AE16" i="1"/>
  <c r="AE28" i="1" s="1"/>
  <c r="U16" i="1"/>
  <c r="U28" i="1" s="1"/>
  <c r="AA16" i="1"/>
  <c r="AA28" i="1" s="1"/>
  <c r="S16" i="1"/>
  <c r="S28" i="1" s="1"/>
  <c r="Y16" i="1"/>
  <c r="Y28" i="1" s="1"/>
  <c r="P16" i="1"/>
  <c r="P28" i="1" s="1"/>
  <c r="AF16" i="1"/>
  <c r="AF28" i="1" s="1"/>
  <c r="O16" i="1"/>
  <c r="O28" i="1" s="1"/>
  <c r="AG16" i="1"/>
  <c r="AG28" i="1" s="1"/>
  <c r="AC16" i="1"/>
  <c r="AC28" i="1" s="1"/>
  <c r="X16" i="1"/>
  <c r="X28" i="1" s="1"/>
  <c r="AD16" i="1"/>
  <c r="AH16" i="1"/>
  <c r="AH28" i="1" s="1"/>
  <c r="W16" i="1"/>
  <c r="R16" i="1"/>
  <c r="R28" i="1" s="1"/>
  <c r="AI28" i="1"/>
  <c r="AB33" i="1"/>
  <c r="Q26" i="3" s="1"/>
  <c r="AG33" i="1"/>
  <c r="V26" i="3" s="1"/>
  <c r="Y33" i="1"/>
  <c r="N26" i="3" s="1"/>
  <c r="AE33" i="1"/>
  <c r="T26" i="3" s="1"/>
  <c r="AI33" i="1"/>
  <c r="X26" i="3" s="1"/>
  <c r="R33" i="1"/>
  <c r="G26" i="3" s="1"/>
  <c r="U33" i="1"/>
  <c r="J26" i="3" s="1"/>
  <c r="Z33" i="1"/>
  <c r="O26" i="3" s="1"/>
  <c r="N33" i="1"/>
  <c r="C26" i="3" s="1"/>
  <c r="P33" i="1"/>
  <c r="E26" i="3" s="1"/>
  <c r="AA33" i="1"/>
  <c r="P26" i="3" s="1"/>
  <c r="V28" i="1"/>
  <c r="W28" i="1"/>
  <c r="Z28" i="1"/>
  <c r="T28" i="1"/>
  <c r="Q24" i="3"/>
  <c r="N28" i="1"/>
  <c r="X24" i="3"/>
  <c r="X28" i="3" s="1"/>
  <c r="AD28" i="1"/>
  <c r="T24" i="3"/>
  <c r="G24" i="3"/>
  <c r="H24" i="3"/>
  <c r="H28" i="3" s="1"/>
  <c r="U24" i="3"/>
  <c r="U28" i="3" s="1"/>
  <c r="V24" i="3" l="1"/>
  <c r="V28" i="3" s="1"/>
  <c r="P24" i="3"/>
  <c r="P28" i="3" s="1"/>
  <c r="M24" i="3"/>
  <c r="M28" i="3" s="1"/>
  <c r="T28" i="3"/>
  <c r="N24" i="3"/>
  <c r="N28" i="3" s="1"/>
  <c r="Q28" i="3"/>
  <c r="K24" i="3"/>
  <c r="K28" i="3" s="1"/>
  <c r="J24" i="3"/>
  <c r="J28" i="3" s="1"/>
  <c r="G28" i="3"/>
  <c r="R24" i="3"/>
  <c r="R28" i="3" s="1"/>
  <c r="W24" i="3"/>
  <c r="W28" i="3" s="1"/>
  <c r="F24" i="3"/>
  <c r="F28" i="3" s="1"/>
  <c r="I24" i="3"/>
  <c r="I28" i="3" s="1"/>
  <c r="E24" i="3"/>
  <c r="E28" i="3" s="1"/>
  <c r="L24" i="3"/>
  <c r="L28" i="3" s="1"/>
  <c r="B24" i="3"/>
  <c r="B28" i="3" s="1"/>
  <c r="B12" i="4" s="1"/>
  <c r="M28" i="1"/>
  <c r="C24" i="3"/>
  <c r="C28" i="3" s="1"/>
  <c r="C12" i="4" s="1"/>
  <c r="O24" i="3"/>
  <c r="O28" i="3" s="1"/>
  <c r="D24" i="3"/>
  <c r="D28" i="3" s="1"/>
  <c r="S24" i="3"/>
  <c r="S28" i="3" s="1"/>
</calcChain>
</file>

<file path=xl/sharedStrings.xml><?xml version="1.0" encoding="utf-8"?>
<sst xmlns="http://schemas.openxmlformats.org/spreadsheetml/2006/main" count="249" uniqueCount="130">
  <si>
    <t>80% active area</t>
  </si>
  <si>
    <t>thickness (nm)</t>
  </si>
  <si>
    <t>area (m2)</t>
  </si>
  <si>
    <t>density (kg/m3)</t>
  </si>
  <si>
    <t>utilization efficiency</t>
  </si>
  <si>
    <t>mass (kg)</t>
  </si>
  <si>
    <t>Substrate</t>
  </si>
  <si>
    <t>ITO glass</t>
  </si>
  <si>
    <t>HTL deposition</t>
  </si>
  <si>
    <t>PL deposition</t>
  </si>
  <si>
    <t>PbI2</t>
  </si>
  <si>
    <t>MAI</t>
  </si>
  <si>
    <t>MACl</t>
  </si>
  <si>
    <t>ETL deposition</t>
  </si>
  <si>
    <t>PCBM</t>
  </si>
  <si>
    <t>AZO</t>
  </si>
  <si>
    <t>Electrode deposition</t>
  </si>
  <si>
    <t>ITO</t>
  </si>
  <si>
    <t>-</t>
  </si>
  <si>
    <t>substrate</t>
  </si>
  <si>
    <t>DMF</t>
  </si>
  <si>
    <t>Ethanol</t>
  </si>
  <si>
    <t>sputtering</t>
  </si>
  <si>
    <t>spin-coating</t>
  </si>
  <si>
    <t>Direct emissions</t>
  </si>
  <si>
    <t>Al2O3</t>
  </si>
  <si>
    <t>ZnO</t>
  </si>
  <si>
    <t>Power (W)</t>
  </si>
  <si>
    <t>Time (s)</t>
  </si>
  <si>
    <t>Electricity consumption (MJ)</t>
  </si>
  <si>
    <t>Perovskite layer deposition</t>
  </si>
  <si>
    <t>Sputtering</t>
  </si>
  <si>
    <t>Total</t>
  </si>
  <si>
    <t>Substrate cleaning</t>
  </si>
  <si>
    <t>UV/O3 cleaning</t>
  </si>
  <si>
    <t>PbI2 spin coating</t>
  </si>
  <si>
    <t>MAI/MACl spin coating</t>
  </si>
  <si>
    <t>MACl treatment</t>
  </si>
  <si>
    <t>AZO layer spin coating</t>
  </si>
  <si>
    <t xml:space="preserve">ReCiPe Midpoint (E) </t>
  </si>
  <si>
    <t>ReCiPe Endpoint (E,A)</t>
  </si>
  <si>
    <t>agricultural land occupation</t>
  </si>
  <si>
    <t>climate change</t>
  </si>
  <si>
    <t>fossil depletion</t>
  </si>
  <si>
    <t>freshwater ecotoxicity</t>
  </si>
  <si>
    <t>freshwater eutrophication</t>
  </si>
  <si>
    <t>human toxicity</t>
  </si>
  <si>
    <t>ionising radiation</t>
  </si>
  <si>
    <t>marine ecotoxicity</t>
  </si>
  <si>
    <t>marine eutrophication</t>
  </si>
  <si>
    <t>metal depletion</t>
  </si>
  <si>
    <t>natural land transformation</t>
  </si>
  <si>
    <t>ozone depletion</t>
  </si>
  <si>
    <t>particulate matter formation</t>
  </si>
  <si>
    <t>photochemical oxidant formation</t>
  </si>
  <si>
    <t>terrestrial acidification</t>
  </si>
  <si>
    <t>terrestrial ecotoxicity</t>
  </si>
  <si>
    <t>urban land occupation</t>
  </si>
  <si>
    <t>water depletion</t>
  </si>
  <si>
    <t>ecosystem quality</t>
  </si>
  <si>
    <t>human health</t>
  </si>
  <si>
    <t>resources</t>
  </si>
  <si>
    <t>Mass of module</t>
  </si>
  <si>
    <t>Landfill</t>
  </si>
  <si>
    <t>End of life</t>
  </si>
  <si>
    <r>
      <t>UV/O</t>
    </r>
    <r>
      <rPr>
        <sz val="11"/>
        <color rgb="FFFF0000"/>
        <rFont val="Times New Roman"/>
        <family val="1"/>
      </rPr>
      <t>₃</t>
    </r>
    <r>
      <rPr>
        <sz val="11"/>
        <color rgb="FFFF0000"/>
        <rFont val="Calibri"/>
        <family val="2"/>
        <scheme val="minor"/>
      </rPr>
      <t xml:space="preserve"> cleaning</t>
    </r>
  </si>
  <si>
    <r>
      <t>PbI</t>
    </r>
    <r>
      <rPr>
        <sz val="11"/>
        <color rgb="FFFF0000"/>
        <rFont val="Times New Roman"/>
        <family val="1"/>
      </rPr>
      <t>₂</t>
    </r>
  </si>
  <si>
    <r>
      <t>Al</t>
    </r>
    <r>
      <rPr>
        <sz val="11"/>
        <color rgb="FFFF0000"/>
        <rFont val="Times New Roman"/>
        <family val="1"/>
      </rPr>
      <t>₂</t>
    </r>
    <r>
      <rPr>
        <sz val="11"/>
        <color rgb="FFFF0000"/>
        <rFont val="Calibri"/>
        <family val="2"/>
        <scheme val="minor"/>
      </rPr>
      <t>O</t>
    </r>
    <r>
      <rPr>
        <sz val="11"/>
        <color rgb="FFFF0000"/>
        <rFont val="Times New Roman"/>
        <family val="1"/>
      </rPr>
      <t>₃</t>
    </r>
  </si>
  <si>
    <t>carbon footprint</t>
  </si>
  <si>
    <t>primary energy consumption</t>
  </si>
  <si>
    <t>Ni</t>
  </si>
  <si>
    <t>PCBM spin coating</t>
  </si>
  <si>
    <t>item</t>
  </si>
  <si>
    <t>unit</t>
  </si>
  <si>
    <t>module 4</t>
  </si>
  <si>
    <t>EPBT</t>
  </si>
  <si>
    <t>GHG emission factor</t>
  </si>
  <si>
    <t>Insolation</t>
  </si>
  <si>
    <t>kWh/m2/yr</t>
  </si>
  <si>
    <t>performance ratio</t>
  </si>
  <si>
    <t>module efficiency</t>
  </si>
  <si>
    <t>Primary energy consumption</t>
  </si>
  <si>
    <t>Carbon footprint</t>
  </si>
  <si>
    <t>epsilon</t>
  </si>
  <si>
    <t>MJ/kWh</t>
  </si>
  <si>
    <t>Performance ratio</t>
  </si>
  <si>
    <t>Lifetime</t>
  </si>
  <si>
    <t>lifetime</t>
  </si>
  <si>
    <t>yr</t>
  </si>
  <si>
    <t>MJ/m2</t>
  </si>
  <si>
    <t>CO2</t>
  </si>
  <si>
    <t>CO2 emission factor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</si>
  <si>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</si>
  <si>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</si>
  <si>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</si>
  <si>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</si>
  <si>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</si>
  <si>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</si>
  <si>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</si>
  <si>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</si>
  <si>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</si>
  <si>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</si>
  <si>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</si>
  <si>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</si>
  <si>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7ec3dce2-f7e9-4a96-a391-3a0369f7e605</t>
  </si>
  <si>
    <t>CB_Block_7.0.0.0:1</t>
  </si>
  <si>
    <t>Decisioneering:7.0.0.0</t>
  </si>
  <si>
    <t>CB_Block_0</t>
  </si>
  <si>
    <t>㜸〱敤㕣㕢㡣㈴㔵ㄹ敥慡敥敡改敡㤹搹ㄹ㜶㤶换㉥〸愳㠸〸戳づ㍢ぢ㉢愰慥敢㕣搸ぢ捣敥っ㍢戳ぢ〴㐹㙦㑤昷愹㤹㘲扢慡㠶慡敡搹ㄹ㈴ㄱㄵ㈵摥㠵㜸㠹㡡㐲㠸㈱昱挵摢㠳㡡昰㘲㘲愲㌱㑢㘲㈲㍥㤸昸㠰㠴攸㠳挶㙣攲㠳㍣㤰攸昷㥤慡敡慥敥㥥慥ㄹㅡ搰挱捣㔹晡捣愹㜳慢㜳晥晢昹晦㔳㘴㤴㑣㈶昳㙦㈴晥㘵捡戱㜰挵摣㥡ㅦ〸㝢㜴搲慤㔶㐵㌹戰㕣挷ㅦㅤ昷㍣㘳㙤摡昲㠳㉣㍡攴㑢ㄶ摡㝤慤攴㕢て㡡㐲㘹㐵㜸㍥㍡㘹㤹㑣愱愰慢㘸攷㈴晣つ挶て㍡㐷昵攵㤰捤㑦㑥捣㉣摣㡦㔹攷〲搷ㄳ㝢㠷㑦㠷㘳て㡥㡤㡤㡥㡤摥㜴昳搸晢㐷昷敤ㅤ㥥慣㔵㠳㥡㈷づ㍡愲ㄶ㜸㐶㜵敦昰㙣㙤愱㙡㤵敦㄰㙢昳敥㔹攱ㅣㄴぢ晢㙥㕣㌰㙥扡㘵散愶〳〷捣㕢㙦扤愵て慦捥㥣㤸㥣㤸昵㠴改扦㐹㜳㙡㕣昲㑤㔳愲㙣㜱㙦㐲㜸㤶戳㌸㍡㌹㠱晦ㄲ敢挷搳捤愳㜳㑢㐲〴㝣戵昰㠴㔳ㄶ扥㡥㠱扤昶戸敦搷散㘵〲㑦户て㘳慢㘵挳て㌴㝢㔲㔴慢扡ㅤ捦㕡戰㘷〰扢慡戱搶㘷捦〹挷户〲㙢挵ち搶昲昶㍣㈶慡昴摢愷㝣㜱搲㜰ㄶ挵〹挳ㄶ㥡㝤愴㘶㔵㜲㘱捡㘴慦㡤愷㐸㉥㑣㙥㝦㜴摣户㈷㤷っ㑦慥挸㈷㘰㔲晡ㅥ昶捡捤㝤慦敥㍣㉦㤷㉥摦挰㌹慦改摣て㉤愷つ慦摥㜳愴㜳捦㘸昳捤㉢戸愱㜳晦〴㡣㥡挷㕣搷㜹㡣〴㘵㜳㙦愵㌷愲㙦〹㔱㙣㐶捦㌳敢㘱㔶㘰㐶〴敡㐵㘶扤捣晡㤰㈹戹㝦㠲㑢㤲〳搹愴㤶っ戵戴愰㤶捡㙡愹愲㤶㠴㕡㌲搵搲愲㕡㕡㔲㑢㤶㕡扡㕦㉤㥤㐵㥦㌸ㄵ㝡㝡搴㈸晤攴ぢ挷㕦㌹晦晢慦㑥㝦攲搱攷晥昵愰昶搸挷晡㜶愰搳㥤搱愲愶㍣攳ㅣ㐸慤㐱挵晢㐷昷昱摦挶㕣〱愶㌰て㤸㌷㥢㘳㘳㤵〳晢㡣ㅢつ㡤摢㑡㐱㝥ㄳ愱っ愲㙦㥦㜹㤷攵㔴摣㜳ㄲ㜷㔷㑣ㄸ扥㘸〰㙥㈴㙡㥢㜰㙢㑥挵扦㝣晤挶戹挰〸挴㥥搶戶挶㈴㙤挳收挰㔶挲㤷敦扢戲㜵搸㘹愳㕡ㄳ攳慢㔶搸晣㡥㤶㘶㝢搶㜳ㄷ㍡户ㅥ昶挴〳昵搶戶ㄵ㡤㐳愸慤挸戹摢㜶ㄹ㌶㠵敢ㅡ㥥㕣㜲㝤攱挸攵㡤搸戳㔶昹慣昰收〴㐵愲愸挸慤㕥捣愶㠸敢㐷㘶ㅣ㙣ㄴ摣㕡㜹㔷戲搶扣㙤㌵〰㌳㡢ち搶扢㉣扣㘰㙤摥㔸愸㡡㑢㥡扡㠴敦㐴挳敥愶敡挳㙥戹收㑦扡㑥攰戹搵收㤶昱捡㡡〱㐹㔳㌹敥㔶㐴㉥㤷㤱㐲〱〲㌷㥢㔵㤴捣昵㥤㜹㐱㈲㈲㠱㘲㌲昲㘵捤㘴㌷㝡ㄲ扢挳㉥慡㠲㌴愹扥㝢㠳挹戸㕥㈹㘳㔲㌸㌰戱㈷敡て扥昴扤ㅢ㑣㕢挷摣㕢摢㔹㔵㠷愲摤摦戶㈲㥣攰愸攱㔴慡挲㑢搵㝥ち㔷愴て㈰搳㉥㐰㈰㜴㠴ㅥ㔵㥤戲慡慣㘹攷慣㑡戰㤴㕦ㄲ搶攲㔲㠰㍡㘸挸㐲㠱愰㙤㑢晡㐵愸搲㜷㌲ㅢ㐲㔶㉣㘶昲扢搸㈹㕦㐴捡㘸㤴㑥㈹扣摣㈴挸㌹慥㠹㤷晢捣挳㔶㌵㄰愱㔰ㅥ㌰㠱㤱㔰慢㐹昴昵㤳㐴㍤愳ㅣ㉡㡣㕤收㈴愸搴戰㥣㘰慤挱户㙤㕣ㄲㄲ搱戶㉣搸㜲戲㠰愲愰㔹ㅥ愴昰ㅡ㠸愶㐵ㅡ愴㜷㑥㄰ㄱ搹㈰㐵戳㘳收㘶㈲㘳晦ㄴㄹ㠱晥㐹㈲㘴敦㝤㥤㘵〴㠹扤㥤㐸㌹愸㈳㍦㙥㑢戳昵㙣昹㔰㥡㕤っ挰改㤷㌰扢㤴搹㘵捣㜶㈳㔳晥〲〹㐷㈹㠷㜲㜳搲㉦挷戳㝥〵戳㜷㈰㠳㝣搲㈹㜳㈲㔱㐵ㅢ㙡㌳㜶㈴晢昵挳㑥㤶㐶㜱㈸㡡㘸ㄹ搷敤捣㝥㕢㈲㍡戲㍡户㠶慥捤㐹ㅤ晢㥥捥戴㤹摣づ㈹㌲愵㙢㜲慦ㅢ㜴㑤〲㠲㕤扢搴㕢㔷㘱愸㍥捣散㥤挸㡡晡扢㤸㐳戹搰攰摤㥣㐵㑦㤳昲㙤㘱ㄶ㠵挶㔰㤷ち㍥㈲㘴ㅥ〱㔲㠴㕣摢昱㘵摢㠶愶㌹㌸㘲扥敤㙤攸扤㥤昹㍢㐲㝡㡢摥摣搶㍢昴ㄷ扤㑥㉢晡㙡戰㤷昲愷㡥㍡收ㅡ㌴敢敦㘱㜶㉤戲ㄶㅤ挳搳昷敢昵ㄴ㐸戳搸㑥㘰㙥㈷扤㉥搲捡㥤㕦㕢ㄶ㔲〳昵㤹昳㠶户㈸〲㜸㌰㡥㑤挱ㄶ㜶㍤㑦㔴㜱愸慤挸ち㥥㕦㉥㙤慥昴て㝢慥捤晡㙤ㅢ搹㝦㕢㈸㠶㕣㑥捤㘶㕡㙣攴ㄴ㕢㌳攱㜳㑡㔰づ㜵昰㡤㥤㠵㐴㘲㔰㌳㜹㜱㕣晡昹㜲㕢㤲㜴㈱㐹慥〳㔸昵敢㤱㐱㑡㈸㝦攸㈸㔱昶戲摢晢㘴户㘶㡢㤵ㅥ扥㤴搳㐹㡢て戱㑤㡥昴㠶づ摢〹昸て晣㝥㝢捥戲敢挲愲搷㥥ㄵ㕥ㄹ扥〵慢㉡㡡愱㕢㤶愲㘶㕢㔶扣㑤㘴㐵㌶摢㜶㥥㑥昱慦㐹㍡㘹㤱ㄲ愹摣㥥摡㤸㜲ㄶ㙦㄰ㄵ摤㤰ㄴ㉡㈹慥愱扡〴㈲攵戱敦戶㠸改㐲挴摣〰挰改晢㤸㡤㌱摢㡦㑣㝢〱㤲㘶戳㠰㘷㌸慣㘷㠵㉥敤㔲㈹㔳㈰ㅡ愴㡢昰㝣㐷㘱㜵㠰慦㜹㍦戳㥢㤱戵㤸㍦㜴㐰愶㄰愲㐴㜹㠲㄰㘵ㄸ挳㍣㙤㠹㜳愴㠱ㅤ㈶〲㑢㤳㌵㍦㜰㙤㐶㤶晡捤㈹昷㠴ㅢ㑣㔹晥㌲㈲㔱㐳㘶㔴戸㙢㐹㌸愰㉥て戶㑦㑢㥤扢扣㉣㉡扡㌹攷搶㈰摡㡥㑤㙤㠵㠳㌹挰〱㕢㔲㥥捤㔵〵愹扢昳㌱愶㔰〰㘹改㙦愵㌷㜶㔳摥㙦ㅥ晡〶ㅡ㄰㥤户㠲慡攸㌵㐳愶㘳戹㘰〲㡡㠸ㅣ㔴㝡捣昹㈵㑦㠸愹㝥昳㠸㘷㔵慡㤶㈳㠸っ搸㤸っ搶㑤㡢㐵㐴〹㘶㕤挶〰㕤愷摦㥣昷っ挷㕦㌶ㄸ㔰㕣摢搹昴㈴挳㈲㥡㌹㘱㌹㍥㕥㈳戱挸昲㠰㌹户攴㥥㐳挴戶㘶㍢㐷㡣㘵㝦㑢㘰㠵㐴ㅦ㈶㠹ㅡ㐵㔵㔴㔵㈹愸㠵㙥昱挳〳㜹㈶㐳摥换㌱㤳戸捡㘸昴㤹愷㘸㙦摡昵㔱㡣㠶㜶㍡搷搴㠷攸㔱扤㌲㥢㉡㠵挹愹晡慤ㅣ昳〱㘴户ㅦ㌹㜵慣ㄱ㤹㝢㐳㌱㙢㡤㕥晥ㄴㄹ㉦挹愲ㅥ〸愱㡦㙥㐷㐸㉡慣㈳攵㠰〳㠱㜱㍥戵㤲㕦搱㤴㝤㐸㝤㍢ㅡ挵挳㠸㈴昵㤹搳挶㠲愸㈲ㅥ㙤ㅢ挱㡥昰㠱㘶慣㙤㔴晤愸㙤搲戵㙤㠳愴㐵戲㥣㉢ㅢ愴攰昱㕡攰ㅥ户ㅣ摤㐴㈶改㉦慡㌲㔶㔱㘵慣捡慡㍥昳㈴㐳㠳戲捣戹摣㐵挳戳㠲㈵摢㉡ㄷ昸挰昰摤㤶愰㐹㌰㌹㈵㙦㥣㘲㤹㌱摣㘲捤㥦㠲挹收㡦〲摤愳㤰愳〴ㅤ搱て捡㔵㤵㍣晥㈹㕤㍡㤶㈰㘰愴愷㔴晦㄰㘶搳攴敤〸㠸ㅣ㤹㉥挴㜷㌰㉥㝣ㅣ㌵愱㄰㈲搶㔳㐸〴㕥挱㠴㤰愷㡢㍢㙦㥥㜲慣〰搸㈳挶づ㕢挱㤴て㤴㈳㐳㔱ㅥ㙦昷㐸慣㈶〶㡤搴戵挲㔵敤㑤㑤㙡攲捡昶昶愴摥㜸昷㍡捤愱㐶㐹㈸㤲㡤㍡㐹捤戲捥ㅡ户㤲慡㔱愴攲㡥戵㡤㤲收㌶㙤挰㥤㔲攴つ㈸㈶㐹㌳ㄹ晤挳㤲㔰㄰攸㡤㜴ㄴ㝤昶改攴㤱㠸搸搰〶㈸㔲㑦㠵㜵晤㔱㐸昰ㄸ慥㥤㔴㐴㌱㝡〲㝦敦㠸㡡㌳戵愰愹挵㔸ㅤ㡡㕡挶慢搵ㄹ〷㔶㐲搹昰㉡㕢㠴愵戱户㔰挳㐸敥散㔶晢㠷攰㑤㌰㘲挴㠶っ㡢愴昸㠱挱㠶㘰慥㐴㐴㤵搶㔹㍦㐱㕤慦㉥昰改戸㌰ㅣ㠹㠱戹愰㌲㈵㔶愴ㄹ搶戰攴㠷攴㠰晡㘹㔱捡㔱摤ㅣ㕦昰愱搲〳捡昱愸㈴ㄹ㕣㌷㑦搲㉤㠵㑢っ㄰扢㔱㘹戶ㅣ㈰戴㕢㥦㠰㈷㠳慤㠳ㅤ㐰㈴っ㥤搰㍡愳〴捤愷㄰㙥昳㈶挸㍢㕤㘲ㄴ㠲搴㤴改ㅦ㠷㤴㙦㝤㤳改晢㠷㌲㜱㈱㘲㈲㠶扢㔲慣〷㈰㌷ㄹ㤹㈴ㄷつ挵〱昳㔰戲㐹愱搵ㄷ搷搱挴攸愷挹攷〵戸挵挳㔸搶〰搹愶㡡㝢㙥㠱〵㙤㕡㕤摢㘱ㅥ㜳捡搵㕡㐵㐸㔵ㅣ换㙡愹㤱户〴扥攴ㄵ挰㤰㥢㔲攰ㄲ〱攵ㄸ㡥㔲摣㌲㤱搴扤摤慤ㅦ挲㜰㈹攴㌰㐷愸晡ㄸ㠰㑣㜱换挹㠰㔸摢㍤〵摡㠷㍢ㅢㄷㄸ攴攵㌹㠸戴戶㉡捡戲㘹摣挷慢㐷㤱㈵户㈵扡㑤扢搳㉥㙤昶㐴搵㔱㉢慣摡ㄲ㌸挲㍥㐳㠱㤷捦挳ㄸ改㤲㍢㌸㐹收㐲ㄴ摤扤昰㜱昹㤸戹〰㔴㐸っ㈸㡣昱昲ㄴ㤴〱㔴挱㐸㌴戸搵㠶搵慤㌰晡㑢换㕢ㅦ㐷愶㌰っ㑣㠳ㄶ㍤㐳〳㘷ㄲ攵㡤つ㥣慢搰㉢㈵㐲㥡っ愶㌲㐶㌹〴㠷㍤㤰〶㙥攲㐱㝡摥㠵ㄲち㜶挹㡢㘱昱摤挴ㄱㅢ㐷㈰搷扢愴愵㜲搶〸㜰晤挵搹摤㔲㍤㕥愹搰摣㠵㝦㙥㑢㘰ㄵ㔷㌷㐲㜳㜴㔷换愵㉣戹㈷摡㜷㔷户㌴㐴㤷〵昷㑦㡤ㅥ㌵㠲昲搲㕣戰ㄶ㕥摣敡㤶㈴戴攷攱㡦㔸昷敤戴㤹㜳づ㉦愲慥㄰昶挵戳㡥㝢捥㤱敢搲㝣摥晡〳㠵攰ち㘵てㄷ㔹捣晣ㅢ晦㘴㔲㌳摡㜳㤸㜱㌳换收〴つ〷〹攷㤱㈹㤴〶挳㈸愷搰〹㙣昷晡慤〱搲挹慥ㄶ㍡㤱㠲㘰㥢㔰㥣挵㌷㡤㔰㤴㕦〰慤㈴㤶昰㐸づ㤸㍦〳搶㔷㥥㐵つㄱ㡥攷㐸㡣㘸敦㐴㈹〵㜵㔲㤰㐷㔷㍣㜸㈱攴晦〷㑢㌱㌷慦换㑥晦〵㘶㔶㝥摥㡡愲㉢㠹愲㥦戵愱㐸攱㌵㄰挹扦户㐷〵㍥㘸っ捦扥慥㐰㌸昷戴㝤〰㝤换㉦晣晥てて愰搳挰㌰㤳戴搱㄰㙡扢〶攵扡㠹㤰㙤㌳ㄱㄸ扣㤷㈶挲㜱㡥㘱ㄴ㍦㌴ㄱ㈲ㅦ挸っ㉡㌶㌶ㄱㄸ摢㑢㌱〴ㄳ愱搶㠴㕢㠳㈷戰㑢㙣晡挷㡥攲攲慤昰ㄱ捦㠷搲昲㈷攱㤱扡戴扤㝡搶昰っ㝢户慣㍦攲〹㈸㌳㙦ㅥ㌷戹攵㄰㡥搸戳㙥㡢ㅣ戴㡥慦㈲昶戲㙦晢㔳㌶㜷㝦ㅤ㤸ち㔳攸扥㔷ち㑡晥つ㜸㑡ㄴ㥥ㅢ㌲ㅦ摢昵㠳㈳㝦㝥昰㤱㐳扣慤ㄶ搱慡㜶㍤捡摤㠴散㘹㑦㈰愸㥢戸㈸㜲㌱㍦捣㌹㡥㑦㤴慣攵慡㤸㌰㍣㘹〵昹扡ㅤㄷ㐳挲㑢㄰㘶㐸㝣㕢挱挴挴扤㠷搰挴ㅣ㙤㜱㜷捡て㥢愴㡢㜰㌴戱㜰改搳㡢挳㠶㑡㐷㐵搶愵戵愹晤〸慡攸㜵㉥愴搹㑡攴愹㤳㐹㔱㝥搸慡敢づ㔰搷㠵〷ㄹ㠶晤㘳㈹㠵昸〳㈹㈴㜹㤰攱㠵〰㈹愵㑥愲愰摤㠰㉣㈵戲搶ㅡ攲愵㍦㘰㕢〸㠸晡愵扦㉥㍦㘲〱ㄴ㠱挵搸ㄷ摦敤㠹㤶戶㘸慣㥡ㄸ慡㤵㌶捤ㅣち昲昰挲㡡戱戸㜶ㅥ㠵㌸㘹晢㔱摡戴㍢㡡㉦改户挳挰㕢挸搸㥡㑤㕦㕢搱扥捤愹攱收〷昴㑣㕥㉡っ㘷㈷慢㜱㈰㤵㌱扡戰㙢㌱慣㘲㍥㄰ㄶ敢㠳㝡愳㈶攸㉣㘷㌷㑥愵〸晥昱㑢㈱戶㡦㌴愶扥戸戵㠵㍡捥改挱〶昹㠳晤㜵㘵ち㘳攳慤攴ㄸ㐸搸㑤昵㉡㠴搷挳㑦㘱〸㌷㥤㔱昴㐶㔱㍥㉢〷昰㈷收慣慣摡愶晦ㄹ扤㤶㥣㜵㥡愳ㄹ挶㙥搲晦㜷愳㘲㐳晤慦㌰昶㈶ㄱ㜹㑦㔴㤰挶㈹攳㈷ㅢ㠶㙣〸ㄱ㜸戶ㄱ扣㤱〷㘳㕤ㄶㄹ昲づ㑢㜳昸㜸㌵㙣㤶ㄲㅣ㝥慦㕣敢搵㠸晡㔸摡戶扤ㅤ〵㈰㘳㐳摡㌳㄰㐱ㅤ挷㌷换慤昸㜴㥢扦ㄷ〳㜷ㅤ户捡㥥敢扢㘶㌰㍣㠷愰敦㌰扦㍤㌳㘱昳㡣㉢摦㙢ㄵ㙡㔷〳ㄲ㝤昷㘱捣㠹ㄹ〸散ㄳ㈲㜸戳㘲㤱㡣㉣㙣㉥㤲挱敦㤰〶ㄳ攱㈵㙡〷晦㈲昳捥㥡㔱挵愷慢㌳昰㜵〶慣摡ㄲ捡㉥昴㌸户摥搰㈰攸㜰㐷敢づ昸㠳㐴㜵ㄴ挱㌱戹㠵㝢敦㈳㕣㕢㘱搰摣㌷摡㥢捦㥥摤昹摣㡡摡搳挰改收摥搲㑣㌲㝣㈷扦㐸㉥敡㈵收戸戴㝦〸㝦㌷敦愰攵㙣㐳愰昳攸㠳㙥㍡挲㐶慡㜰㥦㙤㈲晡㝤〶㐳㤵㜱㘶昸改㐶㔴攰㠳㐲㉦ㅦ㔹㔱昹㉥戶㐵〶㐰㌹㤳㉦㈳敢㑣搵㑦慣㐷搵㠳户㘳っ昹㔵ㄷ挸晡戳ち㡦ㅡ愴捡愲昲㉤昴㈷搴挲摤㉦戲づ㐷て㜹愴㐰㔹㑦㑡㜲㠵㐷ち戹㥥㙦㘰㐰㝤㍤昷愳戶昳㝡扥戶摥㝡ㄴㅡ〳㜲扦挹昹〷㘳㘵愲摢㝣戵挳捣㘵戶㡣㙣㌰敥㌹㐰㌱挹扤攴挳㔰挳戳挴ㄴ搲敦愲扦㉦ㅤ㝡攱㍣搳摦て㈹㔲㌰愲愹㜹ㄷㄴ㡣㜲ㄷ㕦㑡敥挲㐷㙤攷㕤㝣㘱扤㕤っ㔲㘶㑡愸搶㔰〰㔴㑢昸㈳㜷戵㠲〲〱捡㥦㜲㠶ㄹ㝥㑤慢ㄸ㌴㔰㈳挷慥愲搰㥦搵㠸㤸て㜶搶㉥㌴ㅥ攳㑦㘱ㄱㅣ㘸晡收昵㌶㝣挳扡挶㘸㜷ㄶ㥦昰㙢㔲ㄵ收搴て㜴㌷㔷㙣㡥㔲㤳㘹㡦㘲搷㙦㘰ㅥ㙥扡攱㜳攴㡣㝢昰㉢㈰〸㐱㌲㤳㈰㜹㄰㠵ㄸ㔰ㅡ戱㥥昲㘵㤳㌴づ㜹ぢ㤴㡥慣㝣攸㠹捥㠷㈶㐱挱㡥㕣搰㕢㐲㌰㘲㑢晣㔴戸愳㍥换㜷㜹扤㐱昹㜴㑣㠵㐷㡦挶㥦㡤愹㔱挰つ㕣㄰㥡攳攴ㅡ〲㔲㜹㈴敥晣攳㥦㌶晣挵㘸㐰〲慢㠴㥤挹㕤戲昳愷攲捥晢昱㐹㥡散㤳㈱㐱㌱扤ㄴ㜷㈶ㄷ捡捥㥦㡣㍢晦㙤晦敥㝡攷㤸改挲㤹㌵㜲㐴㡡愱㉦㡦㍥㠹捦搳〷搰㕤㌳㘹㍣昴㥡㘱㌵〹㔱挶捤慢搲㝣攸挳㑤ㄸてㅦ㠸㑦攳㘲ㄷ敥扦㐰挳㠴晦㥦㠸㘳戸昰㌵㘵〴〶扥晦㕥㐱愴摤搳攵ㄳ〷攷捤ㄹてㄵ㍤收㌱ㅦ〷捡捡㤶㈲ㄱ搸㐲戹㄰扥ㅢ㐴㈴㔲散收〶㍣攲〸愱捡ぢ㌴摤㘹㑥ㄹ㔵捡㈹て挷㤸捤㍣摣愰ㄹ晤ㄳ㐰づ㜴〲㜲ㄶ昴㑦㈲て愳㔰扢㔸㌱㐸㘱㈷㈵搹㈳㙣昸㌴戳捦㈰㉢㉡㤴㙣愴㠳晣愳挸〶攲晦㑢挷昰㡡㜴ㄶ愹捡㙡晣戲㈴ㄹ改㥦攵㠰捦㈱换挲㜷慤㐴㐴㔸搴㍦㡦㥡攴㑢㈹㌸攴㑢扦挸㠶㉦㌱晢㌲戲愲挶挵㙥ㅡ㙡摣㔳㤷㙡晢㉢ㄸ慡㄰ㄴ㥣㐳㝦㉣㉡昰㐱㈱ㅣ㈸捥ㄵ〷㍢愴っ愵戶㈹愸㜹㠵戰㤱つ㜶搴㜰㔰㌶㈸ち攱㈵ㅢ慡㔱〳㜵㤹晥㌵㘴ち攱挱㍤改㕦攷ㄳ挱㈰㕦昸㡤愸㈰㕦㐸ㄸ挸攱㑢㉤㉦㈴㕣㘴挳㘲换ぢ〹㉢搹㘰㈶㕦昸㙤㑥㉡㌷㠶㐲戳扡攲〶㈵扣扦㠳㐲㝦㜶㠰㙢扢ぢ㍦㜵㔵㈹㥦愹㥣㌹昳敡㐰㙥㜸㑦敥敥㡦昴㝤昳愵摦扥晣昸㡢ㅦ㍤昸搷搷㥥㜸攲挵㔷ㅥ㍦晦摡昳ぢ〷㝦晤昴搳扦扡晤挹昳㉦敦㌴㥦㔲㝦晡敡昴㔳て㡤㥤㝤攸〱昳搴昵㐷ㅥ扡攷晥㍢挷㘶㉦ㅡ挹㘶㝢㝡慥ㅤ晡捤㘵敦ㅤ㝣昸㠱㥦㉢扦晣攳愵㡥㈲户㡢ㄷ㌴㉦㠳摢㤶换㜸ㄲ〵㉣㠳㉢㝥㑢㤷挱敤㑡㐰㥤㠹〰㌵㠱㡡〲㥣ㅦ㕣㠰㙣㈸㌵㌷昴晥〷㈵㔵扤挱</t>
  </si>
  <si>
    <t>2a9da58c-3e84-4b82-88bc-ce61b3365a2e</t>
  </si>
  <si>
    <t>㜸〱敤㕣㕢㙣ㅣ㔷ㄹ摥㌳摥㕤敦慣敤搸㡤搳㑢㑡㘹つ愵㉤搴挱㡤搳㠶㔲㈰〴㕦敡㈴挵㠹摤搸㐹㐱㠰㌶攳摤㌳昱㌴㍢㌳敥捣慣ㄳ㤷愲㔶搰㜲ㄱ㌷㜱ㄵ㠵〲㔵㠵㉡昱㐲攱㠵㙢㕦㤰㤰㐰愸㐸㍣挰〳ㄲて〵㈱㄰〲愱㐸扣㠰㠴〴摦㜷㘶㘶㜷㘶搷㍢㜶户㉤戸挸㈷摤摦㘷捥㙤捥㌹晦昵晣晦㤹收㐴㉥㤷晢㌷ㄲ晦㌲攵㤹戹㙥㘹挳て愴㍤㌱攳搶敢戲ㅡ㔸慥攳㑦㑣㜹㥥戱㌱㙦昹㐱ㅦㅡㄴ㉢ㄶ敡晤㐲挵户ㅥ㤴愵捡扡昴㝣㌴㉡攴㜲愵㤲慥愱㥥㠳昰㌷ㄲ㍦攸散㌵㤸〷㔸㥥㤹㕥㔸戹ㅦ愳㉥〵慥㈷て㡣㥤つ晢ㅥ㤹㥣㥣㤸㥣戸攳捥挹㌷㑤ㅣ㍣㌰㌶搳愸〷つ㑦ㅥ㜱㘴㈳昰㡣晡㠱戱挵挶㑡摤慡扥㔳㙥㉣扢ㄷ愴㜳㐴慥ㅣ扣㝤挵戸攳捤㤳㜷ㅣ㍥㙣摥㜵搷㥢〷昱敡摣愹㤹改㐵㑦㥡晥㑢㌴㘶㠱㔳扥㘳㔶㔶㉤慥㑤㑡捦㜲捥㑦捣㑣攳扦挴晣昱㜴攷挴搲慡㤴〱㕦㉤㍤改㔴愵慦愳攳㠰㍤攵晢つ㝢㡤㥢愷摢㜳㔸㙡搵昰㠳㠲㍤㈳敢㜵摤㡥㐷㉤搹ぢ搸扢扡戱㌱㘸㉦㐹挷户〲㙢摤ち㌶㡡昶㌲〶慡つ搹㘷㝣㜹摡㜰捥换㔳㠶㉤ぢ昶戱㠶㔵换㠷㈹搷㜷㑢㍣㐴㜲㘲㙡昹ㄳ㔳扥㍤戳㙡㜸㙡㐶㍥㌷㈶愳敤㥣㔷㑤户扤戱晢戸㥣扡㝡〳挷扣愹㝢㍢搴㥣㌵扣㘶换昱敥㉤愳挵愷㘷㜰㕢昷昶㠹㍤㑡昷㜹㐳昷㍥㙡㉢搳慤挵㐰㐴摦㙡㐷戱ㄸ扤㐸搰㑦㔰㈲㈰〲昵㌲挱〰挱㈰㠰挸晦ㅤ㕣㤲散挸㉡慤㘲㘸㤵ㄵ慤㔲搵㉡㌵慤㈲戵㡡愹㔵捥㙢㤵㔵慤㘲㘹㤵晢戵捡〵戴㠹㔳愹扦㕦㡢搲㤱搹㝦㑥扦敤㡦㝦㥥㝢攲㡡㉦㝥攰晤㥦㜹收搹挱㍤㘸㜴㙦㌴愹㔹捦戸〸㔲㙢㔱昱愱㠹㠳晣户㌵㔷㠰㈹捣挳收㥤收攴㘴敤昰㐱攳㜶愳挰㘵㘵㈰㍦㐵㈸㈳㘸㍢㘸摥㘷㌹㌵昷愲挲摤㜵搳㠶㉦㕢ㅢ㌷ㅥ搵㑤扢つ愷收扦㙡昳捡愵挰〸攴戵敤㜵慤㐱㍡扡㉤㠱慤愴慦摥㜷㝤㝢户戳㐶扤㈱愷㉥㔹㘱昵慢摢慡敤㐵捦㕤改㕥㍢攷挹〷㥡戵ㅤ㌳㥡㠲㔰㕢㔷㘳㜷慣㌲慣ち攷㌵㌶戳敡晡搲㔱搳ㅢ户ㄷ慤敡〵改㉤㐹㡡㐴㔹㔳㑢扤㤲㔵ㄱ搷㡦㉦㌸㔸㈸戸戵昶摡㘴愹㜹昷愵〰捣㉣㙢㤸敦㥡昴㠲㡤㘵㘳愵㉥慦㑡㌵〹摦㠹㡡晤愹攲㌹户摡昰㘷㕣㈷昰摣㝡扡㘶慡戶㙥㐰搲搴㑥扡㌵㤹捦攷㤴㔰㠰挰敤敢ㄳ㈲㜷㙢㜷㕥㔰㠸㐸愰㤸㡣㝣㑤㥡散㈶㑥㘳㜵㔸㐵㕤㤲㈶戵搷㙤㌱ㄸ攷慢㘴㑣〶〷㈶搶㐴晤挱㤷扥㝥㡢㘱㥢㤸㝢㜹ㅢ㙢摡㘸戴晡扢搷愵ㄳㅣ㌷㥣㕡㕤㝡㤹摡㑦㜰㐶晡㌰㐰攱㌲〴㐲搷摤愳慡ㄳ㤷挴㐶攱愲㔵ぢ㔶㡢慢搲㍡扦ㅡ愰っㅡ戲㔴攲搶㜶㈴晤ちㄴ改㝢〹㐶〱捡攵㕣㜱ㅦㅢㄵ换㐸戹〲愵㔳〶㉦愷〴㌹晢愵㜸㜹搰㥣戳敡㠱っ㠵昲戰〹㡣㠴㕡㑤愱㙦㠸㈴敡ㄹ搵㔰㘱散㌳㘷㐰愵㠶攵〴ㅢ㉤扥敤攰㤲㤰㠸㜶㘵挱㡥㤳〵ㄴ〵㘹㜹㤰挱㙢㈰㥡㌶㘹㤰摤㌸㐱㐴㘴㠳っ捤㡥㤱搳㐴挶昶ㄹ㌲〲敤㤳㐴挸搶〷扢换〸ㄲ㝢㈷㤱戲㔳㔷㝥摣㤵㘶㥢搹昲愱㌴扢ㄲㅢ愷㕦㐵㜰㌵挱㌵〴晢〱挴ㅦ㈱攱㈸攵㤰㑦㈷晤㔵㜸搶慦㈳㜸㌵〰攴㤳㑥㤹ㄳ㠹㉡摡㔰摢戱㈳搹㙥〸㜶戲㌲㡡㐳㔱㐴换戸㘹㘷づ搹ち搱㤱搵戹㌳㜴㙤㕥改搸㥢扢搳㘶㜲㌹愴挸㡣愶挹戵㙥搱㌴戹ㄱ㙣摡愳摥扡〱㕤昵㌱㠲搷〰㤴昵搷ㄲ㐲戹搰攰摤㥥㐵㑦㤳昲ㄵ㘱ㄶ㠵挶㔰㡦ち㍥㈲㘴ㅥ〱㌲㠴㕣挷昱㘵搷㠶愶㌹㌸㙥扥攲㙤攸〳摤昹㍢㐲㝡㥢摥摣搵㍢昴ㄷ扤㐰㉢晡㐶戰㤷昸㙤㔷ㅤ㜳ㄳ慡昵㥢〹㙥〱㘸搳㌱㍣㝤扦㔰㑦㠱㌲㡢敤〴收昶搲敢愲慣摣攵㡤㌵愹㌴搰愰戹㙣㜸攷㘵〰て挶㠹㔹搸挲慥攷挹㍡づ戵㌵㔵挰昳换搵改㐲㝦捥㜳㙤㤶敦摡挸晥㉢㐲㌱攴昳㕡㕦慥捤㐶捥戰㌵ㄳ㍥愷〴攵㔰〷摦摥㕤㐸㈴㍡愵挹㡢晤戲捦㤷扢㤲愴〷㐹昲〶㙣慢㝥㉢〰愴㠴昸㜵㔷㠹㜲㠰捤摥愸㥡愵㉤㔶㝡昸㌲㑥㈷㙤㍥挴づ㌹㌲㄰㍡㙣愷攱㍦昰㠷散㈵换㙥ち㡢〱㝢㔱㝡㔵昸ㄶ慣扡㉣㠷㙥㔹㡡㥡㕤㔹昱ち㤱ㄵ㝤㝤ㅤ攷改っ晦㥡愲㤳㌶㈹㤱挹敤㤹㤵ㄹ㘷昱ㄶ㔱搱つ㐹愱㤲攱ㅡ㙡㑡㈰㔲ㅥ摢敥㡡㤸ㅥ㐴捣㙤搸㌸晤㈰挱㈴挱㈱㠰挲㉦㈰㘹戶扢昱っ㠷昵慦搳愵㕤愹攴㑡㐴㠳㜲ㄱ㍥搷㔵㔸ㅤ收㙢摥㐴㜰㈷㐰㥢昹㐳〷㘴〶㈱㉡㤴㈷〸㔱㠵㌱捣戳㤶扣㐸ㅡ搸㘳㈲戰㌴搳昰〳搷㘶㘴㘹挸㥣㜵㑦戹挱慣攵慦㈱ㄲ㌵㙡㐶㤹晢㔶愵〳敡昲㘰晢戴㤵戹㙢㙢戲愶㥢㑢㙥〳愲敤挴散㑥㌸㤸㘳㍢㘰㑢慡戳戹㈶㤰㝡㍢ㅦ㘳〸㠱㥤㔶晥㔶㝡㘳户攵晤收愱㙦戸戵愳换㔶㔰㤷〳㘶挸㜴捣㤷㑣散㈲㈲〷戵㝥㜳㜹搵㤳㜲㜶挸㍣收㔹戵扡攵㐸㈲〳㌶㈶㠳㜵昳昲㍣愲〴㡢㉥㘳㠰慥㌳㘴㉥㝢㠶攳慦ㄹっ㈸㙥散㑤㍤愹戰㐸挱㥣戶ㅣㅦ慦㔱㔸㘴㝥搸㕣㕡㜵㉦㈲㘲摢戰㥤㘳挶㥡扦㈳戰㐲愲て㤳㐲㡤搰㠴愶㠹㤲㔶敡ㄵ㍦㍣㤰攷㜲攴扤㍣㠱挲㔵慥㐰㥦㜹㠶昶愶㕤ㅦ挵㘸㘸愷㜳㑥㠳㠸ㅥ㌵ぢ晢㌲愵㌰㌹㔵扦㡢㝤摥〲㜰捦戱㌳㈷㕡㤱戹ㄷㄵ戳㉥搰换㥦㈱攳ㄵ㔹㌴〳㈱昴搱敤〹㐹㠵㘵愴ㅣ㜰㈰㌰捥愷㜶昲㉢㥢慡つ愹㙦㑦㉢㍢㠷㐸搲愰㌹㙦慣挸㍡攲搱戶ㄱ散〹ㅦ㘸挶摡㐶摤㡦敡㘶㕣摢㌶㐸㕡㈴换愵慡㐱ち㥥㙡〴敥㐹换搱㑤〰㐵㝦㔱㤱㜱〹㐵挶㈵㔵㌴㘸㥥㘶㘸㔰攵㌹㤶㝢摥昰慣㘰搵戶慡㈵㍥㌰㝣户㈳㘸ㄲ㑣㑥挹ㅢ愷㔸㘶㡣戵㔹昳㘷㘰戲昹ㄳ㐰昷〴攴㈸户㡥攸〷攵㙡愲㠸㝦愲㐷挷ㄲ〴㡣昲㤴敡㙦挳㘸〵㜵㍢〲㈲㐷愵换昱ㅤ㡣换て愳㈴ㄴ㐲挴㝡〶㠹挰㉢㤸㄰昲㜴㜱ㄷ捤㌳㡥ㄵ〰㝢挴搸㥣ㄵ捣晡㐰㌹〰戲敡㜸㝢慤挲㙡愲搳㜸㔳㉢摣搰㔹㤵㔲ㄳ搷㜷搶㈷昵挶敢㌶愹づ㌵㑡㐲㤱㙣搵㐸㘹㤶㑤收戸㤳㔴㡤㔰㡡㍢搶㌶㈲换㙤摡摡㜷㑡㤱ㄷ愱㤸ㄴ捤攴昴户㉢㐲㐱愰㌷搲㔱昴搹㘷㤳㐷㈲㘲㐳ㅢ愰㑣㍤ㄵ㤶つ㐵㈱挱ㄳ戸㜶㔲㤳攵攸〹晣扤㈷捡㉥㌴㠲㔴㡤㜱㘹㌴慡㤹慡搷ㄷㅣ㔸〹㔵挳慢敤㄰㤶挶摡㐲つ愳戸戳㔷敤ㅦ㙥㙦㠲ㄱ㈳㌶㘴㔸㈴挳てっ㌶〴㜳㈵㈲慡戴捥㠶戸搵捤攲ㄲ㥦㑥㑡挳㔱ㄸ㔸ち㙡戳㜲㕤㤹㘱㉤㑢㝥㔴㜵㘸㥥ㄶ㤵ㅣ搵捤愹ㄵㅦ㉡㍤愰ㅣ㡦㜲㡡挱㜵昳㌴摤㔲戸挴〰戱ㅢ攵ㄶ慢〱㐲扢捤〱㜸㌲搸㌹搸挱㡥㠴愱ㄳ㕡㘷㤴愰挵っ挲㑤㉦㠲扣搳㈳㐶㈱㐸㑤㤵晥㜶㔴㝣昹㜱愶㙦ㅥ捤挵㤹㠸㠹ㄸ敥捡戰ㅥ㠰摣㘴㘴㤲㕣㌴ㅡ〷捣㐳挹愶㠴搶㘰㕣㐶ㄳ㘳㠸㈶㥦ㄷ攰ㄶて㘳㔹挳㘴㥢㍡敥戹〵ㄶ戴㘹㝤㘳㡦㜹挲愹搶ㅢ㌵愹㔴㜱㉣慢㤵㐶摥ㄱ昸㔲㔷〰㐳㙥捡搸㤷㘸㔳㑥攰㈸挵㈵ㄳ㐹扤摢摤晡㔱㜴㔷㐲づ㘳㠴慡㡦〱挸っ户㥣ち㠸㜵摣㔳愰㝤戸户㜵㠱㐱㕤㥥㠳㐸敢㈸愲㉣㥢挷㝤扣㘶ㄴ㔹㜱㕢愲搹扣㍢敦搲㘶㑦ㄴㅤ户挲愲ㅤ㠱㈳慣㌳ㄴ㜸挵㈲㡣㤱ㅥ戹㠳㠳攴㉥㐷搱摤换て慢挷摣㘵愰㐲㘱㐰㌰挶换㔳㔰づ扢ち㐶愲挱慤戵慣㙥挱攸㉦㉤㙦㝤ち㐰㌰っ㑣㠳ㄶ㉤㐳〳㘷〶昹慤つ㥣ㅢ搰㉡㈳㐲㥡っ愶㌲㐶㌹ち㠷㍤㤰〶㙥攲㐱㝡搹㠵ㄲち昶愹㡢㘱昱摤挴㜱ㅢ㐷㈰搷扢慡慤㜰搱〸㜰晤挵搹摦㔶㍣㔵慢搱摣㠵㝦㙥㐷㘰ㄵ㔷㌷㐲㜳㜴㕦摢愵㉣戵㈶摡㜷㌷戶㔵㐴㤷〵て捤㑥ㅣ㌷㠲敡敡㔲戰ㄱ㕥摣敡㤵㈴ち捦挲ㅦ戱改摢㘹㌳攷ㅤ㕥㐴㕤攷摥㤷㉦㌸敥㐵㐷捤慢攰昳搶ㅦ㈸〴㔷㈸晢㌹挹㜲敥摦昸愷㤲㤶㉢晣〸㈳㙥㘷摡ㅣ愰攵㈰攱㌸㉡㠵搲㘰っ昹っ㍡㠱敤摥扣㌵㐰㍡搹搷㐶㈷㑡㄰散ㄲ㡡㜳晥㈵㈳ㄴ昱㐳愰㤵挴ㄲㅥ挹戱攷㑦㠳昵挵て㔰㐲㠴攳㌹ㄲ㈳㠵搷㈰㤷㠱㍡㈵挸愳㉢ㅥ扣㄰昲晦㠳愵㤸㥢㌷㘵愷晦〲㌳㡢敦户愳攸㝡愲攸㝢ㅤ㈸ㄲ扣〶愲昸昷ㅥ㘴攲㔴㘰㜸昶〵〵挲戹愶摤〳攸换㝥攱昷㝦㜸〰㥤㡦㠸㐳搹㘸〸戵摤㠴攷愶㠹搰搷㘱㈲㌰㜸慦㑣㠴㤳挸〸㐶昱㐳ㄳ㈱昲㠱㉣愰㘰㙢ㄳ㠱戱扤っ㐳㌰ㄱ㙡㑤戸㌵㜸〲扢捡愶㝦散㌸㉥摥㑡ㅦ昱㝣㈸㉤㝦〶ㅥ愹慢㍢㡢ㄷつ捦戰昷慢昲㘳㥥㠴㌲昳㤶㜱㤳㕢㜵㘱㡦㙢㌷慤㔱㥤㌶昱㔵挴㕥昶㕤㝦捡昶敥慦〳㔳㘱ち摤昷愲㈴㡡㉦挲㔳㈲㜸㙥挸扤㝦摦户㡥晤敥挱㐷㡦昲戶㕡㐴慢㠵㕢㤱敦㈵㘴㑦㝢〲㐱摤挴㐵㤱㉢昹㘱捥㐹㝣愲㘴慤搵攵戴攱㈹㉢挸搷敤㌸ㅢㄲ㕥㠲㌰㐳攲摢〹㈶㈶敥㍤㠴㈶收㐴㥢扢㔳㝤搸愴㕣㠴ㄳ㠹㠹㉢㥦㕥ㅣ㌶ㄴ㕤ㄵ㔹㡦搶㘶攱摢㔰㐵㉦㜰㈲㘹㉢㤱愷㑥㈶㈱㥥㘹搷㜵㠷愹敢挲㠳っ挳晥戱㤴㐲晣㠱ㄴ㤲㍣挸昰㐲㠰㤲㔲愷㤱㈹摣〶㤰ㄱ㔹㙢て昱搲ㅦ戰㉢〴㘴昳搲㕦㡦ㅦ戱㘰ㄷ㠱挵搸ㄷ摦敢㠹㤶戶㘸慣㥡ㄸ慡㔵㌶捤ㄲ㌲敡昰挲㠲挹戸㌴㘵改ㅣ㐲改戶摤㔱㝣挹㤰ㅤ〶摥㐲挶㉥搸昴戵㤵敤扢㥤〶㙥㝥㐰捦ㄴ㤵挲㜰昶戲ㄸ〷㔲ㄵ愳ぢ㥢㤶挳㈲挲攱㌰摢散㌴㄰㔵㐱㘷㌹晢㜱㉡㐵昰㡦㕦ち戱㝥扣㌵昴㤵敤㌵搴㜱㑥㍦ㄶ挸ㅦ散慦敢㌳ㄸㅢ㙦㈵挷㐰挲㙥慢㔵㈹扣ㅥ㝥〶㕤戸攸㥣搰㕢㔹昵㉣づ攳㑦捣㔹㝤㕡㠷晥㘷昴㕡㜱搶㔹昶㘶ㄸ㍢愵晦摦㠵㠲㉤昵扦㘰散㑤㈱昲摤㔱㠶て〵挶㑦戶っ搹㜰㐷攰搹㐶昰㐶ㅤ㡣㜵㤵㘵挸㍢捣㉤攱攳搵戰㕡㐹㜰昸扤昲敤㔷㈳㥡㝤㘹摢づ㜴ㄵ㠰㡣つㄵ㥥㠶〸敡摡㍦㉤户攲搳㙤昱㍤攸戸敦愴㔵昵㕣摦㌵㠳戱㈵〴㝤挷昸敤㤹〹㥢㘷㑡㝣愳㕤愸摤㠸㥤ㄸ㝣ㅦ晡㥣㕡㠰挰㍥㈵㠳㤷㉡ㄶ挹挸挲昶㈲ㄹ晣づ㘹㈴ㄱ㕥愲㜶昰慦㌰敦㙤ㄸ㜵㝣扡扡〰㕦㘷挰愲ㅤ愱散㐲㡦㜳晢つつ㙥ㅤ敥㘸扤ㄳ晥㈰㔹㥦㐰㜰㑣㉤攱㍤敦攳扥戶敦㐱扡㙤戴㌶㥦㉤㝢昳戹㤵ぢ㑦〱愷摢㝢㑢㥡㘴昸㑥㝥㤱㕣搶㉢㠴戸戴㝦ㄴ㝦户敦愰攵㘸愳愰昳攸㠳㙥㍡挲挶敢㜰㥦㙤㈳晡㝤づ㕤挵ㄴ〱㝥扡ㄱ㘵昸㈰攸攵㈳㉢㡡慦㘱㔹㘴〰攴㜳挵㉡㐰㜷慡㝥㘲㌳慡ㅥ㠹〵戲攰ㄹ㠳攴㔸ㄶ㕦㐱㐳㙥㔷戸㙣戰〴㤷㉤搴㔹〲㜹㍤敥㠱㝣㑥昰㉣愱㈶昲㈵㜴㘸㑥挴㐲㘹昷㠹㝣㜱戳㠹〸㕡〱㙡愱挹昱㐷㘲㉤愲搷㔱慤摢〴づ㠱ぢ㌰㑣戱㐸㔹㔳っ㐳ぢ㍦㈰㘶㤰㝥ㄹ晤㝤晥攸㉦㥥㘳晡敢㔱愱〴㈱慡搲㤳愷㈰㔴㤳晦㜴㜲昲ㅥ㑡扢㑦晥㤳㥢㑤㝥㠴㌲㤲㌳搱〳㠰愱㍥㔱挱ㅦ戵㤸〶㌲摣㐷晥挴㌹〲晣㔲戳ㄸ㌱㔰愲晡㕥㐴〶㝤戹攱慡搵㈵㘴攲扥〵慥㍦攳攳ㅥ㘵ㅦ昱㈲㈴㝤㌹挵搰ㄹ㕢っ戵㘲挹㡥扣戰㍢㐲㌶㘰㐹晣㕡戶慢㐸㉦昶ㄸ攱ㄷㅦ㠹ㄱ㜳晣㜸晣攵㤴ㄶ挵㥣㐰ㄸ愱㐵㑡晡攱㐶㡡て挷㡤扦昳摤㤶换ㄴㄵ㐸愰㥥戰㌱改㑣㌵㝥㉣㙥㝣〸㕦㘵愹㌶㌹摥㈰㘰㝡㍥㙥㑣㝡㔴㡤ㅦ㡤ㅢ晦攵搰晥㘶攳㤸づ挳㤱ぢ㈴㤲っ㕢㔷㔹晦㠹㉦戴㠷搱扣㘰㔲㝦づ㤸㘱㌱㈵愷ちㅤ搷㤵〶ㅤ挴㘵㄰て摦㐸捦攳㙥ㄳ慥㠰㐰挸㠶晦慢㠴ㄳ戸昳㌴㙢〴〶㍥㠱㕥㐷戰搹搳搵ㄳ㍢ㄷ捤〵て〵晤收〹ㅦ㘷慡摡㡥㈲ㄱ㤸〳昹㜰㝦户㜰捡㘷㤸㡥慤晤㠸㠳㘴ㅡ敦㤰昴愶㍣㔴㘰㈵㉦㍥ㄸ㘳㌶昷㐸㡢㘶昴㠷㠱ㅣ㐸㐷㐰㘶昴㐷〰挳㐰っ㙦㉢攷㐶挸晦㡡戹㍦挸㡡てㄱ㍣ち㔰ㄶ㘴㜶搲㐱昱㌱㠰攱昸㝦㔴㌱戶慥晣㈵㥡㜸㌰㝥㔹㤲㡣昴㡦戰挳㐷〱晡攰扥ㄵㄱㄱ㤶昵㡦愱㈴昹㔲ちづ昵搲㡦戳攲ㄳ〴㥦〴㈸ㄷ㌸搹㙤敦ㅡ搷搴愳收晡ㄴ扡㡡㐷〸昰搳㍦ㅤ㘵昸㔰攰㍥扣戵扢慤捣愳㜰晣㘱㍦㐲㥤愹㉦昸敦挶ㄷ昹ㅢ㕣㜴ㅦ晥㠷㈴〵㘵搸攷戵户昴㌶ㄶ㤹㠰㌶戹晡慤㘱戳㕦挴㌸㕣㔷㉢㠲挲ㄱ愹㔴㑡㕡㔱㄰摦㕣戰㜰昱〶扥攵㠸慡㄰㠲㌴愰㉡㥣愸攲㈸ち昴捦戱㈹㜱㑣㍣改㥦攷ㄳ㔱慢㌶昱ぢ㔱㠶て㠲㜸㔵摤敦㡦扡挷㉦㈴慥㔵㠵搵昶㐲攲㕦㔵慣㈶㕦昸㌸〷㔳挸㐲㈶慤㤵㠸㌴㐵㐳㕦㐱㘶愸㙦㤸㜳扢て㍦敤㤲愸㥥慢㥤㍢昷㡦攱晣搸戵昹㜷扤㘳昰昱攷㝦晥晢捦晥敡扤㐷晥昴慦㈷㥥昸搵ㅦ㍥晢摣扦㥥㕤㌹昲搳愷㥥晡挹㍤㕦㝦敥昷㝢捤㈷戵敦晥㘳晥挹㠷㈶㉦㍣昴㠰㜹收搶㘳て扤晢晥㝢㈷ㄷ慦ㄸ敦敢敢敦扦㘵昴㘷搷扣㝥攴㤱〷扥㉦㝥晣㥢慢ㅤ愱㤶㡢ㄷ愴愷挱㘵慢㘹㝣ㄵㄹ㑣㠳㌳㝥㔹愷挱攵慡㡤㕡㠹㌶㙡ㅡ〵㈵昸㌴㌸〱㔵㘱愴㉢〶晥〳敦㤲戳㡦</t>
  </si>
  <si>
    <t>PCE</t>
  </si>
  <si>
    <t>HTL sputtering</t>
  </si>
  <si>
    <t>PL 1st-step spin coating</t>
  </si>
  <si>
    <t>PL 2nd-step spin coating</t>
  </si>
  <si>
    <t>PL treatment</t>
  </si>
  <si>
    <t>ETL 1st-step spin coating</t>
  </si>
  <si>
    <t>ETL 2nd-step spin coating</t>
  </si>
  <si>
    <t>Electrode sputtering</t>
  </si>
  <si>
    <t>Ar</t>
  </si>
  <si>
    <t>O2</t>
  </si>
  <si>
    <t>O₂</t>
  </si>
  <si>
    <t>NiO</t>
  </si>
  <si>
    <t>Tem</t>
  </si>
  <si>
    <t>Treatment</t>
  </si>
  <si>
    <t>Nitrogen</t>
  </si>
  <si>
    <t>Nitrogen glove box</t>
  </si>
  <si>
    <t>Inert gas purging</t>
  </si>
  <si>
    <t>㜸〱捤㔸㕤㡣ㅢ㔷ㄵ㥥㍢昶㡣㍤㕥㍢㜱㤳戴㘹戶㙤㙡㐱愴㈶散攲敥㈶搹晣戵愱㔹摢晢搷㙣㜶户戱㤳〸㈴攴捥㝡敥慣愷㍢㍦换捣㜸㜷㕤㈴ㅥ㑡㐱〵㡡㐴愵慡ㄲ㐲㝤㈸㔱愵戶て扣㈰㠱昸ㄷ昴愵戴愲㈰ㅥ㐰愲㝤愰〸㈱㉡昱〲ㄲ敡〳慡挲昹敥搸扢戶搷摢㈶换㈲㘵ㄲ㥦扤昷㥥㝢捦㍤㜳敥㌹摦㌹㜷㈴㈶㐹搲つ㝡昰ㄷ㑦ㅣ㡤㝢换捤㈰攴㑥扥攸搹㌶慦㠵㤶攷〶昹㜱摦搷㥢戳㔶㄰挶㘸㠲㕡戵㠸ㅦ㈸搵挰㝡㤲㈷慢慢摣て㘸㤲㈲㐹挹愴㈶ㄳ扦晤换戶ㅢㅡ㔶㘹㜱㈲㘹㥡㈵㔵㡡㠵昹挵㈷㐸㜴㌹昴㝣㍥㥣扢ㅡ〹㌸㍦㍡㥡ㅦ捤㥦㍣㍤㝡㉡㍦㌲㥣㉢㌶散戰攱昳昳㉥㙦㠴扥㙥て攷ㄶㅡ㡢戶㔵扢挸㥢ㄵ㙦㤹扢攷昹攲挸㠹㐵晤攴㤹搱㤳㘳㘳收搹戳㘷搲㉡㐹㕥㈸ㄶ愶戹扤㐲昲㜶㑢㙡㠲愴捥ㄵぢぢ㍥㌷㜷㑢愶〲㙢㡣㤶㜸捤㠲搹㌸昷㉤㜷㈹㕦㉣搰晦づ慢㔰敦㜴㝥扥㕣收㙥㘰㠵搶慡ㄵ㌶㘱㌹捤㤹慦㉤㕥搵敤〶㔷ㅤ愱㔲搲戹慡晢㜳扡挳㌳捥㤵㠰㕦搶摤㈵㡥㥥攲㑣㌵㉣㈳㑥挷ㄹ㍢搶㙦愳㤶㤱昲昳挵㐲戱慥晢㘱㈴㤲㌶㜸戰摦㙣戱㔳扥㐳ㄵ戱㐶㡣挲㍣㙣愰攵㌰搸㔳㘸㤹㠴慡ㅡㄱ㌵㐵㘴㝦挷捡㥣㔸㥡ㅢ㘵昱㝦㤳摢㜵㉥ㅣ愰㤹㜲㔵㤷慢㡢㜲戵㈶㔷つ戹捡攵慡㈹㔷㤷攴㙡㕤慥㕡㜲昵〹戹扡㑣㜳摡㑦㌲㤱㤰㕢捦昰ㅢ摦㜸㙡昵㥤㍦㕦晣昲㔷晥昵㥦挴㔱晥㌵〶㑦ㄳ㉥㤷愶㠶㤶㈱愲敥㈱搲㐷㤱攳㡣晤㤳ㄴ㠱㌲摦昹攳愳て㝦戵昸愷ぢ扦昰㝥昸慤攷摥㝡㙦㈹㥤愵㈵㜳㘴愱晣ㅣて㜷挹㥤ㄴ㔸收收㑦〴敡㉢㑥㜴愰㈵ㅥ搴㌴㥣昶㡣㙢昰㜵㤵㕡攴〵㘹愷攸戹㈱㕦て㑢㝡愸㈷㥣〵摤攷㙥愸搱愴㈱戱㉡㙡㘱㘵㐶㡣戵㔷愷㕡㍤㤲㤰ㄵ捤づ㈹〳㘲㈰㤲挴〸づ㘲昱㠸㈶搵㝥戸㌰慤〷昵㔰㕦戴昹㤱ㅥ挷㠱摤挸㔷慦㠴㤶ㅤ攴㐹攴㤴敦㌵㔶㘰搱摤㤲㠳㜰搷攰㕥敡㍥㈲〲挵昰㤷㌶戸愰敤愷㍦㈹挱搴挰愴挳扤〱捥㈶㉦㝤㤰㍡愴㘲挹㜳㜴换摤愵挳㑤摦㑤㐲ㅦ㙢挵㐲挹搷搷㈸慥㌷㐵ㅦ捦㡦攰摦挷〳ㅢ攱㥡㌹㘶㥥㌶㐷㐷㡤戱ㄱ晤㠴慥㈰㤰㙥㌵㉥て搰㥡戴㜳捤㜲つ㙦㑤〴敡㍥㠷愲㔰〴㕦愵戹挲挵㔰摡慣攸晥ㄲ愷攰昷㘷㑡〷捣愲攷晢摣搶㐳㙥㠸〱㠰晤挱敥挱㘰搲昷ㅣ㡣摦㕢搰〳扥〹〲㐳㘶戴㔱挱㙢戸㐶㜰㑦㝦㘶㌹㈴搱㠳扤扣㑤㈱㕢㤶㤵〹ㄸ㜹㈰㌴㍤摣扢㑣㌸晦昸扡ㄵ戱敦敢㘱ㄳ㌴㝡㡢摢㜳㈷㝤晥㠵つ敥ㄶ㡤挶㈹攳慤㜲昰户扣㘵挴㡡昴㈲㈰昳〲敥ち昵㠶㥣〵慢戶捣晤㌲㐷扥攴㠶㜸搵㍢挱攲ㄴ㡦㌵ㅥっ捤挳昴㠴捤挶㈷㍡㐷捤㠹昵㤰㔳㌴ㅢ愴㉦攵慣戰㔹㐱㈴摤搵㌵㈵摡㤳ㄸ㠷扡㠶㈷扤㕡㈳㐰搴晡㥥摤捤ㄹ㌷㔶㜵摡搳戸攴ㄹ㍣ㅥ㤷㘳㔲㕣㡡攳㤱㈸ㄷ挴㈸㤴㐷㝡〲㔵㈴ㅥ挸づ㍡ㄱ扥挳㜳〰昱㈷㙥㙡㔱户㝢㘱㕤㍦挸搸㈸㈵搸摤摤戱㤲扦㑣搶㈳㉢搹ㅣ㠱㈴昷㈲㑡㠷愲㥢㕥㠳㑤晡攲㘹昴㐶ㅤ㌶㠳摦㘲昶搱敤㕦㐵㠸摤昰㡣晦敦㘴㔹摥摦㝡晢㠹㔵挲散㘹摤㌵㙣敥㝦戴扤愰㤱㜶〸㘴㄰攴ㅥ㈲㈹㐹昹㉢愱摢戶㤶㐴㈶㘴敢慣愹慣㔹㐶㔸㔷敢摣㕡慡㠷㌴㐶愵㕡㌲〹㌳捦㝥㜸攳挶摦〹收摦愴摦晢愸晥戴晢㐰づㄳ㐹愵㔲㤲挰㑦㌵愵攵㐴㕦㘲挸㐸㈲扢㈳㥦㙥〵搷㑦㘲㥡昶ㄱ㍣㠶㘴っ㐰搳ㅥ〰㌹ち㜲㡣㐸㑡㘲㝦愰昷挰扢捣㤱㐶㔶㤷㐶㐳㤸㌵㡣㔹ㅤㅡ攵㐵㕦㡡〳敢晢㤹㙤㈳㌳挱㙡愹㔹㑦㌷㈶昵ㅡ搵㥢㠹㔶戵㤹㉣㝡捥ち攵㑢㍦㡢㤹㐵㡡ㄶ㡡挲㔵换攰㝥ㄲ〳㘵㉡㙤攳㔴㙣〶慡挰㥡㠰ㄲ㘱㑣㔲㤴㠱㘴扦扤㘶摡戲㡥戴捥戴戳㜴㥥搹㈲晦ㅦ㡦㥤㜹〴愵㜱㉡㈵㡡㤴〷愹愹㡤㄰㔱㜰戶户ㅣ㥦㝢㘹搱㕤㑥戹敥慤㑤搳攱昲㈰㉡收㠲愲㙦㠵〷户づ㔳㘲搷㥤㐳㘲㝣捡攷〴挹㝥㠵㤰㐹扣㈳㔶っ昶攵㠸㐵㠳㈲㍣㍡㠰㘱挸扣㙡昱㌵愴㤳晢户戲愸ㅡ㉤㌶㠲搰ㄳ㜵挸攱慤晣㤲㌷攷㠵㈵㉢㔸戱昵收㤱㍥散㠸㜳慤捥㕤㐲㔳㥦㐰昵攳㈶㜹㉢㉢摣攸愳㘳搹㙢昸㌵㍥㔳扡ㅤ昰㤸㑥㉡㝡㤸㠰㘲㤶㘴慡捣攸搹ㄹㄴ㌰戸㡢昴挵〳摦㥢㝡敦挹愷ㅦ㔱〹攰ㄹ〵〸㠵㠸〲㜸搸〹㘴㈳㌰㌳㕤㠵挲㥤戸㔶㕣愲慢㤸戵㘲昳㠲敥㤳㘳㝢㝥愰㌹敤㘶攴㜸ㅤ〵㝥ㄴ㉤户㠳戱㈹敦㐵ㄹ㉦扦㍤攲㜷㈸㉥㝣㄰捥っ扣㘰〷㝡㔲㤳㜸㙦攰攵づ捦㑡昹㉤㈱摢㉤㉡〲㌴㑥慣愲捣慦㔶愵㈴搴挲挳㤴户㐹㔴㕦晤〰昶㜱ㄷ搷㍦戱㉡戵散㝡㙢慥搰㕣〹㔰㝤〹㜸㑦㈴昰ㅡ㈸㥣挵㌳搶㜶ㅢ㐹㐱㍥ㄹ敡㘷慢愸㑡摥戸㥦捥ㄸ㤴戰㕡ㄷ搲㌴㉥愴ㄵ㥦㡢㕢㘷㔲㜴挸㠴ㄹ攷㥡攷㉦㉦㝡摥㌲敥㉥㝢㐴㉦愸㜳ㅥ攲㠶㌸攰㐴搷㕣戴挹昷㘳戱慥㕢㘰换敥㘰愲㐶㡦昲捦㐹㙡挵㈶晤㥡攸戱㌷改晤㜱㘱晢换扢慦㝦改晤て㕥㜸昴晡㜳攷㘲搶〷㝦㔳搸慦㕢っ攷搸㕢扦昹攵敦搴ぢ㍦昸收戱㔷捤㌷摥㤹㔱㤰搲㙥慡㥣挰〵㘵慦戹㠱㕤ㄵ㉢戴昹㠰ㄹ戹〶摡㐹㤳搰㠸㑡㍤㈳㘱㔶敡昴搶愵㡣㌹攵㕢㠶㙤戹ㅣ慥㐳㐵㌴㙥搳戳㝣㠹捡扡〵て㌷㜷捦捤㤸ㄵ㕦㜷〳攴ㅡ户搶摣搷搵ㄳ搱愲㤸〵换つ㘸ㅢ㠱㤷㘸敦㌵〱攷㜴㜲つ挷㥤搲㔷㠲摢㈱㥣挸㑦摡㑦〴㕥㌲㤳㘵㤶㤴㤳㍢㡣〸㐹㍤㐳昲敥攸㠸挰㜳戹㠹㠵㐲㠵㉡㍦㔹㈰㥢㝣ㅣ晢㐵㠰㠶㜲攴收换㍣㘸㥡ㄶ摦㐷㕡昵㜷慣㕦搲摥愸㐳ㄱ㔹摡㔹㈲㉣〷㐲㍦敤㕣慢㠱づ㐳㔱㠳㉡愳㈷㙤㍦㐴㐳摡挳㤸昰〰ㄱ㘰昱戶㠰捣㔰攷〰㤴搹敢攴愲㠰〲㙡㑢㡣晤㡡㕡㠸收㍥搱挸㔰ㄵ㈱㈲㠵捦㙢㠸㠰挸晢㝦㑥昳晢㝡晦捦㕡㡣㍤慦晣攸昷搳㍦戹㝥改昹挱慦ㄷ㑥㍤昳㙥㠱愱㝣㐲〴㐸㙡㠹㐸慥换攲㔳搳㔳㌹敥㔸〱扥㐴攵㑣㔱㈰昵㍢〰㠶敡ぢ㠷愰㑤㄰㘱愸扤㠴㥤㈶㕢つ㜴戲愸㘳㔰搶愸㔳㐴敥㈸ㄶ慡㔱㥣户攱㐲㥤愶攱㍤㌴摣㔱㤴㘷㔱昶㘰㡤㌶〳㠲晣挳挴㐹愰㜷㤱㐸晢挹攲㐴㠰㙦摡㉣㤱㑣㉣ぢ敢㡢㠵搸㑣㠳攸㉣捥㐲っ捤㘳〸㠵㈶ㄳ摡愲搷㈵ぢ㕡ぢ㔹㤷愹㤱㠹㌱散つ㔳慢㘵昴挷㙤㍢搷㠶慦㐰㈵㝦㤴㌲摤㥦挹慥搰搰㘱扡㕥㌵㙣㕥㍤㕤㉤㤳昹㍥㑤㕦㈸㕢ㄱㅥ收搷敤㘰㥤扤搶㍡㡣㘷㕦㝥昱㔳㑦㝦收愹㡢捦晣昴㙤晤晢愷㍥㤷㘷慦戶ㄸ扤摦慣戲㙤つㄵ扣攰㐳晤㘰㜸换㤵㘶愸昷晥㌸㐱昷挱㈶㑣㄰愳捡㔵ㄱ攰ㄲ㤷捦敤㑣㔶㍢ㄵ㈲㍡㤴㔷㐸敢晦㐱づ摣愳㍢㤳摤㑦㈳摡㘷㠹㌰ㅣ㤶昰㜳ㄸ㕦㠳戹㌵ㄸ㤸㕤摦捥㠲摦㙤㌱㝡扦搷㌱㥣㈶㡣挷㕥愲ㄹ搰㔸㙣昲㌸㡤㈸搸愹㌷㘵愲挲㥦㠴戱㝡敥㐶〳〳㐸㤰攵㙦晦昸挲㠷㈷㍥㍦捥ㅥ愷づ㤶户〷〶晥ぢ挳搴㉢㘵</t>
  </si>
  <si>
    <t>㜸〱敤㕣㜹㥣㕣㔵㤵慥㕢㕤昵扡㕦愵㍢㕤㈱㈱散愱㤹㐹㘴㐹㘸㙡敤〵つ改㈵㥤愴㘳挸搶㘱ㄹ〵摢㔷㔵慦搲㐵㙡〹㔵搵㐹㌷戲㌹㍡㡣愲㈰ㄲ㜴挴㔱㐴㤹ㄱ〱㐵晣捤㙦㜰㔰㔱㔹ㅣ㘴摣㄰ㅣㄴ㐵〷㕣〷搹〲㡥㠸づ㘳收晢捥㝢慦敡搵搲摤㐹㡣扦挹ㅦ昳扡敢搴扤攷㥥扢㝤㜷㍢攷摥晢捡愳㍣ㅥ捦㍥㍣晣收攳愳攳昸戱改㔲搹捣㜵てㄷ戲㔹㌳㔹捥ㄴ昲愵敥挱㘲搱㤸摥㤰㈹㤵㕢㈰愰㡤㘷㄰㕥昲㡦㤷㌲㤷㤸㙤攳扢捣㘲〹㐲㝥㡦愷慤㑤昷㈲扣捤晥〴ㅤ㡦捥㔸扡㡦〴㔲ㅥ㕤㈳㘹㈵愱愸慥㤳〴㐰摡攷㠱㙣ㅢㅥ摡㤴戸〸ㄹ㡦㤵ぢ㐵㜳㐵搷戹㔶昲㉢挳攱敥㜰㜷慣㌷摣搳ㅤ㕡搱㌵㍣㤹㉤㑦ㄶ捤㤵㜹㜳戲㕣㌴戲㉢扡㌶㑦㈶戲㤹攴ㅢ捤改㙤㠵ㅤ㘶㝥愵㤹〸㐵ㄳ㐶慣㉦ㅣ㡢挷搳晤晤㝤敤敤㐸㜹攳昰搰收愲㤹㉥ㅤ慡㌴㍢㤸收愶攱愱敥㡤㘶昹㔰愵㌹ㅦ㘹㈲挹搵㠵㥣㤱挹ㅦ愲㐴晤㠴㍦扡摡㑣㘶搸㑥愶㔹捣攴户㜷愳搸㌵㐰挳搷摢扤〶㠸㈷㡤㔲㜹搸捣㘶户㥡㘹㌶㔱㝢㡥㤸㤹㐵㌳㥦㌴㑢昳㜳㈳㔳㐹㌳㙢〷㤷摡㜲攷ㅡ挵㡤㐶捥昴搱搱㤹戳摡㙤㌴㘵收换㤹昲㜴㐷敥㥣㤲戹搵挸㙦㌷㈹攲捦慤㥤捣愴㝣㍥攵昳㜹㕡㑥㙥㔶ㄸ㘹㥢敥㌵挵攴昰㠴㔱㉣㡢㡦慤ㄶ㙥㈶敢敡㈱㔲昰㥡㘲戱ㄷ㜵搵挵㘲㌳㡤㘵㜲㙦㌴㡢㜹㌳换㑣搸㜸换敢㠴〴ㄳぢ晡ち㌸㑥㙤搸㌰㙡㥥㍤㌴㔸ㄵ收愲㜷㤲〴㐱戴〵㈰扥㤱捤㐳摢昴㈳挸㕢〸愲㝣捦㘱㙣搵挷昱㡥ㅢ摥昱㠴㜷㍣改ㅤ㑦㜹挷㑤敦㜸摡㍢扥摤㍢㍥攱ㅤ捦㜸挷㉦昲㡥敦㐰㑣攷㘹㙢㙤昵摡㑦敥搴㙦㝣敢扥㐷戴㠱扢慦㌹昵戶昴搷㝦㌴敡攷㜰㡡㌷慢㐰㍤㌶㠳愵搲㘴㙥㈷挷戱摤㙥㌲攸㜲慢㑢攵捤㐶㌱㔷㍡戴つ㡣收㥤慢㠵〷㑢戹㍦㝦ぢ㈳㤳㐳搲挲摡㤱㠰昹㡣つ㠵敤ㅢぢ挵ㅣ㈶㥡戵㘶攱㙣搳挸慦っ㜵㠷改ㅥ㉢愷㔶㥢扢㔶㠶扢㐳昱ㄵㅢち㐹㠳㈸慦っ改㡢ㄱ㐹㍦ち㐴㍢ㅡ攴㠴㕣㈱㌵㤹㌵扢捣㜴㍡㤳捣㘰㈰㑤㜷摤晦昹㉥㥢ㄹ搳㡦愱昰戱㈰㑡晤〲晤㠵㝤收㙢㝢㍦戴攸昶㥤㕢搷㕥戵攰㠷㔷㍦昳戵挱攵㡡搳㈶ㅢ㕣㍢ㅥ攴昴挶攲挴㙢ちㄳ慥㈹捣〹㠸愲㉦㘱攴ㄳ㐱ㄶ㘵㌳㘹戳㥣挹㤹㌵㘵攸愲捣㐹㈰㑡晤挴㉥挳㑤㝦挸㡣㥤㌵㌰戸敥㘳改㙢捦摦昳㤹愱㔷ㄴ㘷㙤㈹挳㕦挲㜱扣㡤㠷㠰ㄱ敥つ㠵㔶搸㔰挴晢扡晢昵愵㑣㙥ㄹ㠸昶㍡㤰挵愳昹㔲㈱㉢搸搴㘴㝡㌲愵㑥〱㔱敡晢㜶愶て㍦晣搹〷慦㝤攳㜳㐳晦㄰晤挹ㄵ捦〴ち扢ㄵ愷㈰挹昴㌴㌸捥㙡㔲昱㘸㜷扣㈷搴摢ㄷ敡敤敤㡤昷昶昵㐴晡㙡㤱〸扢㥢㘵㌹㌳㕣〱愲㥤づ搲㌹扣㈹㔲㔳㥥㙥〶㥦〱愲搴㈳㜶㜹敥㌸改㐷挷扥㌵㝦搷挶ㅢ敥摥搲戹㈸㌶昱㤸攲搸㤱昲㠴攱〸㌵㤶㈷搴摤㕢摢ㄶ㤱愸扢〴ㄱ㘶ㄱ〵搱㘲㈰㈷散㌴㡢㘹昶㉢捣慤㕤㐵〲㔴㔳㥥㌸㠵㝢㐰㤴㝡搸㉥捦慥愳扦晥㥡敦晥挰㥡㝦昹捥㌵昳扢㕦晤挵摤㡡㙢愷慣慥㝤ㄴ敥〷搱捥〴㔹戸㜶摤摡㉥㌳㤷㈹㜱挶敦㑡ㅢ㐹慣愵晡敢㈹昲〶㄰愵ㅥ戰搳㥢晦愹㝢ㅥ㕤昷挵㕢捥扥攱搸慢㠷㝡摥昵攴㤰攲㌲㉣昵㍢ぢ㡥㈶㜸昷㐷愳摤㤱摥㥥㔸愸㍦ㅣ㡢㐵㝡晡㐲晤戳攰扤㡡ㄹづ㠰㘸㠳㈰慦摢㔹捣攴㡣攲㜴㤷㤹㌷㡢摢愷扢㤲㔰㉣散㠹愹愶摡㐳㡣㌵っ愲搴㤷散㘲昶晥攱昲㕦扥户㌷㍣戲攷㤳昷㙥昹攱收㝢㠶摡㐷㄰扣挵㥥㡣㔷ㄷ㡤摤㔸搱慡㡢㘵愴㍢挴扦戹戵〴㈸〹改㜸扡㌷ㅤづ愷攲㈱㈳㙡昸㌹㥤敦敦摡戴〸戲敤改昳㌲昹㔴㘱户戵㔸愵搷㘴戲㘵戳㈸㥥捥㌴扥慣〵㔷晣ㅤ改㤱㈹㘸㉡㐹㙢㕤㕢㤴ㅥ㌶㡢㘵慣昰攵改敡㔴㜸晣㤰㔱㌲慢摥攵㜶摡㐳㠵挹㝣慡㜴㕣昳挰戱戲㔱㌶㡦慤て慢㈶搲㄰㙤っ慢扦㔹㤲㈲㉤愹㡦㜶慥㤱㥤㌴〷愷㌲㔶昰〹㜵挱搰〳ち㠹㤹㐳搷ㄴ捤㡢㉢愱つ㈵ㅡ㠴ㅥ戹㑢搲㙥愸愵ㄵ㘴㤵慢㙢㜸愲㔰㌲昳㔲扣攵戹捤㤹攴づ戳㌸㘶㔲ぢ㌵㔳㔲搵㈳ㄹ㘴㉢㈳换㌷攵㔱㔱愸ㄷ愹扦㜰㜳〹戴㤹㑦㤹㈹㤴ㄷ攳慢㍣扤捤㐸㘴捤挵㌵㈲㔶㥥〸㌸愶㠶扤愶㤰㥣㉣つㄷ昲攵㘲㈱㕢ㅢ㌲㤸摡挵㐱㥡㍡扢㤰㌲㝤昲㜸㉣慡㍣㉤㉤㑡㜹㑥㘹戶㄰㌳敤ㄲ㜵つ㜷㈷㐱慦㤹㕤搸搵㠹愸晥㌴搵㔱㉡㈹挳攱敡㘴㤴㍦㜵搶㤲戸㍢㈱愵㐳戳㑡㌷改愴㡣㜴㜴敤挰敢摥㡡昶㐱㍢㘴㑤㡥㑡敦搲㤹㤳慣昶换㌹㑡敡㙡ㄵㅡㅤ㤴㥥〵㌴㐹戶搲昷晥扣挲㕥敦㐲扢昶㈳扢愰收慥㌳昲愹慣㔹㥣搵㘴㔲㉣㤱扥㠶㘴㉤挹㍡㤲㔱㤲昵㈰晥㝦挶ㅣ㌷㈳愲㥣㡡搵㤴㥡昶敦捥愴捡ㄳ摡㠴㤹搹㍥㔱〶て愶㔶㕢ㅢ攱㝥晣戵㝤晢っ㔸㙤て挲搶晡㌹慤㌷㝤〳挹搹㈴ㅢ㐱〲〱㡦戶〹摦ㅥ㉤愰㙦收搷ㄶ㌲〵戱慥㙤搳㍢捤㠰昲㔳㝤㍤㜰㈵㥢戶㥤㉥㍡㍤㡣慥㤲㍦〷搳愱搴搲搲っ㠸㜵㐶㘹愲捣㌱㌸㙢愰愸搳㕢㤹攸ㄸ㐸晢㌶㤰㡤敢捣㉣㐶昰愱戲搷晣㔴捣攷戴ぢ㈸戴㌸㌷㌶㥤㑦㑥ㄴぢ㜹ㄸ戸慢㡤戲㌱㤸㠴昱㔳㔲㠶㤶摢㔰ㄸ㥥㉣㙢戹㜵ㄹ㝣戵攷戶㥡㍢㑤愳㍣㡣ㄹ扡摣㤱摢〰挳㐹愶搰搱搴㤴㍦㘷搹㍣慢捤㔲㔲愷㜱㌴㡡ㄹ㘹㑡㠳ぢ㔳㙣㝢㡥㜳㡣㌹㔵㘶搲慤㌹㘸攱攸㐹㍡㠴㤶㑢㉣换挵㤸ㅤ挲㜳㘲〷㙣ㅦ㔲〸㡡搳㤵捡㍣㘱㔸㈹挹晡㡤挵ㄳ㡡㠱捦愶昵㠳攷㥣㜲㈶㕢敡戶攱敤㕥㕤㠰昱㙣㡡㠹㑦搸㌵つ㝤㑢㥢戵戱敡挷㌸慤慢㑤挹㠴㤵㉣㡡戲戶㔸㤸摣㐹晤晢㔰愵挳戴㍣晡㌹㈰ㅦ㝢改昶搷㉦晢攸㘷昷搹摦㔷㘰昴挸愳搳〰搳搹搵改挵㤷㍣晡昹昸ち捣ㄶ收愷愵搶㜴㤲㥤挱㄰昴㐳扥㍤㠷摡㙥㉢㥡㘲搹戶㠹〷㘳愹㈳㜷㕥愱戸㈳㔱㈸散㘰攳捦ㄷ㕦㘹挲㌴换㘲㉥摡搶㌱摤㑡愹㤶㤶ㅡ扢搰㘵㔷搲搰搴㉥〰改ㄸ捣㘶扢㥣ㄴ㑢摡㠵㘰戵㘰㌱搱摥〲挷ㄲ㉣㐴㌰㈹挶㝢挷挷愰攵㥤づ捤㈲㕦摡㈹晤愸㝢㉡㕢㥡㔲ㅦ〷〶㌴㈴㝥晡攴〳㤷㍦昳扢て慥扦攵晤㘷戶㘴㝥昷㑢扦扡搹づ㘸㌰㈷㘹戲捣愲晡搴ㄸ㙤㥣㌱㙡㔴㥦㠶㐵摤㕡昱晥㕦㜵㌹散㔴㤷㕡戵攵戴㌹搶敡㍡挵㘵挶㘵敡晦ㄷ晥㘶㝢愵搶挲㙦㘰戰愸㥢㌰散戸搰挳㕤晢攸㐹昸昵ㄴ㠹〹㠲攵㕡收㌰慣搶摢㉤慦攲㌶〲〷㥣㍥㐱㤲〱昱㜳挷㘰昶㠵っ挳㤵戶㡣㡦扢㍣ㅤ戹搵㘶摡挰㠶愹㉣㍥捡昸扦㕣㥢㝣搸㘲㜶㉤㑣戳㔷㠲㘵㐷㈵戴㝡㤵戶㜶㉦て㍢㡣愹戵㘶㥥捡㑣改㔰㉥㌹㠷㜲改搲㉦㐲㍤㥣挷晦〱㜴㠴晤慦ㄳ㤵扡搶㕤搴ㅢ挶挷㍤㙤慣㈱㌹㍡㌷㤶ㅡ㤷扢㍣戸㠱搹挲ㄴ㌷㥡戸攴改㕣㘲戴ㄲ㐸ぢ㍡㡢捥㐵㐵扤挷㕥ㅣㅡ㔶㡤慢敤㠰㠶㝤㈹敥㉤挹㘶搷㙥挶㝦ㄷ挴㥡昷昲㘹〴敢㤷㤰扣つ挴搵换㉦戳扣㡡晢㔳搲换㉦愷搰ㄵ㈰慡ぢ㐴昶挶慥㠴挳㜹搴ㄵ挸㠳〰ち〸㈷㠲摤〸挲㍢挱つ攸戳㠴愹㤳㈰㔱〱㐱㈷〸ㄶ〰㤳㐸戸改戲㔹戶〳ㅡ㌶挵㤶㈲慥〰㜰つㅣ慡〸戱收〰扣㡦㜹㕣㐷昲㝥㄰ㄷ〰㝢㉣慦㕡㠶㙦〱攰〶ち㝤〰㐴㜱㝦㑣〰昸㈰ㅣ捥愳㌲挸愳〲〰户搷ㅡ〱昸㌰戸〱㝤㤶㌰挵㕤户㘶〰㡣摢昵㙣攸〱㙦戱〳ㅡ㌶攸戸愷㈶〰摣〲㠷扡〰㘲捤〱昸㐷〴敢㥦㈴戹ㄵ挴〵挰㙤㤶㔷慤挰户〰㜰㍢㠵敥〰㔱摣㤰ㄳ〰㍥つ㠷昳愸㌱攴㔱〱攰㜴戰ㅢ〱戸ぢ摣㠰㍥㑢㤸㍡〳ㄲ捤〰ㄸ㥤〹㠰㜵㜶㐰挳㡥㈰户昴〴㠰㝢攰㔰㙢㘶〴攰㡢〸搶扦㐴㜲㉦㠸ぢ㠰慦㔸㕥ㄵ挵户〰昰㔵㌸昴晢㐰ㄴ㜷〰〵㠰晢攱㜰ㅥ戵搲つ㐰っ散㐶〰晥ㄵ摣㠰㍥㑢㤸敡㠱㐴㌳〰愲㌳〱㄰戱〳ㅡ戶㈰戹昳挸挵㐶晦づ挹㈳㈴摦㈵㜹㤴攴㌱㄰戵挲〶攵攷㌰㔶㈳ㄸ戸㔵㘳昵摦㈹昳㌸挹昷㐱㕣愰㍣㐱㥥搸慡㑡昵挳㉤挰晣㠸捣㈷㐱ㄴ户㌲㘹愹㜹昴ㅦ㠳捣㘸ㄳ㜰㉢戴ㄱ㥣愷挰つ攸戳㠴愹㌷㐰愲ち捥㠵㑣㐵㈶挸㘳㘶〲攷㘸㍢愰㘱㍦㜵ㄵ攲㑡敦㜸〶づ戵搸〶〲敥摡㐷㝦ㄶ㝥晤㌹㤲攷㐱㕣㐰扣㘸㜹搵〰扥〵㠴扤㜰攸㉦㠱㈸㙥㤴㑡敦㜸ㄹづ攷㔱ㅤ挸愳㌲㍣〶挱㙥〴攰ㄵ㜰〳晡㉣㘱㡡摢慦㔵〰㑡㑣㐵〰㘸㤹〹〰慦ㅤ㔰扦㔳敢㕦㠳戸昵收愷㥣戳㔵昶戰㕣㑡愶搸㍥改㜳昲㤹㜲㘹㕥㝡㜰戲㕣㔸㤳㈹㐳ぢ㘸㑦㠳挰㈹㔱㡥㤵捤ぢ㔷愴攵改㜳㌳收㙥慥晦㈷㌶〶攱〸㜲㜸戲㔴㉥㠸㘵扤愴㌱㝣㜵㘱㘳愱扣㍡㔳摡㤹㌵愶㤷㌶〹戶㐲捥㥢㌰昳搸㝦㉣㘲ㅢ㜲㉥愱挲捥㥤㘶慡㐹ㄹ挷ち㤳挵愴㌹扡晡㜰搸挱㔴搶ㄶ㠱〷㔶㈸戴㌱戵㙣㘶㉢挰㠵㝢㍢ㅡ搲ぢ换㔵ㅤ摣〶㤸戶て昱㝤搳愶㔱昴攸愲挱㈰㘳昴㜳㥤敡㈰扡扢㥦㕢㘳戳昷ㄳ搷挶㈸㌷㡢〲㘹戴慤挵敢戰㜷摥㜱捥㤴㐹㤹〱摢㜷㜶㈶㍦摦㜶㙥㥡㉣搷㠴ㄸ㔳ぢ敤㄰搸搸㥢昲㘸晦愴㔱㑣ㅤづ㑤㠳㡡攱戱摡㐵㘹昸㍢㌸戴慤㘴㍣㥥扤捥搵㡥扤㔷㘰挴㝢㙤慣戹〳搹㜴换愳㌲㈶攱㜰敤㉢㜳㜶敦㈰摣ㄵ㜶ㅢ㝤㍣晢㤳㔶戰㡥晥收㡢㠴㠹㕥㡥攳晦慣戹戰搶㉢挶㠷㥥ㅥ㑣攰㈸㜰戲㙣捥慦戸㘴戴敢改慤㈶㑦〸㜷㤹敤ㄵ搷收㘴ㄹ愷㈸㤵昴戸晦㝦昸戴㄰㄰昱搹慤愴愴㥤戴㔹㍡㙦㙤㈵㌸㤰づ戲㔵搱㝥㘹㜹㕥㔸愵㍥㝣㈳㥦摢㔶㜹ㅣ㐷㠰㡦挷捦㥤攵㝡敢愲㜶挲㜵ㅦ〲㜰㈴㉤㜴捥愶慣㘹㑥㘶戰㜶㠷挷晤昷㡥戴㑣㝥㌸㘴攳つ㠲㑥づ㥤㉣慥攵㤴㌳㐹㈳㥢㥤㥥㥦ㅥ捤㈷戳㤳㈹㜳㠳㤱㌰戳捥挴捤㘳捤挳愳扤攴㔲㤳搵㔶戳攰㘲㠳㌲㡡㥢㑤捥㤱挳㐱捦㜵ㅥ扤〵㉤㈵敢㉥搲〸攸㝥㝢摣㜱扦晦㠰㑦㕣〲㠸㜴㐴昵扣㔰㉥搴㘰㙡㙢㘰㜱㑥攳ㄶ㜴攵搰㐶㐶㥣㑢㙣㐳〱㌷ㄴ㜶㤸㈹ㄷ㙢㕤挶㘲ㅤ㌶攳㑡㥡㐹搳戴㠳㕤㘵㝥㜶搹㠳㑦敢㝢扥扦㙡挹昶㤶慦晤户攷㠵㔵捥㘸攱ㅡ挳挱戱〱㘰搶㙦㕥扢〶㠷㈸〰㌲〹㔲搵敡攴っ㘶㘹て摢㌲攵慣㌹㉦㉤攱攲㙥攳㤰㈰㥡慤改㙤ㄳ搸〸㕥摤㤱㕥㕢捣愴戲㤹扣㐹㑤〴〷扣扣挴戴挱摣㡥愳挸捤㠵㔲㠶ㄷ㐳㍡搲摢㉡晢戴挹改㈳㙡㝣搲㔸晥昴㔰㈶㡦〱㘴攵㐹㜷㘷㝡㙣愲戰ㅢ㌷昱㈶㜳昹戵挶捥搲㘱搱㔰攸捤昶㘳㡤㉡慦昲㝡㔵㥢户敤㘰搷㉡搹㥥㠷㍥敢昱搰㤶昲㤲搸捤㜵㌶㕣戳㡣㔹戶㤴㝤ㄸ捣㌱换㜲搵摣㘶㙡㝡ㅣ㔵戹捡挸㜹㔸㙦㐵愴昶㌶㤰昵㙢捦ㄹ慤㕥㈱昸㤳㉥ㅢ晡㌷㈲攵㔹㤶〳改ㅡ㤵昳捡㈳㈱㍣摦敡㉥攴戱昷攸搲敡昴搵㜷挱㐰㕡㘴搸ㅢ戱㠲㔲㥣捥㌵㌸㑥㙡挷攰挷昴㡢㘳㌸捣扢昳㉤て昵㍡㕣㕡㉡搹㘱挳㠵㕣捥㘰昷㘲搷ㅣ挳摣㙤戶㠹㤲㡤搹㐴㑦㠳㐸ㅦ戴㔹挶ㄴ㔸挶㤴戰戰㈴昳づ㠲戸㤹㔶㘱扢㔱捣㤴㈷㜲㤹㘴ㅢ㍤扣㈷㜰㔸昴㑢㜴㈱㥥㤷㍡㡦㜴㑥㘸慣昵㥢㡣搶㈹ㄵ㥡扢ㅢ㐶〴愱㘳昳愳昷㝡㘵ㅤ㔷〷㜹挰㡢敥慢㔳挵搵〳㐸捤捦搳㔱㑣晤㔶㔱㕣㑡ㄸ㌸㌲ㄱ愹捤ㄴ愰昸㍣㔰㍡昸昱㙤〵㤹昵攰慤ㄵ〲㠱つ〵㈳戵〶㔷㐹ち挵㔶晢㜲㙣ㅢ㥡㤶挷㍦挵㈰て㕢㠷㜱㐹〱㤷ㅦ㜶㐱ㄷ㉥戶㤱㌱㠶㘳㑣ㅦ㡦㘹㌵慢つ愹㘰㝡晣晥㜹㙤捤昲ㅡ㜵搲㕡㙡ㅦ㑡戹敦〱㡦㌶愴晦摣㤶㍥摡戸愸㔶ぢ愸摥㡥㝡攸ㅤ慣搳ㄸ扣慣㑦㥤挰㝣ち㜴㠲昸捦㐱㘰晤㈸㤹昱㘰㤲㠹晢㜳㍣㌰㙤换戱㍡㔰㌹㌴ㅣ愳攲攰ㄵ㤰㘸昳摡㜸㜰愹〷㤱散户扥昹捤㤵㜰㝢ㄴ㑦晥㥣晣愹挰〶〲〴㑦㕦挰晣㡦㘰晥〶扣〷㜰〰㐲㑤㐹慦㤸㥡愲散㔶㉤换㡥戴摢㤰㕣㤸戶㉤㑡㤷摤㔸挷ㄳ㈵ぢ攳晣㌰戲ち㔱㍦挰收㡣㥡㠳㕤㠱愵摢戳㡦〷㍣㉡㠹〴戹攲㝡戴㠵〰㝣㌱收㡡扣摣愲散〲㍣攵㘲㈶㌱挹㔵㤱攱㌲昱晢慡ㄳ扦攲㠱〸㈷㝦㝤ㄱ㈲㉡㥥㡣㜰㑥㐵摡愲㔴改㡢搹㝥㜳㡥戱敤㡣㠱㡦㝥ㄴㄳ戱㍤㡡挷㈸㑥扦㘰ㄲ㜶挷㍤ㅡ〲晡㌱ㄴ攴ㄱ㑢ㄳ㠱㘳㈹㜰ㅣ㠸㥦㥢昹昵㤳㑡敤㤹〴捣㘶ㅤ㐲㍥戹ㅢ捤㤳晣㌶ㅣ㡡换ㄵ〰扦㡣挰㜹慥愳㝢捤㍡戵㙦㐳ㅣ戸㜲㈵㙤っ搳戳㤹ち㔸㥤㡢㍤㥥昳㠸搷敢挳ㅣ愵搵㥦搰㌶㘴换㈴挶㑣㌹㌷㔱ㅤ㈸㠲㜶㍣㈲㉦攳㔶ち搲ㅦ㥦晤㈲敡㈶挸㘳ㅢ㠷戳㤸㍣戰捥㤷㈰戶㈷愰搸㐸づ㈴摣捤戲挷搲㠹〸搵扢㐰ㄴ户晦つ㝣摣慤㍦つ慦搵晡㈷㐱攴㐰㕡㥦〷〵搲晡㝦挱戴㜹㘲㔰搳晡㑢挱㥤扢昵㉦㘳㘹昰搱㤷㌱ㄱ摢愳㜸扣攰搴挴搵晡慦㠳㠰㝥㌲〵慦㘸㉥㜰ち〵㑥愵挰㤵㄰㘰て搰㑥㠳敦㜸〷搹愶户㙡㥢〰扡〲㤱〰㈸㡦㈸㥣㘲戸〰㍤㥤戹㜴㌳㤷㙢㈰㘰攰攳〶昴㝤昰㕡㠰㥥〱㤱㠵搶つ摣戹挷搲㜵㠸㈶㘸㠶㤸㌰㡦ㅦ㙡搰攴㠶散摣㘸敥㘱㔱昰搱愳㑣挴昶㈸㥥㔵㌸搵㜰愱ㄹ㠳㠰ㅥ愷攰〷㥡ぢ昴㔰愰㤷〲ㅦ㠴㠰愰搹〷摦ㄲ〷捤ㄹ㉥っ㌷挱昳㑣㐴〳㥥㍣昱㜰ち㐲㠵捡敥愰慦㘷㍥㙦㘰㍥户㠰㘹攰攳挶㤳㐷ㄲㄶ㥥㉢㈱㜲㈰ㅤ㤴攷ㄸ〲改㔹㑣晢㔶昸㙡㈰ㅤ〰㜷㙥㐸㙦㘳㘹昰搱〷㤹㠸敤㔱户挳攱搴挴〵改㄰〴昴㘱ち摥搱㕣㘰㌵〵㐶㈸昰㘹〸〸愴㙢攰㍢捡㠱戴晥戲㜳ㄳ㉣搷㐱ㅥ㔸摥攵捡挰搵㌷㐷㤹挱㝡㘶㜰て〴っ㝣摣㔸昲㜴挳挲昲㡤㄰㌹㄰㉣㜹㈴㈲㔸㙥㘰摡昷挲㔷㠳攵㐶㜰攷挶昲㉢㉣つ㍥晡㈶㈶㘲㝢搴㔷攱㘸㠲攵㘶〸攸㕢㈸㜸㕦㜳㠱慤ㄴㄸ愳挰晤㄰㄰㉣户挱㔷㤹㐶㜱㈹㙤㤶㙢摢㑤㤰㍤ㄷ戱㠱㉣㑦㘵㥣昲戸㤰㍤㡦搹㥤捦散扥〳〱㙥㤸㙢㝦〵㕦晢昶㉥㌴摡改收挵㘷散㌸㙦挲愳扦㠹㘹搸㥢愶㙦㠶㥢ぢ散㈳㘰慤挵挷㜹㕣㥡㈶戶晢㉥戰愵㜸ㅡ挳㉤㍦〲攳ㄸ挴㌳㙤ㅦ愹㐷㈱挷㉤㈴㡦㝥㈱挴慢㝢ㄸ攳㜶㘲㡦㈱㘸㍤㍥㉦晥昵扢敥搸㍢戵㙥㘰㠱㍥晥挸㤳㐷㈵〶㥣㠴㔹㌰ㄶ敤摦㈱㈳ㅤ㐲づ㕡㈴敦〸㔸㉥敢㑥㍤づ扦戴扣㠱戴ㄵて㠰慣㤶昷攸慣扥㥥〴㤹扢攵㥦㐰㌴〸攲づ〵ㄳ戱㍤㡡㈷㐵づ搲㜰愲㑣愲㥤㥡㄰搰搳ㄴ攴㈹㔲ㄳ㠱敤ㄴ㤸愰挰㡦㈱㐰つ㔵捦挰㔷㔱㉡㥦㜲㐵敢㠴摢㥥㘷㉥㘲戴ㅤ㡣昶っ㤸〶㍥敥戱昱㉣扣搶搸挸㐲攴㐰挶挶㜳㠸㈹〸攵㤸昶昳昰搵㡣㡤〲戸㜳㈳昴㈲㑢㠳㡦扥㤳㠹搸ㅥ戵ㄷづ〷〰搷㍣㜳㌱〴昴㈲〵㜹挴搴㐴愰㐴〱㥡摡敡㘵〸挸搸㤸㠴慦摢㤹㘷昶昳㤲㝦㤳㐱戲ㅢ挹㘰㤰扣攲捡搷㌵㐸愶㤸敦㌴㠸㥦㜵搸扦㈳㡢㔶㈴ㄵ㜴㥤㈳挹ㅤ㤱〵改㉤㤳㐶ㄶ敦愷㙤挲㍥㘶㤹慣挳挱㜸昵㔹扢挹㜳敡㜷㔲㠵㌷㕦搸㠱㥡搵㘳㔰慢ぢ摡㜵㤳㉢㌱〷户摢ㅣ昰㕦昵挷㝤晢昶㉦ㄷ㌶㕤敤㈵ㄵ㡥户㠰晥㌶〴㜰㌶愰ち㑢ㄹ晤㔲㔲晢㠱挵摤㠴敢㙦〱㜷㤶㑤㥦扡㡤㕡愶户戰㙡愲㜲㌳㘲㜹ㄶ收挵㝥散晤㕣挶散戹㌷换㌴㙡㑢挶㙤㈱攱㕥㘱㍢摡㈰攲愷㘹㕦慦昸㌷散㈶㜰ぢ〲㐷㔰搸㔷ㄸ㉢㑦㘷戱㤷㐳㈷つ〱换㐵攳搵ち㐶愱ぢ㐵㙣㑥晢敡慦搵㔵攲㡥㈰愹㜹㡢敡㙥摢㑢㌴㠶㜰摢挲㝦㈵㥡㘸挶昸慣㐱戵㔵ㄸ㠷㡦昶㜶昰ㄷ㥤㥤㐹ㄶぢ愵㐲扡摣㌵㠶扢愳㕤㝣晦㈲㡤摤改㐱晦攵㐸戱㘹㥥慣㤸㉦捦㔷㌹㜷昱㌶㔲㘰㐷扥戰㍢㉦愵昱㤷昸ㅡち㜳搳㕢㕢㤹㑤〰ㅦ㜹晥ㄲ㈸〶戹挵挱挸晡㍢攰攸㘸〹㜲㡦㠰㑦㤰晢〴攲攰愶㠰㌸戸㌱挰愷㤳愶㍣㔳搱挴㝢〸㐹㤰ㅢ〰散㥣摡㍢攱㤸㍦㍣㌴敥摡㐵搴晥〶扣㜶昰挴㑡摢㡡搷㌷戴慢挰㔹〰㑥敤扢慤㐱敥㈰挸㤲挲㔵㐰摥〰搵摦つ㤶ㄲ㝢㤵慣慢改㠳㠳㐲㡡昶㉡㍢㡦㥡〴戸㙣㌲㌰㍤摡㝢挱㤹戱ㅤ㔴〹㘲㙣㡢㕡㉣㘹捡ち㤶搷挲〱㉣㘹戶㜲晡搶摥〷挷戲攱愱攱慤攳晤㐶㈴㠹户戳晡ㄳ搱㜸㑦捣㌰挳晤扤愹㜴㈸ㅤ敤改㡢愵攰敤敤搱慥慢㠸㐶攲扤挹晥㘸搸㌴攲愱㐸捣㠸㈵晢㈲㠹㐸㉡ㄶぢ挵ㄲ愹ㄴ搸搱㈰つ㘲㈶慦扦ㅦづ晤㝡㤰㈰敤㘰㘱敤㈱敢〶戲㘸ㄵ搷㑡昹㘹㌸捥㌹㤹搹挶㉡敢愳ㄲ㉡愹㔲捡昴戵戶㌶㥣㐷搷㑥㙣戰㘳㘵ㄲ攴ㄴ愸㘹愴晥っ㘰㥡㝤㥥㜲㈲愱㔴慥ㄱ挱挸〲收㠷挰搷㙦〴〹〴㘹搳㤲愷㝤ㄸ㡥㈳搰昰戸ㅤ攷㕣挲㤶㔱捣㉥愲戳敦攸散ㅡ挱㉥㄰㐹㠳昷㈳攴㥤㑦敢敤捦㡦㠳慦挴㝥㈵晦ㄳ昴挱㈱扤㘱㈹㕣搲ㅢ㉥㐴戹㥤摥愰戳㌷㜰〰慡㌷㌷㙤昸㘵〸㤶㝣㍥〹〷ㅡ晥㜵昸㤲㠶扦ㄵづ慢攱㔳㐹㈳搴摦ㅦ敢㌵㝢㝢㘳戱愸㘹昴㈷㤳㐶慣户㉦㠲㜶㡦昷㐴愲㐹敤㔳ㄵ搱㐴㌸摥ㄷ㡤㠶ㄳ㘶ㄴ慦昱昵挷搳㝤㜸㠳㌳㘵㐶㤳愹㐸㉣㙣挴㝢晢㠳㈷摢挹敢户挱愱摦づㄲ㍣挵㘱摤㐱搶愷挹㍡搵㘱㔵愴搴ち戰搸昸㙡ぢ慡挱㠶㤱㐲摦〵㡥晥㌹㤰㐰㤰㌶慥昰〸戰㕥㠷㈶㙤摦㉡㥡㑢〸摤〹㈴昷㠰慦㐲㈴昴㝤挱㜶〸㥡ㄱ㜸〴捤㤱愶㘸づ㌷㐵㤳㔶慣攴昳㘵㌸㠰㘶っ㕦㠲收㔷攰戰搰㌴搳搱晥戸ㄱ挵㌸㐸昷挶㐲挹㤰搱㘳愶ㄲ㍤㘶搸〸㐷㈳㤱㜰戲㕦晢㙡㐵㌴㤲㌴挲戱㕥挳㠸挴捤㔰慣ㄷ扥㔸㈴搴ㄳ㑥㐶晡ㄲ㐹ㄳ㉦愵昶〷㘹ぢ换〰戹てづ晤㝥㤰㈰㑤㘰㘱㍤㐰搶㠳㘴搱㈰慥㤵㔲㘷㠲㈵㘸昶摢㘸捡㥣昳㜵㐶㜹ㄸ㈴㄰愴㠵㍢㈳㥡戴㝣慢㘸㉥㈳㜴㑢㐹扥ぢ扥㍡㡢㠴扥㐷㙤㠷愰㌹〰㡦愰㜹㝡㔳㌴㤷㌷㐵㜳㄰㤱㈴㥦挷攱〰㥡㐳昸ㄲ㌴扦て㠷㠵㘶㌲㤶ち㈵愳愱㌸晡愶ㄹ敢敢㑦昴挵晢ㄳ㈱晣㐲㐳㉡ㅣ敢㐹㠵㘲㠶昶㠳㡡㘸㝦㑦㝦ㄴ愸㈵㐳攱㜴ㄲ㐰㐶晢㡣㘸戸挷㡣昵挴㈳愹㜸㌴ㄶ㡦〴㠷敤攴昵㈷攰搰㝦〸ㄲ㕣敤戰㝥㐴搶㤳㘴㡤㌸慣㡡㤴㕡〷㤶愰㜹㤲㡤愶ㄴ晡㈹㐶㜹ㅡ㈴㄰ㅣ〵ㄵ㕥戳扥戹摥〹㤴㤱扥㠲搰㉤㈷㜹〶㝣戵㠱㠴扥㕦摢づ㐱㤳挶慢愰㜹㘴㔳㌴ㄷ㌶㐵㤳㈶慣ㄴ攲〵㌸㠰收㘶㝣〹㥡㉦挲㘱愱〹搸㝡搲㠹扥㐸〴敦㍥挷晡㈳㘶㕦〴㐸挶つ㈳摡㤷攸㑤㠵㝡愲摡摥慡㘸㉣ㅣて愵㝡㐲搱㘸㈸ㄹ㑢愴㤳〶搶㠱㘴㉡ㄹ敦㐹㈴愲㠹㜸㉣ㅣ摣㘲㈷慦扦〴㠷晥㌲㐸㜰慢挳晡つ㔹晦㐵搶㤸挳愲㠰㠸㉡ㅡ戵㠲愶敥㐶昳㔵㠶晦ㅥ㈴㄰㍣て㜴㐶㌴捦㜷〲〵捤㈸愱㡢㤰㈸㔴㔵扤〹㠱㠴㌳愰晥昸㍦晢昶㔱つ㈵㥣〱扤〵㠱㔴㈷摦㡣㌰㡡搴㉡㙤戴㜷ㅢ戹㌴㘳愹㔲敡戴㤴ㄴ捤搸㐶ㄹ挳攱戶㔲〶〹㔳摤挳㠲挴ㄲ挰昱㉡ち㔱㤹愷摦捥㜰捥搳慦㠰摢戸㐰愷㄰㉣㤵㥥㠷愴搰㝡愶㠸〳挱戴攳愰㡤挹㈷㌸㘱㍢㍡㌳㜰晣㜹㤴㥤㡢㤰戲㑣ㄹ敦㠴挳㥡㙣㘵搵愲慤㉡㝣㕥摥㤴搷挶昵〵慣扡搸㤹㘴ㅤ㘱〳㈱摤戸挰昲攱愳㥥㜷〳㔱㔹戰㥥㙤ち挴㑥㐴㄰㈰ㄶ㕢㐰㕣っ㍦㕣ㅥ敤㈸㔰扢ㅢ昷㐶搲㜸㜹扦㍦ㄶ改敦㡤ㄹ㠹㕥㈳ㄴ㌳ㄳ㍤昱㘴㈲㤱づ㈷㈲㠶愹ㅤ㕤ㄱ敤ぢ㐵㡤摥㜰㉣搵㥦㐸㐷戰㘰愵㡣㔸㍣ㄹ㠹挶挳改㤴㘹㐶晢愲改㘰搱㑥㕥㍦〶㜱昴㘳㐱㠲㈵㠷㜵ㅣ㔹挷㤳㔵㜶㔸ㄴ㄰㔱戵ㅢ㉣改挶㑦愳ㅡ㤵〵慢㡢攱㈷㠱〴㠲㔳㄰㤸戱ㅢ㑦㍢㠱搲㡤〷〸摤㉡㤲㔳ㄱ㔵扤つ㠱昸昷攸愷挱㐷㈴昹〹㍡㈶㤰ㄲ晢㠳挱ㄵづ㠳㘹㜱㐸㜶㉢㄰愹愳挵晦づ昸㕦㍦昳つ㍤㤷昶扡ㅣ愶㔱捤㥢捦㈳㜸㤳㜹ㅡ愹㜸㕡㜰昸㘷㥤㍣昸扣㘷ㅥ㕣㕡搴戹摡㤱ㄴ㍦晥挷〰搵㥦㤰づ㌱愹摡㈵㑣昱㐴㝣昴㙥㘲昶㙥〴㉥愴敦〲㤲ぢ㐹〸慤晡㌶戲㙣㝡㌵晦㕢㜶㐰晤ㅢ㙤挱慢ㅤ㈰㘳〲愴愲挶㑣㌰搵㌷㄰㠳㌵㤰㑣㝢㄰攸㝦㍦搸㑤㉦收搴晦㤶㡡晢㜷㘶㘸㥡ㅣ㤹ㅢ㉤挱㑣挰㑢慡摢ち㠳㜲㌵㠷㍡攲〲挷㝣㔸敥扣㈰扢慣捡㜱㙥挰㌹搱㌶ㄵ㉢昱昰扥㈷っ㉢〴㉣攷敢戴㐷㔶㝤慥攳愲攳慡㕣散㤲攳ㄲ㤶㤹㜲㔲㉣挱捥昶㜹㕢㔴晤愱慡㕣㜰戱摦㘶愴捡捤搴昰㠶晢㘸㙡㍥㙡㜰㕣㤳㔳摥愱㑣㔹㙥㐹昰挸㔳改戴㉣戴㍥挲戴㜲改昰搲㤸晦㈱㐰户摦㔹㈰慥慢愹㤹㈱ㄲ挲㑣㝥㈶扥搴昵〸㈵昴㑡扦㡥㜹扣挱捡㘳㘴㘹㑣㍤㠰㍣㤸て〷㑣㐰㍦㡢挲㝢㈰㐲ㄶ攳㉢㥡ㅤ㑥㜸攷㠷攰昱㠳㕢㘷㉢敥攵㐰攴㌳㈰搴㜳扣晤摤㌵搰㜹㘳㝤㡣晡ㅢ攴搶㥤扡㝢㔶㘱攳て捦摥㔵敡攳㠸㔱敤㤶㈵愴㘸㜵换㉦愳㐴㑤扢攵扤㜶㐰晤㉢㌳㐱㥡〲㌲扥㔷愳㈶ㅤ㉤㡡晡扣㜴换㉦㈲㐶愵㕢慥㘱㤵㙦㐳㤰㠵て㤵㝣㙤ㅤ㜸搲〶㍤敡昳㤰㜵挰〸攸敢㈹㝣㝢㐵昸㔳ㄴ摥㘰〹㡦㉣敤㔱晦㘴ぢ㕢㘰㙥愴㌰㔵㜸㈷扥愲㉡㕦〱昳㉥㜸づっ捣捦搵挷愸〷搳㠲㝦㤱扤㐵晣昲㉡㜵て㘲㌴〳昳㑥ㅢ戳㠶户㑦㍥㘳〷搴扦㝥ㄳ晣〲㔲ㄲ㌰户愱㔶〰昳换昰ぢ㤸㜷㈰㐶〵捣㜳㔹攵晢㄰㘴㠱㐹ㅤ㕦㍢摦挲㘷㜸㘹㐴摤㙡攳〳づ㍡摢㥢㈸㑣ㄵ摤ㄲ晥㉡㠵㉦戰㠴㐷㈰㝣㡢㉤㙣㠱昹ㄶち㍦〰㤱ち㤸搴攴㉢㘰㔲㔱摦て㌰摢散㥥ㄹㅣ攸㝣搸㠹㜱愱㍡改晡㐱晦㔳㔷㌴〵昳扡てて㐴昹㤴捥ㅥ㔰摦㐵㡣㘶㘰摥㘴㘳搶〰收㐷敤㠰晡㔷㜹㠲㡦㈲㈵〱㌳㠵㕡〱㑣㙡昳〲收摦㈳㐶〵捣㌴慢晣〴㠲㉣㝣愸攲㙢ㄳㄶ㍥挳㑢晢搴摦搹昸㠰〳㌰㉦愲㌰㌵㜴㑢昸〷ㄴ捥㕡挲㈳㄰摥㘳ぢ㕢㘰收㈹㑣〵扥〲㈶ㄵ昹ち㤸㑦挱戳ㅦ㘰扡㠶昹搳昵㌱敡挱扣昴㤵ㄳ㙥㝦攸愱昵〳て晣昶㤴ぢ摥㜷晦㑢慢搴㌳㠸搱っ捣㙢㙤捣ㅡ挰扣挶づ愸㝦㉤㈸昸㙢愴㈴㘰㤶㔱㉢㠰㐹㘵㕥挰㝣て㘲㔴挰摣挵㉡扦㠴㈰ぢㅦ㙡昸摡㤴㠳㑦㔴晤㙤つ㍥㤷㔰㤸晡户㈵㑣ㅤ㕦扢搴ㄲㅥ㕥ㅡ㔵敦戰㠵挱〱昲㤷㔳㤸晡㝢〵㑣敡昱ㄵ㌰㕦㠵攷挰挰晣㝤㝤㡣㝡㌰㤱㉤㥥晦㕣㜵攷摡愷㉦㔹㜴攷㙦㔶㈹慡昲捤挰扣摣挶慣〱捣换散㠰㠶㔷㡣愸昷㈳㝢散扢挰挱捥挲㡦ㄲ㠵㥥摣ㅡ晤㠹㉡扣〰㝦ㄵㅣ〰㥥㝡戸〰㍦㡤搴㉢挰扦ぢ㕣㐵㤵户㕡挰慡慥㔱㥥愹㠰㈵㍢愰晥㌵㥦㈰搵㘵挹昴㕡㌸㤰㈹㜵㕥挹昴㘲㜷愶搷㠱慢愸㥦㕡つ㐸㐵㔸扢ㅥ〴㤳晡挸搲㕥㤵㠳慣搳㐰〱晤〶ち㔳㑤戵㠴愹ち㙢ㅦ戴㠴㠷㈱㥣戱㠵挱㐱㙢㝦〸㕦㡡㙡㙥愵戵愹敥㍡㠹㜵㔲㥢㍤戰搶愶敡㕢ㄳ愳扥戵昷㥣户敦挸㥥搳慥愹づㅤ㙡扣㔵㌰㑢㙣ㄷ㔱摣㔲㌶㘶つ慤㥤戴〳敡㕦ㄹち㔲㕢ㄶ㌰㙦㠲㐳晦ㄸ挹捤㈰〱㍦㌵攲戹㙥㙣戹㝥攰㠸㕢戳晥㌴ㄵ戲㜹㘹㡢㑤㈵㔶㕥て挹捡扥㜵㍢慥㌸ㄶ昱ㄳ㐳ㅢ㜰㙢ㄷㄷㅢ昱晢㠰昶㉥㉦㙥昳昲攲㡤㜳㠹㑥ㄷㅦ㈳㙢改㑤㐵摣慡㙢㑤㡦㤶㜰㌷㌸搵㠶ㅦ敦㈸攳㈷㥦昲㠷挳ㄱㄲ㑥ㄲ㝣〰〸㡦㜵㠷慢改㈶晥〸㠲㥢㉡㙦㜲敢戹扢㡡㠷㜳〹摥换㥢㤱〷㜷㠰愴㝤ㅣ挵改㠴㈶㉢扦㈹搹戵㡢捡㙤挹慢摥㠲㜶ㄷ扢昹戱捦㕤戹㑦捡ぢ㥤㔰扦〵戲愲敥㜳搶㐰㘷㐶愷晥㐷戲㜸㔰㈸挴攳愷㝤㔰㕦㈹ㅥ愷㔰㔷昲搴晤㐲捥扣㜹慣改搸㡤㕦ㄸ昸㥦攸㠵㠳㡡㈶〰㝢㡦㜶㉢㠸敢〴㌶攵扡㠸收㔳攷㍢㈵昳㕣改愹㤶散㌶㐴㤱㜷㠴㘵ち㤲㤲摤㐱㔶戵㘴慡〷㝥㤶捥㜹㝣㔴㙦㘷搳慣㌹㝦戵收挶つ晥慣㙡㕢㙥㍣㙢收户㤷㈷㉡㍦愵㡡㜳㑢晣〴㡢晥ㄹ㈴挲㐴昹㔱搴㠱㤹慡㝥㈷〸㌹晣㈸敡㤰㔲慦捦挲㌱㘳扤㌶㌷慤搷攷㄰愵慥㕥晦㐴㤶慢㕥㐴搶㕤㉦㐵㑤㔳㑡昱捦㜰攰摦㉡挵㐶㠷㝢户㥢㑢㤵㑣捡昶㜹㌸㥣摢㑡戵㠰慦㙢㕡戰㝢㈰㕦㔷戰㉦㤲攵㉡搸戹昰搷ㄴ散㑤㘰㐸挱敥㠵〳晦㔶挱愸㥥〹昷换㙥㉥搵ㅢ㈹搸㔷攰㤸ㄱ戴㠱愶㘵扢て㔱敡捡昶〰㔹慥戲㔱㐱慡㈹ㅢ㤵㈰㈹挵搷攰挰扦㔵戶扣挳晤㔷㌷㤷摡㠲㤴敤㈱㌸㘶㉣㕢㕦搳戲㍤㡣㈸㜵㘵晢〶㔹慥戲敤㠲扦愶㙣㤷㠰㈱㘵晢ㄶㅣ昸户捡㜶戹挳晤戶㡢ㅢ攴攲㉢昳昲㜷攰搰ㅦ㈱昹㉥㐸㐰㕤〵捡㐲敢ㅣ昰㕥㜵扡㔳扡㥡〱晥㍤ち㜰㡤慤づ昰挷挹㜲㤵㡥㡢㌲㑢㔷ㄹ戶搷挲㈳㘸晣〰㡥ㄹ搱㌸搹挹慦㘶搸晥㄰㔱敡搰㜸㤲㉣㔷㝥㕣㡦㙢搰戸〱っ㐱攳㈷㜰攰摦㐲㠳㡢慢㜰晦挳捤扤〹ㅥ㔹攲扢㤰㍤昵ち扥㌴摣收搵ㄴㄷ㉣〹㌸搱づ㔸㈹〱㑡摤散〴㉣戱〳㘸愰敡㍦〳搷捦搹㙦扦愷㘵㙡㐲〷㜹攴晤㜳攴愳㌸慦㡡㌶昵ぢ㌸昰㙦搵㤲搳㥣㑣挲扦㘴㌰㘷㌸㤱昹㤵敤愰愷㤳㌳ㄲㅤ㙤㥣扦㍡敦㜴晢ㄴ愷ㄳ㠹晦㥦㘴㜳㈶㤱昸捦搸づ㠹捦㔹愳ㅡ㥦戳㐵挵愷㌸敡㈵晥慦挹收㠰㤷昸捦摡づ㠹捦挱㕤㠹搱挹㐱㕤昱㈹㡥㑣㠹晦ㅣ搹て搸㘱晡昳戶㐳攲㜳〰㔶㘲㜴㜲攰㔵㝣㡡愳㐷攲扦㐰㌶〷づ挳昴ㄷ㙤㠷挴攷㈰愹挴攸晣戶摢愷㌸㈸愴搹㠳㜵晤㠱〳㐵〲㍡敢晡〳〷㡦〴捣㜷昷㠷摦㌰㔵づㄶ㈹捣㝦搱挷㜱㈲㠵昹㉤ㅣ昸户ㅡ㡣ㅤ㕣㘴㕥㘱㌰晢戶挸晣捥㜶㐸㠱搹㡦慢〵㘶晦慤晡㝥〶摦㜹㑣㙣㑡㈵摦㥡㝡敢㕢㕦敤昴㜵ㅤ敢㍢㝦愰晤挶愷晥敤愷搷㝦敦㠲㤵扦㝡敤㈳ㅦ昹摥捦慦晦收㙢㕦㑡慣㝣攸ㄳ㥦㜸㜰晤挷扥昹搳㈳搲㌷㝢敦㝥㜵挳捤㤷㠶㜷㕣㝡㜱晡㥣搳搶㕥晡㔷ㄷ㙤〹㙦㕥戰扣愵愵戵昵攴㠵㕦㍦晡㤴攰㤵ㄷ晦㡢扡敦㠹愳昲㑡㍡ㅢ㌱㝣ㄵ㌹昱㤱晢㌸散㜴㌲㡢晣ㅥづ晤て㈰ㅤ㕥㈵㝤づㄲㄵ㔵㥥攲㐱昶㍤ㄱ㝤㡤㔲㉤㑡㝡㔶㠳ㄴ㝢㤸㐸晤搱㤲㤲晥搳㈰挵㝥㈴㔲戴ㅤ㤰㤶昴㤲〶㈹昶ㄶ㤱昲㕡㔲搲ㄷㅡ愴搸㈷㐴捡㈷㔲㥤㙣戲㍦㉢㤲搲ぢ㔸っ昹㈹㙦㌸〴㐹昶〶㈹㠶㠶㘲攸慤㉣㡢㔷㐹㘷㘸㈸㌱㍢㠵㠸昲愷搸㜱㉡挱ㄶ愱扦挳愷搸っ搲ぢ㕦挱慦㌳㜰ㅥㅢ〲扦つㄷつ搹㌴ㄲ昰㕢㍢㈰挸㘴摢㤱㠰㘲㝢㐸搰㙦敡攲戰〹㈴攰攵扡〰愲㉥〱㉦搵〵㄰㘸〹搸㕢ㄷ㐰㙣㈵攰挵摡㠰㈰㌱戰换捥㡡㡢捣ぢ戵㌲㡡㘰㐸挰昳㜶㠰㤴㝤ㄱ戸㡡〸㐸搰戳㜵㜱㔸㌳ㄹ㑦㡢㈹㐶㔹昱ㅤ㐵㥦戰摣愸搲㌶㔲ㄲ㔴捦㥤昷扦㉣㘹攵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</si>
</sst>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E+00"/>
    <numFmt numFmtId="165" formatCode="0.000"/>
    <numFmt numFmtId="166" formatCode="0.0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Times New Roman"/>
      <family val="1"/>
    </font>
    <font>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4"/>
      </patternFill>
    </fill>
    <fill>
      <patternFill patternType="solid">
        <fgColor theme="8"/>
      </patternFill>
    </fill>
    <fill>
      <patternFill patternType="solid">
        <fgColor theme="9"/>
      </patternFill>
    </fill>
    <fill>
      <patternFill patternType="solid">
        <fgColor theme="7"/>
      </patternFill>
    </fill>
    <fill>
      <patternFill patternType="solid">
        <fgColor theme="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6">
    <xf numFmtId="0" fontId="0" fillId="0" borderId="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cellStyleXfs>
  <cellXfs count="86">
    <xf numFmtId="0" fontId="0" fillId="0" borderId="0" xfId="0"/>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Alignment="1">
      <alignment horizontal="center"/>
    </xf>
    <xf numFmtId="0" fontId="3" fillId="0" borderId="0" xfId="0" applyFont="1" applyAlignment="1">
      <alignment horizontal="center"/>
    </xf>
    <xf numFmtId="11" fontId="0" fillId="0" borderId="0" xfId="0" applyNumberFormat="1" applyAlignment="1">
      <alignment horizontal="center"/>
    </xf>
    <xf numFmtId="3" fontId="0" fillId="0" borderId="0" xfId="0" applyNumberFormat="1" applyAlignment="1">
      <alignment horizontal="center" vertical="center"/>
    </xf>
    <xf numFmtId="164" fontId="1" fillId="0" borderId="0" xfId="0" applyNumberFormat="1" applyFont="1" applyAlignment="1">
      <alignment horizontal="center" vertical="center"/>
    </xf>
    <xf numFmtId="164" fontId="0" fillId="0" borderId="0" xfId="0" applyNumberFormat="1" applyAlignment="1">
      <alignment horizontal="center"/>
    </xf>
    <xf numFmtId="3" fontId="0" fillId="0" borderId="0" xfId="0" applyNumberFormat="1" applyAlignment="1">
      <alignment horizontal="center"/>
    </xf>
    <xf numFmtId="3" fontId="0" fillId="0" borderId="0" xfId="0" applyNumberFormat="1"/>
    <xf numFmtId="164" fontId="0" fillId="0" borderId="0" xfId="0" applyNumberFormat="1" applyAlignment="1">
      <alignment horizontal="center" vertical="center" wrapText="1"/>
    </xf>
    <xf numFmtId="11" fontId="0" fillId="0" borderId="0" xfId="0" applyNumberFormat="1"/>
    <xf numFmtId="0" fontId="2" fillId="0" borderId="0" xfId="0" applyFont="1" applyAlignment="1">
      <alignment horizontal="center" vertical="center"/>
    </xf>
    <xf numFmtId="165" fontId="0" fillId="0" borderId="0" xfId="0" applyNumberFormat="1" applyAlignment="1">
      <alignment horizontal="center" vertical="center"/>
    </xf>
    <xf numFmtId="0" fontId="2" fillId="0" borderId="0" xfId="0" applyFont="1"/>
    <xf numFmtId="0" fontId="0" fillId="0" borderId="0" xfId="0" applyAlignment="1">
      <alignment horizontal="center"/>
    </xf>
    <xf numFmtId="10" fontId="0" fillId="0" borderId="0" xfId="0" applyNumberFormat="1"/>
    <xf numFmtId="0" fontId="6" fillId="0" borderId="0" xfId="0" applyFont="1"/>
    <xf numFmtId="0" fontId="0" fillId="2" borderId="0" xfId="0" applyFill="1"/>
    <xf numFmtId="166" fontId="0" fillId="0" borderId="0" xfId="0" applyNumberFormat="1"/>
    <xf numFmtId="9" fontId="0" fillId="2" borderId="0" xfId="0" applyNumberFormat="1" applyFill="1"/>
    <xf numFmtId="10" fontId="0" fillId="2" borderId="0" xfId="0" applyNumberFormat="1" applyFill="1"/>
    <xf numFmtId="0" fontId="0" fillId="3" borderId="0" xfId="0" applyFill="1"/>
    <xf numFmtId="0" fontId="0" fillId="0" borderId="0" xfId="0" quotePrefix="1"/>
    <xf numFmtId="2" fontId="0" fillId="0" borderId="0" xfId="0" applyNumberFormat="1"/>
    <xf numFmtId="0" fontId="7" fillId="4" borderId="0" xfId="1"/>
    <xf numFmtId="164" fontId="7" fillId="4" borderId="0" xfId="1" applyNumberFormat="1"/>
    <xf numFmtId="164" fontId="7" fillId="4" borderId="0" xfId="1" applyNumberFormat="1" applyAlignment="1">
      <alignment horizontal="center" vertical="center"/>
    </xf>
    <xf numFmtId="0" fontId="7" fillId="4" borderId="0" xfId="1" applyAlignment="1">
      <alignment horizontal="center"/>
    </xf>
    <xf numFmtId="0" fontId="7" fillId="5" borderId="0" xfId="2"/>
    <xf numFmtId="0" fontId="7" fillId="6" borderId="0" xfId="3"/>
    <xf numFmtId="0" fontId="0" fillId="0" borderId="0" xfId="0" applyAlignment="1">
      <alignment horizontal="center"/>
    </xf>
    <xf numFmtId="0" fontId="4" fillId="0" borderId="0" xfId="0" applyFont="1" applyAlignment="1">
      <alignment horizontal="center"/>
    </xf>
    <xf numFmtId="164" fontId="7" fillId="5" borderId="0" xfId="2" applyNumberFormat="1" applyAlignment="1">
      <alignment horizontal="center" vertical="center" wrapText="1"/>
    </xf>
    <xf numFmtId="1" fontId="2" fillId="0" borderId="0" xfId="0" applyNumberFormat="1" applyFont="1" applyAlignment="1">
      <alignment horizontal="center" vertical="center" wrapText="1"/>
    </xf>
    <xf numFmtId="1" fontId="0" fillId="0" borderId="0" xfId="0" applyNumberFormat="1" applyAlignment="1">
      <alignment horizontal="center"/>
    </xf>
    <xf numFmtId="1" fontId="0" fillId="0" borderId="0" xfId="0" applyNumberFormat="1" applyAlignment="1">
      <alignment horizontal="center" vertical="center"/>
    </xf>
    <xf numFmtId="1" fontId="0" fillId="0" borderId="0" xfId="0" applyNumberFormat="1"/>
    <xf numFmtId="0" fontId="2" fillId="0" borderId="0" xfId="0" applyFont="1" applyAlignment="1">
      <alignment horizontal="center"/>
    </xf>
    <xf numFmtId="11" fontId="2" fillId="0" borderId="0" xfId="0" applyNumberFormat="1" applyFont="1"/>
    <xf numFmtId="0" fontId="7" fillId="5" borderId="0" xfId="2" applyAlignment="1">
      <alignment horizontal="center"/>
    </xf>
    <xf numFmtId="1" fontId="7" fillId="5" borderId="0" xfId="2" applyNumberFormat="1" applyAlignment="1">
      <alignment horizontal="center"/>
    </xf>
    <xf numFmtId="11" fontId="7" fillId="5" borderId="0" xfId="2" applyNumberFormat="1" applyAlignment="1">
      <alignment horizontal="center"/>
    </xf>
    <xf numFmtId="11" fontId="7" fillId="5" borderId="0" xfId="2" applyNumberFormat="1"/>
    <xf numFmtId="0" fontId="7" fillId="6" borderId="0" xfId="3" applyAlignment="1">
      <alignment horizontal="center"/>
    </xf>
    <xf numFmtId="3" fontId="0" fillId="0" borderId="2" xfId="0" applyNumberFormat="1" applyBorder="1" applyAlignment="1">
      <alignment horizontal="right" vertical="center"/>
    </xf>
    <xf numFmtId="164" fontId="0" fillId="0" borderId="2" xfId="0" applyNumberFormat="1" applyBorder="1" applyAlignment="1">
      <alignment horizontal="right" vertical="center"/>
    </xf>
    <xf numFmtId="11" fontId="0" fillId="0" borderId="3" xfId="0" applyNumberFormat="1" applyBorder="1" applyAlignment="1">
      <alignment horizontal="right"/>
    </xf>
    <xf numFmtId="3" fontId="0" fillId="0" borderId="5" xfId="0" applyNumberFormat="1" applyBorder="1" applyAlignment="1">
      <alignment horizontal="right"/>
    </xf>
    <xf numFmtId="3" fontId="0" fillId="0" borderId="5" xfId="0" applyNumberFormat="1" applyBorder="1" applyAlignment="1">
      <alignment horizontal="right" vertical="center"/>
    </xf>
    <xf numFmtId="164" fontId="0" fillId="0" borderId="5" xfId="0" applyNumberFormat="1" applyBorder="1" applyAlignment="1">
      <alignment horizontal="right" vertical="center"/>
    </xf>
    <xf numFmtId="2" fontId="0" fillId="0" borderId="6" xfId="0" applyNumberFormat="1" applyBorder="1" applyAlignment="1">
      <alignment horizontal="right"/>
    </xf>
    <xf numFmtId="2" fontId="0" fillId="0" borderId="3" xfId="0" applyNumberFormat="1" applyBorder="1" applyAlignment="1">
      <alignment horizontal="right"/>
    </xf>
    <xf numFmtId="3" fontId="0" fillId="0" borderId="2" xfId="0" applyNumberFormat="1" applyBorder="1" applyAlignment="1">
      <alignment horizontal="right"/>
    </xf>
    <xf numFmtId="3" fontId="0" fillId="0" borderId="0" xfId="0" applyNumberFormat="1" applyBorder="1" applyAlignment="1">
      <alignment horizontal="right"/>
    </xf>
    <xf numFmtId="164" fontId="0" fillId="0" borderId="0" xfId="0" applyNumberFormat="1" applyBorder="1" applyAlignment="1">
      <alignment horizontal="right" vertical="center"/>
    </xf>
    <xf numFmtId="2" fontId="0" fillId="0" borderId="8" xfId="0" applyNumberFormat="1" applyBorder="1" applyAlignment="1">
      <alignment horizontal="right"/>
    </xf>
    <xf numFmtId="3" fontId="0" fillId="0" borderId="0" xfId="0" applyNumberFormat="1" applyBorder="1" applyAlignment="1">
      <alignment horizontal="right" vertical="center"/>
    </xf>
    <xf numFmtId="0" fontId="7" fillId="7" borderId="0" xfId="4"/>
    <xf numFmtId="0" fontId="4" fillId="0" borderId="0" xfId="0" applyFont="1" applyAlignment="1">
      <alignment horizontal="center"/>
    </xf>
    <xf numFmtId="0" fontId="0" fillId="0" borderId="0" xfId="0" applyAlignment="1">
      <alignment horizontal="center"/>
    </xf>
    <xf numFmtId="0" fontId="7" fillId="8" borderId="0" xfId="5" applyAlignment="1">
      <alignment horizontal="center"/>
    </xf>
    <xf numFmtId="1" fontId="7" fillId="8" borderId="0" xfId="5" applyNumberFormat="1" applyAlignment="1">
      <alignment horizontal="center"/>
    </xf>
    <xf numFmtId="11" fontId="7" fillId="8" borderId="0" xfId="5" applyNumberFormat="1" applyAlignment="1">
      <alignment horizontal="center"/>
    </xf>
    <xf numFmtId="0" fontId="7" fillId="8" borderId="0" xfId="5"/>
    <xf numFmtId="11" fontId="7" fillId="8" borderId="0" xfId="5" applyNumberFormat="1"/>
    <xf numFmtId="0" fontId="7" fillId="8" borderId="7" xfId="5" applyBorder="1" applyAlignment="1">
      <alignment horizontal="center" vertical="center"/>
    </xf>
    <xf numFmtId="3" fontId="7" fillId="8" borderId="0" xfId="5" applyNumberFormat="1" applyBorder="1" applyAlignment="1">
      <alignment horizontal="right"/>
    </xf>
    <xf numFmtId="3" fontId="7" fillId="8" borderId="0" xfId="5" applyNumberFormat="1" applyBorder="1" applyAlignment="1">
      <alignment horizontal="right" vertical="center"/>
    </xf>
    <xf numFmtId="164" fontId="1" fillId="0" borderId="4" xfId="0" applyNumberFormat="1" applyFont="1" applyBorder="1" applyAlignment="1">
      <alignment horizontal="center" vertical="center"/>
    </xf>
    <xf numFmtId="164" fontId="1" fillId="0" borderId="7" xfId="0" applyNumberFormat="1" applyFont="1" applyBorder="1" applyAlignment="1">
      <alignment horizontal="center" vertical="center"/>
    </xf>
    <xf numFmtId="164" fontId="2"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65" fontId="7" fillId="8" borderId="8" xfId="5" applyNumberFormat="1" applyBorder="1" applyAlignment="1">
      <alignment horizontal="right"/>
    </xf>
    <xf numFmtId="164" fontId="7" fillId="8" borderId="0" xfId="5" applyNumberFormat="1" applyBorder="1" applyAlignment="1">
      <alignment horizontal="right" vertical="center"/>
    </xf>
    <xf numFmtId="1" fontId="0" fillId="0" borderId="0" xfId="0" applyNumberFormat="1" applyAlignment="1">
      <alignment horizontal="center"/>
    </xf>
    <xf numFmtId="0" fontId="7" fillId="5" borderId="0" xfId="2" applyAlignment="1">
      <alignment horizontal="center" vertical="center"/>
    </xf>
    <xf numFmtId="164" fontId="7" fillId="5" borderId="0" xfId="2" applyNumberFormat="1" applyAlignment="1">
      <alignment horizontal="center" vertical="center"/>
    </xf>
    <xf numFmtId="0" fontId="4" fillId="0" borderId="0" xfId="0" applyFont="1" applyAlignment="1">
      <alignment horizontal="center"/>
    </xf>
    <xf numFmtId="164" fontId="4" fillId="0" borderId="0" xfId="0" applyNumberFormat="1" applyFont="1" applyAlignment="1">
      <alignment horizontal="center" vertical="center"/>
    </xf>
    <xf numFmtId="9" fontId="0" fillId="0" borderId="0" xfId="0" applyNumberFormat="1" applyAlignment="1">
      <alignment horizontal="center"/>
    </xf>
    <xf numFmtId="0" fontId="0" fillId="0" borderId="0" xfId="0" applyAlignment="1">
      <alignment horizontal="center"/>
    </xf>
  </cellXfs>
  <cellStyles count="6">
    <cellStyle name="Accent1" xfId="1" builtinId="29"/>
    <cellStyle name="Accent2" xfId="5" builtinId="33"/>
    <cellStyle name="Accent4" xfId="4" builtinId="41"/>
    <cellStyle name="Accent5" xfId="2" builtinId="45"/>
    <cellStyle name="Accent6" xfId="3"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630362149613194E-2"/>
          <c:y val="2.8589993502274202E-2"/>
          <c:w val="0.88412204379964321"/>
          <c:h val="0.46000562795147681"/>
        </c:manualLayout>
      </c:layout>
      <c:barChart>
        <c:barDir val="col"/>
        <c:grouping val="percentStacked"/>
        <c:varyColors val="0"/>
        <c:ser>
          <c:idx val="0"/>
          <c:order val="0"/>
          <c:tx>
            <c:strRef>
              <c:f>Results!$A$2</c:f>
              <c:strCache>
                <c:ptCount val="1"/>
                <c:pt idx="0">
                  <c:v>ITO glass</c:v>
                </c:pt>
              </c:strCache>
            </c:strRef>
          </c:tx>
          <c:spPr>
            <a:solidFill>
              <a:schemeClr val="accent1"/>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Results!$D$2:$X$2</c:f>
              <c:numCache>
                <c:formatCode>General</c:formatCode>
                <c:ptCount val="21"/>
                <c:pt idx="0">
                  <c:v>5.4035999599999995E-2</c:v>
                </c:pt>
                <c:pt idx="1">
                  <c:v>15.863857979999999</c:v>
                </c:pt>
                <c:pt idx="2">
                  <c:v>6.8711502629999996</c:v>
                </c:pt>
                <c:pt idx="3">
                  <c:v>8.2522552700000001E-2</c:v>
                </c:pt>
                <c:pt idx="4">
                  <c:v>1.0550032339999998E-3</c:v>
                </c:pt>
                <c:pt idx="5">
                  <c:v>165.51815009999999</c:v>
                </c:pt>
                <c:pt idx="6">
                  <c:v>0.16734019</c:v>
                </c:pt>
                <c:pt idx="7">
                  <c:v>66.525372399999995</c:v>
                </c:pt>
                <c:pt idx="8">
                  <c:v>1.5045233709999998E-2</c:v>
                </c:pt>
                <c:pt idx="9">
                  <c:v>0.64124742970000004</c:v>
                </c:pt>
                <c:pt idx="10">
                  <c:v>2.6055490222000001E-3</c:v>
                </c:pt>
                <c:pt idx="11">
                  <c:v>1.3754312987000001E-6</c:v>
                </c:pt>
                <c:pt idx="12">
                  <c:v>1.994535221E-2</c:v>
                </c:pt>
                <c:pt idx="13">
                  <c:v>4.8864307230000001E-2</c:v>
                </c:pt>
                <c:pt idx="14">
                  <c:v>7.2168691110000002E-2</c:v>
                </c:pt>
                <c:pt idx="15">
                  <c:v>7.877002793E-3</c:v>
                </c:pt>
                <c:pt idx="16">
                  <c:v>1.5844954200000001E-2</c:v>
                </c:pt>
                <c:pt idx="17">
                  <c:v>1.0150023860000001E-2</c:v>
                </c:pt>
                <c:pt idx="18">
                  <c:v>0.48907124690000003</c:v>
                </c:pt>
                <c:pt idx="19">
                  <c:v>1.723918898</c:v>
                </c:pt>
                <c:pt idx="20">
                  <c:v>0.8537033906</c:v>
                </c:pt>
              </c:numCache>
            </c:numRef>
          </c:val>
          <c:extLst>
            <c:ext xmlns:c16="http://schemas.microsoft.com/office/drawing/2014/chart" uri="{C3380CC4-5D6E-409C-BE32-E72D297353CC}">
              <c16:uniqueId val="{00000000-680E-4E03-8025-F9F87B7168C7}"/>
            </c:ext>
          </c:extLst>
        </c:ser>
        <c:ser>
          <c:idx val="1"/>
          <c:order val="1"/>
          <c:tx>
            <c:strRef>
              <c:f>Results!$A$3</c:f>
              <c:strCache>
                <c:ptCount val="1"/>
                <c:pt idx="0">
                  <c:v>Ni</c:v>
                </c:pt>
              </c:strCache>
            </c:strRef>
          </c:tx>
          <c:spPr>
            <a:solidFill>
              <a:schemeClr val="accent2"/>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Results!$D$3:$X$3</c:f>
              <c:numCache>
                <c:formatCode>General</c:formatCode>
                <c:ptCount val="21"/>
                <c:pt idx="0">
                  <c:v>3.6717854208000004E-4</c:v>
                </c:pt>
                <c:pt idx="1">
                  <c:v>8.3171988480000014E-3</c:v>
                </c:pt>
                <c:pt idx="2">
                  <c:v>2.3912501760000003E-3</c:v>
                </c:pt>
                <c:pt idx="3">
                  <c:v>9.0784404480000007E-4</c:v>
                </c:pt>
                <c:pt idx="4">
                  <c:v>1.3959267840000002E-5</c:v>
                </c:pt>
                <c:pt idx="5">
                  <c:v>1.0426472448000002</c:v>
                </c:pt>
                <c:pt idx="6">
                  <c:v>5.4667931136000007E-4</c:v>
                </c:pt>
                <c:pt idx="7">
                  <c:v>1.0454384640000001</c:v>
                </c:pt>
                <c:pt idx="8">
                  <c:v>2.3535687168000003E-5</c:v>
                </c:pt>
                <c:pt idx="9">
                  <c:v>1.81429248E-4</c:v>
                </c:pt>
                <c:pt idx="10">
                  <c:v>3.0564484608000003E-6</c:v>
                </c:pt>
                <c:pt idx="11">
                  <c:v>8.1122979840000009E-10</c:v>
                </c:pt>
                <c:pt idx="12">
                  <c:v>1.8892113408000002E-4</c:v>
                </c:pt>
                <c:pt idx="13">
                  <c:v>1.3106042880000002E-4</c:v>
                </c:pt>
                <c:pt idx="14">
                  <c:v>8.7092382720000013E-4</c:v>
                </c:pt>
                <c:pt idx="15">
                  <c:v>1.1959105536000002E-5</c:v>
                </c:pt>
                <c:pt idx="16">
                  <c:v>2.7028517376000003E-4</c:v>
                </c:pt>
                <c:pt idx="17">
                  <c:v>3.7690974720000005E-5</c:v>
                </c:pt>
                <c:pt idx="18">
                  <c:v>1.0670704128E-3</c:v>
                </c:pt>
                <c:pt idx="19">
                  <c:v>7.8655288320000002E-3</c:v>
                </c:pt>
                <c:pt idx="20">
                  <c:v>2.9507627520000001E-4</c:v>
                </c:pt>
              </c:numCache>
            </c:numRef>
          </c:val>
          <c:extLst>
            <c:ext xmlns:c16="http://schemas.microsoft.com/office/drawing/2014/chart" uri="{C3380CC4-5D6E-409C-BE32-E72D297353CC}">
              <c16:uniqueId val="{00000001-680E-4E03-8025-F9F87B7168C7}"/>
            </c:ext>
          </c:extLst>
        </c:ser>
        <c:ser>
          <c:idx val="2"/>
          <c:order val="2"/>
          <c:tx>
            <c:strRef>
              <c:f>Results!$A$4</c:f>
              <c:strCache>
                <c:ptCount val="1"/>
                <c:pt idx="0">
                  <c:v>PbI₂</c:v>
                </c:pt>
              </c:strCache>
            </c:strRef>
          </c:tx>
          <c:spPr>
            <a:solidFill>
              <a:schemeClr val="accent3"/>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Results!$D$4:$X$4</c:f>
              <c:numCache>
                <c:formatCode>General</c:formatCode>
                <c:ptCount val="21"/>
                <c:pt idx="0">
                  <c:v>8.627760232184571E-4</c:v>
                </c:pt>
                <c:pt idx="1">
                  <c:v>3.2124886312535884E-3</c:v>
                </c:pt>
                <c:pt idx="2">
                  <c:v>8.5268134776706177E-4</c:v>
                </c:pt>
                <c:pt idx="3">
                  <c:v>5.8731843372568069E-5</c:v>
                </c:pt>
                <c:pt idx="4">
                  <c:v>1.6305720956388424E-6</c:v>
                </c:pt>
                <c:pt idx="5">
                  <c:v>0.12851374749916886</c:v>
                </c:pt>
                <c:pt idx="6">
                  <c:v>1.5790866691612631E-4</c:v>
                </c:pt>
                <c:pt idx="7">
                  <c:v>6.4450691056375131E-2</c:v>
                </c:pt>
                <c:pt idx="8">
                  <c:v>4.2513817580592057E-6</c:v>
                </c:pt>
                <c:pt idx="9">
                  <c:v>5.2103006417646765E-4</c:v>
                </c:pt>
                <c:pt idx="10">
                  <c:v>5.4650269239401167E-7</c:v>
                </c:pt>
                <c:pt idx="11">
                  <c:v>3.6778454932801263E-10</c:v>
                </c:pt>
                <c:pt idx="12">
                  <c:v>9.1045799677784732E-6</c:v>
                </c:pt>
                <c:pt idx="13">
                  <c:v>1.2815095554052926E-5</c:v>
                </c:pt>
                <c:pt idx="14">
                  <c:v>2.5757205705270191E-5</c:v>
                </c:pt>
                <c:pt idx="15">
                  <c:v>4.4311570671526525E-6</c:v>
                </c:pt>
                <c:pt idx="16">
                  <c:v>3.3134224651253246E-5</c:v>
                </c:pt>
                <c:pt idx="17">
                  <c:v>9.6753862499580139E-6</c:v>
                </c:pt>
                <c:pt idx="18">
                  <c:v>1.5756541441360261E-4</c:v>
                </c:pt>
                <c:pt idx="19">
                  <c:v>1.0059093195516099E-3</c:v>
                </c:pt>
                <c:pt idx="20">
                  <c:v>1.2642887287286957E-4</c:v>
                </c:pt>
              </c:numCache>
            </c:numRef>
          </c:val>
          <c:extLst>
            <c:ext xmlns:c16="http://schemas.microsoft.com/office/drawing/2014/chart" uri="{C3380CC4-5D6E-409C-BE32-E72D297353CC}">
              <c16:uniqueId val="{00000002-680E-4E03-8025-F9F87B7168C7}"/>
            </c:ext>
          </c:extLst>
        </c:ser>
        <c:ser>
          <c:idx val="3"/>
          <c:order val="3"/>
          <c:tx>
            <c:strRef>
              <c:f>Results!$A$5</c:f>
              <c:strCache>
                <c:ptCount val="1"/>
                <c:pt idx="0">
                  <c:v>DMF</c:v>
                </c:pt>
              </c:strCache>
            </c:strRef>
          </c:tx>
          <c:spPr>
            <a:solidFill>
              <a:schemeClr val="accent4"/>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Results!$D$5:$X$5</c:f>
              <c:numCache>
                <c:formatCode>General</c:formatCode>
                <c:ptCount val="21"/>
                <c:pt idx="0">
                  <c:v>2.2649518589309763E-4</c:v>
                </c:pt>
                <c:pt idx="1">
                  <c:v>5.0371595742889153E-3</c:v>
                </c:pt>
                <c:pt idx="2">
                  <c:v>3.3872165412866429E-3</c:v>
                </c:pt>
                <c:pt idx="3">
                  <c:v>7.0877724938861063E-5</c:v>
                </c:pt>
                <c:pt idx="4">
                  <c:v>1.9120317088210361E-6</c:v>
                </c:pt>
                <c:pt idx="5">
                  <c:v>0.11545711232116933</c:v>
                </c:pt>
                <c:pt idx="6">
                  <c:v>4.9854225889324846E-4</c:v>
                </c:pt>
                <c:pt idx="7">
                  <c:v>7.5005013770678614E-2</c:v>
                </c:pt>
                <c:pt idx="8">
                  <c:v>2.4306658120275149E-5</c:v>
                </c:pt>
                <c:pt idx="9">
                  <c:v>3.2434810819693396E-4</c:v>
                </c:pt>
                <c:pt idx="10">
                  <c:v>2.1268568980171944E-6</c:v>
                </c:pt>
                <c:pt idx="11">
                  <c:v>1.012274963487013E-9</c:v>
                </c:pt>
                <c:pt idx="12">
                  <c:v>1.4038811526473075E-5</c:v>
                </c:pt>
                <c:pt idx="13">
                  <c:v>1.7029053680118831E-5</c:v>
                </c:pt>
                <c:pt idx="14">
                  <c:v>3.5768539876119071E-5</c:v>
                </c:pt>
                <c:pt idx="15">
                  <c:v>3.5768539876119071E-5</c:v>
                </c:pt>
                <c:pt idx="16">
                  <c:v>4.2986432833176044E-5</c:v>
                </c:pt>
                <c:pt idx="17">
                  <c:v>1.5045154241639142E-5</c:v>
                </c:pt>
                <c:pt idx="18">
                  <c:v>2.2412228656471997E-4</c:v>
                </c:pt>
                <c:pt idx="19">
                  <c:v>9.9535346827645107E-4</c:v>
                </c:pt>
                <c:pt idx="20">
                  <c:v>4.2117018079254072E-4</c:v>
                </c:pt>
              </c:numCache>
            </c:numRef>
          </c:val>
          <c:extLst>
            <c:ext xmlns:c16="http://schemas.microsoft.com/office/drawing/2014/chart" uri="{C3380CC4-5D6E-409C-BE32-E72D297353CC}">
              <c16:uniqueId val="{00000003-680E-4E03-8025-F9F87B7168C7}"/>
            </c:ext>
          </c:extLst>
        </c:ser>
        <c:ser>
          <c:idx val="4"/>
          <c:order val="4"/>
          <c:tx>
            <c:strRef>
              <c:f>Results!$A$6</c:f>
              <c:strCache>
                <c:ptCount val="1"/>
                <c:pt idx="0">
                  <c:v>MAI</c:v>
                </c:pt>
              </c:strCache>
            </c:strRef>
          </c:tx>
          <c:spPr>
            <a:solidFill>
              <a:schemeClr val="accent5"/>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Results!$D$6:$X$6</c:f>
              <c:numCache>
                <c:formatCode>General</c:formatCode>
                <c:ptCount val="21"/>
                <c:pt idx="0">
                  <c:v>4.0807091098061668E-3</c:v>
                </c:pt>
                <c:pt idx="1">
                  <c:v>3.738459913606404E-2</c:v>
                </c:pt>
                <c:pt idx="2">
                  <c:v>1.7241501975391049E-2</c:v>
                </c:pt>
                <c:pt idx="3">
                  <c:v>1.4092483494768696E-3</c:v>
                </c:pt>
                <c:pt idx="4">
                  <c:v>3.3175438082005527E-5</c:v>
                </c:pt>
                <c:pt idx="5">
                  <c:v>1.6533108491869659</c:v>
                </c:pt>
                <c:pt idx="6">
                  <c:v>3.9967689708219779E-3</c:v>
                </c:pt>
                <c:pt idx="7">
                  <c:v>1.2576395496490516</c:v>
                </c:pt>
                <c:pt idx="8">
                  <c:v>5.3104956518999123E-5</c:v>
                </c:pt>
                <c:pt idx="9">
                  <c:v>2.9865084470904139E-3</c:v>
                </c:pt>
                <c:pt idx="10">
                  <c:v>7.8853272121470548E-6</c:v>
                </c:pt>
                <c:pt idx="11">
                  <c:v>1.3516803208679665E-8</c:v>
                </c:pt>
                <c:pt idx="12">
                  <c:v>1.220135366614554E-4</c:v>
                </c:pt>
                <c:pt idx="13">
                  <c:v>1.6429918733137724E-4</c:v>
                </c:pt>
                <c:pt idx="14">
                  <c:v>3.0963374696798234E-4</c:v>
                </c:pt>
                <c:pt idx="15">
                  <c:v>5.8744673418272689E-5</c:v>
                </c:pt>
                <c:pt idx="16">
                  <c:v>5.643730133631364E-4</c:v>
                </c:pt>
                <c:pt idx="17">
                  <c:v>7.330468088897616E-4</c:v>
                </c:pt>
                <c:pt idx="18">
                  <c:v>2.34112586574119E-3</c:v>
                </c:pt>
                <c:pt idx="19">
                  <c:v>1.290258427217532E-2</c:v>
                </c:pt>
                <c:pt idx="20">
                  <c:v>2.2060127776507678E-3</c:v>
                </c:pt>
              </c:numCache>
            </c:numRef>
          </c:val>
          <c:extLst>
            <c:ext xmlns:c16="http://schemas.microsoft.com/office/drawing/2014/chart" uri="{C3380CC4-5D6E-409C-BE32-E72D297353CC}">
              <c16:uniqueId val="{00000004-680E-4E03-8025-F9F87B7168C7}"/>
            </c:ext>
          </c:extLst>
        </c:ser>
        <c:ser>
          <c:idx val="5"/>
          <c:order val="5"/>
          <c:tx>
            <c:strRef>
              <c:f>Results!$A$7</c:f>
              <c:strCache>
                <c:ptCount val="1"/>
                <c:pt idx="0">
                  <c:v>MACl</c:v>
                </c:pt>
              </c:strCache>
            </c:strRef>
          </c:tx>
          <c:spPr>
            <a:solidFill>
              <a:schemeClr val="accent6"/>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Results!$D$7:$X$7</c:f>
              <c:numCache>
                <c:formatCode>General</c:formatCode>
                <c:ptCount val="21"/>
                <c:pt idx="0">
                  <c:v>1.3934243401843408E-5</c:v>
                </c:pt>
                <c:pt idx="1">
                  <c:v>5.1883220336325944E-5</c:v>
                </c:pt>
                <c:pt idx="2">
                  <c:v>1.3771209588875776E-5</c:v>
                </c:pt>
                <c:pt idx="3">
                  <c:v>9.4854722311295639E-7</c:v>
                </c:pt>
                <c:pt idx="4">
                  <c:v>2.6334515393843482E-8</c:v>
                </c:pt>
                <c:pt idx="5">
                  <c:v>2.0755581865341695E-3</c:v>
                </c:pt>
                <c:pt idx="6">
                  <c:v>2.5503001252421111E-6</c:v>
                </c:pt>
                <c:pt idx="7">
                  <c:v>1.0409093350165447E-3</c:v>
                </c:pt>
                <c:pt idx="8">
                  <c:v>6.866183878171386E-8</c:v>
                </c:pt>
                <c:pt idx="9">
                  <c:v>8.4148835138348546E-6</c:v>
                </c:pt>
                <c:pt idx="10">
                  <c:v>8.8262785829095207E-9</c:v>
                </c:pt>
                <c:pt idx="11">
                  <c:v>5.9398955138513385E-12</c:v>
                </c:pt>
                <c:pt idx="12">
                  <c:v>1.470432996843379E-7</c:v>
                </c:pt>
                <c:pt idx="13">
                  <c:v>2.0696989237360938E-7</c:v>
                </c:pt>
                <c:pt idx="14">
                  <c:v>4.1599113094234462E-7</c:v>
                </c:pt>
                <c:pt idx="15">
                  <c:v>7.156529558525955E-8</c:v>
                </c:pt>
                <c:pt idx="16">
                  <c:v>5.3513349791481055E-7</c:v>
                </c:pt>
                <c:pt idx="17">
                  <c:v>1.5626209280925662E-7</c:v>
                </c:pt>
                <c:pt idx="18">
                  <c:v>2.5447564339598531E-6</c:v>
                </c:pt>
                <c:pt idx="19">
                  <c:v>1.6245914260027803E-5</c:v>
                </c:pt>
                <c:pt idx="20">
                  <c:v>2.0418864690508641E-6</c:v>
                </c:pt>
              </c:numCache>
            </c:numRef>
          </c:val>
          <c:extLst>
            <c:ext xmlns:c16="http://schemas.microsoft.com/office/drawing/2014/chart" uri="{C3380CC4-5D6E-409C-BE32-E72D297353CC}">
              <c16:uniqueId val="{00000005-680E-4E03-8025-F9F87B7168C7}"/>
            </c:ext>
          </c:extLst>
        </c:ser>
        <c:ser>
          <c:idx val="6"/>
          <c:order val="6"/>
          <c:tx>
            <c:strRef>
              <c:f>Results!$A$8</c:f>
              <c:strCache>
                <c:ptCount val="1"/>
                <c:pt idx="0">
                  <c:v>Ethanol</c:v>
                </c:pt>
              </c:strCache>
            </c:strRef>
          </c:tx>
          <c:spPr>
            <a:solidFill>
              <a:schemeClr val="accent1">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Results!$D$8:$X$8</c:f>
              <c:numCache>
                <c:formatCode>General</c:formatCode>
                <c:ptCount val="21"/>
                <c:pt idx="0">
                  <c:v>4.6855485203895477E-3</c:v>
                </c:pt>
                <c:pt idx="1">
                  <c:v>5.1194889562477504E-3</c:v>
                </c:pt>
                <c:pt idx="2">
                  <c:v>1.4400689333644797E-3</c:v>
                </c:pt>
                <c:pt idx="3">
                  <c:v>1.4335577264372752E-4</c:v>
                </c:pt>
                <c:pt idx="4">
                  <c:v>2.3849080701817805E-6</c:v>
                </c:pt>
                <c:pt idx="5">
                  <c:v>7.0228617683227954E-2</c:v>
                </c:pt>
                <c:pt idx="6">
                  <c:v>3.6568618414645052E-4</c:v>
                </c:pt>
                <c:pt idx="7">
                  <c:v>5.6424858997554603E-2</c:v>
                </c:pt>
                <c:pt idx="8">
                  <c:v>2.6217899789721393E-5</c:v>
                </c:pt>
                <c:pt idx="9">
                  <c:v>2.2878280752864941E-4</c:v>
                </c:pt>
                <c:pt idx="10">
                  <c:v>4.4141782187783187E-6</c:v>
                </c:pt>
                <c:pt idx="11">
                  <c:v>3.7376428151484672E-10</c:v>
                </c:pt>
                <c:pt idx="12">
                  <c:v>1.645318978824614E-5</c:v>
                </c:pt>
                <c:pt idx="13">
                  <c:v>1.7268981004544909E-5</c:v>
                </c:pt>
                <c:pt idx="14">
                  <c:v>5.4043017495796598E-5</c:v>
                </c:pt>
                <c:pt idx="15">
                  <c:v>3.4505195935520666E-5</c:v>
                </c:pt>
                <c:pt idx="16">
                  <c:v>2.5111834767829185E-4</c:v>
                </c:pt>
                <c:pt idx="17">
                  <c:v>1.5697889784690427E-3</c:v>
                </c:pt>
                <c:pt idx="18">
                  <c:v>1.4343558743831906E-3</c:v>
                </c:pt>
                <c:pt idx="19">
                  <c:v>6.9258237812141359E-4</c:v>
                </c:pt>
                <c:pt idx="20">
                  <c:v>1.8328837461147277E-4</c:v>
                </c:pt>
              </c:numCache>
            </c:numRef>
          </c:val>
          <c:extLst>
            <c:ext xmlns:c16="http://schemas.microsoft.com/office/drawing/2014/chart" uri="{C3380CC4-5D6E-409C-BE32-E72D297353CC}">
              <c16:uniqueId val="{00000006-680E-4E03-8025-F9F87B7168C7}"/>
            </c:ext>
          </c:extLst>
        </c:ser>
        <c:ser>
          <c:idx val="7"/>
          <c:order val="7"/>
          <c:tx>
            <c:strRef>
              <c:f>Results!$A$9</c:f>
              <c:strCache>
                <c:ptCount val="1"/>
                <c:pt idx="0">
                  <c:v>Nitrogen</c:v>
                </c:pt>
              </c:strCache>
            </c:strRef>
          </c:tx>
          <c:spPr>
            <a:solidFill>
              <a:schemeClr val="accent2">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Results!$D$9:$X$9</c:f>
              <c:numCache>
                <c:formatCode>General</c:formatCode>
                <c:ptCount val="21"/>
                <c:pt idx="0">
                  <c:v>3.3725230770223429E-2</c:v>
                </c:pt>
                <c:pt idx="1">
                  <c:v>0.79157493982244909</c:v>
                </c:pt>
                <c:pt idx="2">
                  <c:v>0.22406851369276834</c:v>
                </c:pt>
                <c:pt idx="3">
                  <c:v>1.0353862981256063E-2</c:v>
                </c:pt>
                <c:pt idx="4">
                  <c:v>4.2056638209320987E-4</c:v>
                </c:pt>
                <c:pt idx="5">
                  <c:v>13.999355517956241</c:v>
                </c:pt>
                <c:pt idx="6">
                  <c:v>8.7049157839909588E-2</c:v>
                </c:pt>
                <c:pt idx="7">
                  <c:v>11.969966259575973</c:v>
                </c:pt>
                <c:pt idx="8">
                  <c:v>7.8248812224761212E-4</c:v>
                </c:pt>
                <c:pt idx="9">
                  <c:v>8.7567361894378207E-3</c:v>
                </c:pt>
                <c:pt idx="10">
                  <c:v>9.3004855141971441E-5</c:v>
                </c:pt>
                <c:pt idx="11">
                  <c:v>3.8883550706782517E-8</c:v>
                </c:pt>
                <c:pt idx="12">
                  <c:v>2.8897174685279898E-3</c:v>
                </c:pt>
                <c:pt idx="13">
                  <c:v>2.16459672470465E-3</c:v>
                </c:pt>
                <c:pt idx="14">
                  <c:v>4.2357707466318594E-3</c:v>
                </c:pt>
                <c:pt idx="15">
                  <c:v>2.7143674346039265E-4</c:v>
                </c:pt>
                <c:pt idx="16">
                  <c:v>5.1546706122318443E-3</c:v>
                </c:pt>
                <c:pt idx="17">
                  <c:v>3.145170171435055E-3</c:v>
                </c:pt>
                <c:pt idx="18">
                  <c:v>3.2781880431630904E-2</c:v>
                </c:pt>
                <c:pt idx="19">
                  <c:v>0.13002360111753239</c:v>
                </c:pt>
                <c:pt idx="20">
                  <c:v>2.7275050021820037E-2</c:v>
                </c:pt>
              </c:numCache>
            </c:numRef>
          </c:val>
          <c:extLst>
            <c:ext xmlns:c16="http://schemas.microsoft.com/office/drawing/2014/chart" uri="{C3380CC4-5D6E-409C-BE32-E72D297353CC}">
              <c16:uniqueId val="{00000007-680E-4E03-8025-F9F87B7168C7}"/>
            </c:ext>
          </c:extLst>
        </c:ser>
        <c:ser>
          <c:idx val="8"/>
          <c:order val="8"/>
          <c:tx>
            <c:strRef>
              <c:f>Results!$A$10</c:f>
              <c:strCache>
                <c:ptCount val="1"/>
                <c:pt idx="0">
                  <c:v>PCBM</c:v>
                </c:pt>
              </c:strCache>
            </c:strRef>
          </c:tx>
          <c:spPr>
            <a:solidFill>
              <a:schemeClr val="accent3">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Results!$D$10:$X$10</c:f>
              <c:numCache>
                <c:formatCode>General</c:formatCode>
                <c:ptCount val="21"/>
                <c:pt idx="0">
                  <c:v>7.6399552434711526E-2</c:v>
                </c:pt>
                <c:pt idx="1">
                  <c:v>5.9706772602486365E-2</c:v>
                </c:pt>
                <c:pt idx="2">
                  <c:v>3.4806289101984487E-2</c:v>
                </c:pt>
                <c:pt idx="3">
                  <c:v>5.3775961105543299E-4</c:v>
                </c:pt>
                <c:pt idx="4">
                  <c:v>1.327158882886124E-5</c:v>
                </c:pt>
                <c:pt idx="5">
                  <c:v>0.71650173510440029</c:v>
                </c:pt>
                <c:pt idx="6">
                  <c:v>2.5374355056999236E-3</c:v>
                </c:pt>
                <c:pt idx="7">
                  <c:v>0.47423459329306</c:v>
                </c:pt>
                <c:pt idx="8">
                  <c:v>1.1953303231434605E-4</c:v>
                </c:pt>
                <c:pt idx="9">
                  <c:v>1.2616109833757366E-3</c:v>
                </c:pt>
                <c:pt idx="10">
                  <c:v>8.9207254500477487E-6</c:v>
                </c:pt>
                <c:pt idx="11">
                  <c:v>4.1859545047078205E-9</c:v>
                </c:pt>
                <c:pt idx="12">
                  <c:v>2.3364182419567136E-4</c:v>
                </c:pt>
                <c:pt idx="13">
                  <c:v>4.1986226704285551E-4</c:v>
                </c:pt>
                <c:pt idx="14">
                  <c:v>3.9109659041271786E-4</c:v>
                </c:pt>
                <c:pt idx="15">
                  <c:v>5.9999899116636124E-5</c:v>
                </c:pt>
                <c:pt idx="16">
                  <c:v>1.2705158632673277E-3</c:v>
                </c:pt>
                <c:pt idx="17">
                  <c:v>1.4390130773760741E-4</c:v>
                </c:pt>
                <c:pt idx="18">
                  <c:v>4.1714776626245644E-3</c:v>
                </c:pt>
                <c:pt idx="19">
                  <c:v>7.3165210516319976E-3</c:v>
                </c:pt>
                <c:pt idx="20">
                  <c:v>4.2322515920880585E-3</c:v>
                </c:pt>
              </c:numCache>
            </c:numRef>
          </c:val>
          <c:extLst>
            <c:ext xmlns:c16="http://schemas.microsoft.com/office/drawing/2014/chart" uri="{C3380CC4-5D6E-409C-BE32-E72D297353CC}">
              <c16:uniqueId val="{00000008-680E-4E03-8025-F9F87B7168C7}"/>
            </c:ext>
          </c:extLst>
        </c:ser>
        <c:ser>
          <c:idx val="9"/>
          <c:order val="9"/>
          <c:tx>
            <c:strRef>
              <c:f>Results!$A$11</c:f>
              <c:strCache>
                <c:ptCount val="1"/>
                <c:pt idx="0">
                  <c:v>AZO</c:v>
                </c:pt>
              </c:strCache>
            </c:strRef>
          </c:tx>
          <c:spPr>
            <a:solidFill>
              <a:schemeClr val="accent4">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Results!$D$11:$X$11</c:f>
              <c:numCache>
                <c:formatCode>General</c:formatCode>
                <c:ptCount val="21"/>
                <c:pt idx="0">
                  <c:v>1.0845798216867472E-5</c:v>
                </c:pt>
                <c:pt idx="1">
                  <c:v>2.8086561060240971E-4</c:v>
                </c:pt>
                <c:pt idx="2">
                  <c:v>9.9168695903614461E-5</c:v>
                </c:pt>
                <c:pt idx="3">
                  <c:v>7.5509824096385555E-6</c:v>
                </c:pt>
                <c:pt idx="4">
                  <c:v>1.2834907196787149E-7</c:v>
                </c:pt>
                <c:pt idx="5">
                  <c:v>7.3886527389558244E-3</c:v>
                </c:pt>
                <c:pt idx="6">
                  <c:v>2.0222046008032132E-5</c:v>
                </c:pt>
                <c:pt idx="7">
                  <c:v>6.927617092369478E-3</c:v>
                </c:pt>
                <c:pt idx="8">
                  <c:v>2.7178700144578317E-7</c:v>
                </c:pt>
                <c:pt idx="9">
                  <c:v>3.1760542072289163E-5</c:v>
                </c:pt>
                <c:pt idx="10">
                  <c:v>5.7563818795180727E-8</c:v>
                </c:pt>
                <c:pt idx="11">
                  <c:v>2.3515443903614459E-11</c:v>
                </c:pt>
                <c:pt idx="12">
                  <c:v>6.0039760481927715E-7</c:v>
                </c:pt>
                <c:pt idx="13">
                  <c:v>8.2823144417670684E-7</c:v>
                </c:pt>
                <c:pt idx="14">
                  <c:v>1.1158690008032129E-6</c:v>
                </c:pt>
                <c:pt idx="15">
                  <c:v>9.0645416867469882E-6</c:v>
                </c:pt>
                <c:pt idx="16">
                  <c:v>3.5072877461847397E-6</c:v>
                </c:pt>
                <c:pt idx="17">
                  <c:v>9.7999153253012036E-7</c:v>
                </c:pt>
                <c:pt idx="18">
                  <c:v>1.6663585718875503E-5</c:v>
                </c:pt>
                <c:pt idx="19">
                  <c:v>6.1039042088353415E-5</c:v>
                </c:pt>
                <c:pt idx="20">
                  <c:v>1.3354867678714862E-5</c:v>
                </c:pt>
              </c:numCache>
            </c:numRef>
          </c:val>
          <c:extLst>
            <c:ext xmlns:c16="http://schemas.microsoft.com/office/drawing/2014/chart" uri="{C3380CC4-5D6E-409C-BE32-E72D297353CC}">
              <c16:uniqueId val="{00000009-680E-4E03-8025-F9F87B7168C7}"/>
            </c:ext>
          </c:extLst>
        </c:ser>
        <c:ser>
          <c:idx val="10"/>
          <c:order val="10"/>
          <c:tx>
            <c:strRef>
              <c:f>Results!$A$12</c:f>
              <c:strCache>
                <c:ptCount val="1"/>
                <c:pt idx="0">
                  <c:v>ITO</c:v>
                </c:pt>
              </c:strCache>
            </c:strRef>
          </c:tx>
          <c:spPr>
            <a:solidFill>
              <a:schemeClr val="accent5">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Results!$D$12:$X$12</c:f>
              <c:numCache>
                <c:formatCode>General</c:formatCode>
                <c:ptCount val="21"/>
                <c:pt idx="0">
                  <c:v>2.6675816832000005E-3</c:v>
                </c:pt>
                <c:pt idx="1">
                  <c:v>8.509154976000001E-2</c:v>
                </c:pt>
                <c:pt idx="2">
                  <c:v>2.4539197536000004E-2</c:v>
                </c:pt>
                <c:pt idx="3">
                  <c:v>2.9807797824000005E-3</c:v>
                </c:pt>
                <c:pt idx="4">
                  <c:v>8.9699762880000012E-5</c:v>
                </c:pt>
                <c:pt idx="5">
                  <c:v>6.0995592000000007</c:v>
                </c:pt>
                <c:pt idx="6">
                  <c:v>5.3654529600000011E-3</c:v>
                </c:pt>
                <c:pt idx="7">
                  <c:v>3.6720734400000006</c:v>
                </c:pt>
                <c:pt idx="8">
                  <c:v>1.4331419424000002E-4</c:v>
                </c:pt>
                <c:pt idx="9">
                  <c:v>8.2472826240000019E-2</c:v>
                </c:pt>
                <c:pt idx="10">
                  <c:v>1.4654981376000001E-5</c:v>
                </c:pt>
                <c:pt idx="11">
                  <c:v>5.609743776000001E-9</c:v>
                </c:pt>
                <c:pt idx="12">
                  <c:v>3.0577684032000006E-4</c:v>
                </c:pt>
                <c:pt idx="13">
                  <c:v>4.6911856320000007E-4</c:v>
                </c:pt>
                <c:pt idx="14">
                  <c:v>7.640565408000002E-4</c:v>
                </c:pt>
                <c:pt idx="15">
                  <c:v>8.9527032000000022E-4</c:v>
                </c:pt>
                <c:pt idx="16">
                  <c:v>1.0312341984000002E-3</c:v>
                </c:pt>
                <c:pt idx="17">
                  <c:v>1.1732436576000001E-3</c:v>
                </c:pt>
                <c:pt idx="18">
                  <c:v>5.4289932480000008E-3</c:v>
                </c:pt>
                <c:pt idx="19">
                  <c:v>4.502107008000001E-2</c:v>
                </c:pt>
                <c:pt idx="20">
                  <c:v>6.7701251520000012E-3</c:v>
                </c:pt>
              </c:numCache>
            </c:numRef>
          </c:val>
          <c:extLst>
            <c:ext xmlns:c16="http://schemas.microsoft.com/office/drawing/2014/chart" uri="{C3380CC4-5D6E-409C-BE32-E72D297353CC}">
              <c16:uniqueId val="{0000000A-680E-4E03-8025-F9F87B7168C7}"/>
            </c:ext>
          </c:extLst>
        </c:ser>
        <c:ser>
          <c:idx val="11"/>
          <c:order val="11"/>
          <c:tx>
            <c:strRef>
              <c:f>Results!$A$13</c:f>
              <c:strCache>
                <c:ptCount val="1"/>
                <c:pt idx="0">
                  <c:v>Ar</c:v>
                </c:pt>
              </c:strCache>
            </c:strRef>
          </c:tx>
          <c:spPr>
            <a:solidFill>
              <a:schemeClr val="accent6">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Results!$D$13:$X$13</c:f>
              <c:numCache>
                <c:formatCode>General</c:formatCode>
                <c:ptCount val="21"/>
                <c:pt idx="0">
                  <c:v>5.1693616484848479E-2</c:v>
                </c:pt>
                <c:pt idx="1">
                  <c:v>0.91384697212121202</c:v>
                </c:pt>
                <c:pt idx="2">
                  <c:v>0.26242726496969693</c:v>
                </c:pt>
                <c:pt idx="3">
                  <c:v>1.2989206690909088E-2</c:v>
                </c:pt>
                <c:pt idx="4">
                  <c:v>5.3546381575757566E-4</c:v>
                </c:pt>
                <c:pt idx="5">
                  <c:v>17.200203539393939</c:v>
                </c:pt>
                <c:pt idx="6">
                  <c:v>0.15223185551515148</c:v>
                </c:pt>
                <c:pt idx="7">
                  <c:v>14.82469401212121</c:v>
                </c:pt>
                <c:pt idx="8">
                  <c:v>8.9171672242424225E-4</c:v>
                </c:pt>
                <c:pt idx="9">
                  <c:v>1.1916146909090907E-2</c:v>
                </c:pt>
                <c:pt idx="10">
                  <c:v>1.0862570569696968E-4</c:v>
                </c:pt>
                <c:pt idx="11">
                  <c:v>5.4682303030303027E-8</c:v>
                </c:pt>
                <c:pt idx="12">
                  <c:v>3.0627603878787876E-3</c:v>
                </c:pt>
                <c:pt idx="13">
                  <c:v>2.4366066618181814E-3</c:v>
                </c:pt>
                <c:pt idx="14">
                  <c:v>4.8256443151515147E-3</c:v>
                </c:pt>
                <c:pt idx="15">
                  <c:v>3.306193134545454E-4</c:v>
                </c:pt>
                <c:pt idx="16">
                  <c:v>5.8777502060606054E-3</c:v>
                </c:pt>
                <c:pt idx="17">
                  <c:v>3.8691175757575753E-3</c:v>
                </c:pt>
                <c:pt idx="18">
                  <c:v>3.9110253575757571E-2</c:v>
                </c:pt>
                <c:pt idx="19">
                  <c:v>0.15638954860606061</c:v>
                </c:pt>
                <c:pt idx="20">
                  <c:v>3.2021221430303025E-2</c:v>
                </c:pt>
              </c:numCache>
            </c:numRef>
          </c:val>
          <c:extLst>
            <c:ext xmlns:c16="http://schemas.microsoft.com/office/drawing/2014/chart" uri="{C3380CC4-5D6E-409C-BE32-E72D297353CC}">
              <c16:uniqueId val="{0000000B-680E-4E03-8025-F9F87B7168C7}"/>
            </c:ext>
          </c:extLst>
        </c:ser>
        <c:ser>
          <c:idx val="12"/>
          <c:order val="12"/>
          <c:tx>
            <c:strRef>
              <c:f>Results!$A$14</c:f>
              <c:strCache>
                <c:ptCount val="1"/>
                <c:pt idx="0">
                  <c:v>O₂</c:v>
                </c:pt>
              </c:strCache>
            </c:strRef>
          </c:tx>
          <c:spPr>
            <a:solidFill>
              <a:schemeClr val="accent1">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Results!$D$14:$X$14</c:f>
              <c:numCache>
                <c:formatCode>General</c:formatCode>
                <c:ptCount val="21"/>
                <c:pt idx="0">
                  <c:v>2.338066827644389E-5</c:v>
                </c:pt>
                <c:pt idx="1">
                  <c:v>5.4880474632827594E-4</c:v>
                </c:pt>
                <c:pt idx="2">
                  <c:v>1.5534075447332918E-4</c:v>
                </c:pt>
                <c:pt idx="3">
                  <c:v>7.1780287884037624E-6</c:v>
                </c:pt>
                <c:pt idx="4">
                  <c:v>2.9157824514086524E-7</c:v>
                </c:pt>
                <c:pt idx="5">
                  <c:v>9.7057228642307217E-3</c:v>
                </c:pt>
                <c:pt idx="6">
                  <c:v>6.0351456647623834E-5</c:v>
                </c:pt>
                <c:pt idx="7">
                  <c:v>8.2988272140037626E-3</c:v>
                </c:pt>
                <c:pt idx="8">
                  <c:v>5.4248049188915373E-7</c:v>
                </c:pt>
                <c:pt idx="9">
                  <c:v>6.0707823366018811E-6</c:v>
                </c:pt>
                <c:pt idx="10">
                  <c:v>6.4477279781717875E-8</c:v>
                </c:pt>
                <c:pt idx="11">
                  <c:v>2.6956883584280881E-11</c:v>
                </c:pt>
                <c:pt idx="12">
                  <c:v>2.0034334598219439E-6</c:v>
                </c:pt>
                <c:pt idx="13">
                  <c:v>1.500705424407273E-6</c:v>
                </c:pt>
                <c:pt idx="14">
                  <c:v>2.9366123370613173E-6</c:v>
                </c:pt>
                <c:pt idx="15">
                  <c:v>1.8818672356032602E-7</c:v>
                </c:pt>
                <c:pt idx="16">
                  <c:v>3.5737056830595614E-6</c:v>
                </c:pt>
                <c:pt idx="17">
                  <c:v>2.1805627766129156E-6</c:v>
                </c:pt>
                <c:pt idx="18">
                  <c:v>2.2727663909356742E-5</c:v>
                </c:pt>
                <c:pt idx="19">
                  <c:v>9.0145722005266471E-5</c:v>
                </c:pt>
                <c:pt idx="20">
                  <c:v>1.8909520772975549E-5</c:v>
                </c:pt>
              </c:numCache>
            </c:numRef>
          </c:val>
          <c:extLst>
            <c:ext xmlns:c16="http://schemas.microsoft.com/office/drawing/2014/chart" uri="{C3380CC4-5D6E-409C-BE32-E72D297353CC}">
              <c16:uniqueId val="{0000000C-680E-4E03-8025-F9F87B7168C7}"/>
            </c:ext>
          </c:extLst>
        </c:ser>
        <c:ser>
          <c:idx val="13"/>
          <c:order val="13"/>
          <c:tx>
            <c:strRef>
              <c:f>Results!$A$15</c:f>
              <c:strCache>
                <c:ptCount val="1"/>
                <c:pt idx="0">
                  <c:v>UV/O₃ cleaning</c:v>
                </c:pt>
              </c:strCache>
            </c:strRef>
          </c:tx>
          <c:spPr>
            <a:solidFill>
              <a:schemeClr val="accent2">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Results!$D$15:$X$15</c:f>
              <c:numCache>
                <c:formatCode>General</c:formatCode>
                <c:ptCount val="21"/>
                <c:pt idx="0">
                  <c:v>3.7387420029909928E-5</c:v>
                </c:pt>
                <c:pt idx="1">
                  <c:v>3.0819540024655628E-2</c:v>
                </c:pt>
                <c:pt idx="2">
                  <c:v>1.3611400010889117E-2</c:v>
                </c:pt>
                <c:pt idx="3">
                  <c:v>1.1734600009387678E-4</c:v>
                </c:pt>
                <c:pt idx="4">
                  <c:v>5.726540004581231E-7</c:v>
                </c:pt>
                <c:pt idx="5">
                  <c:v>0.24005100019204076</c:v>
                </c:pt>
                <c:pt idx="6">
                  <c:v>1.9425800015540639E-4</c:v>
                </c:pt>
                <c:pt idx="7">
                  <c:v>7.2192400057753903E-2</c:v>
                </c:pt>
                <c:pt idx="8">
                  <c:v>2.8278500022622794E-5</c:v>
                </c:pt>
                <c:pt idx="9">
                  <c:v>1.3795400011036316E-4</c:v>
                </c:pt>
                <c:pt idx="10">
                  <c:v>5.0761000040608788E-6</c:v>
                </c:pt>
                <c:pt idx="11">
                  <c:v>2.7275240021820186E-9</c:v>
                </c:pt>
                <c:pt idx="12">
                  <c:v>3.4436520027549207E-5</c:v>
                </c:pt>
                <c:pt idx="13">
                  <c:v>9.2625600074100465E-5</c:v>
                </c:pt>
                <c:pt idx="14">
                  <c:v>1.3340000010671996E-4</c:v>
                </c:pt>
                <c:pt idx="15">
                  <c:v>2.3875380019100299E-6</c:v>
                </c:pt>
                <c:pt idx="16">
                  <c:v>1.4725060011780048E-5</c:v>
                </c:pt>
                <c:pt idx="17">
                  <c:v>3.688556002950844E-6</c:v>
                </c:pt>
                <c:pt idx="18">
                  <c:v>9.0224400072179498E-4</c:v>
                </c:pt>
                <c:pt idx="19">
                  <c:v>2.7821720022257372E-3</c:v>
                </c:pt>
                <c:pt idx="20">
                  <c:v>1.6385660013108526E-3</c:v>
                </c:pt>
              </c:numCache>
            </c:numRef>
          </c:val>
          <c:extLst>
            <c:ext xmlns:c16="http://schemas.microsoft.com/office/drawing/2014/chart" uri="{C3380CC4-5D6E-409C-BE32-E72D297353CC}">
              <c16:uniqueId val="{0000000D-680E-4E03-8025-F9F87B7168C7}"/>
            </c:ext>
          </c:extLst>
        </c:ser>
        <c:ser>
          <c:idx val="14"/>
          <c:order val="14"/>
          <c:tx>
            <c:strRef>
              <c:f>Results!$A$16</c:f>
              <c:strCache>
                <c:ptCount val="1"/>
                <c:pt idx="0">
                  <c:v>HTL sputtering</c:v>
                </c:pt>
              </c:strCache>
            </c:strRef>
          </c:tx>
          <c:spPr>
            <a:solidFill>
              <a:schemeClr val="accent3">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Results!$D$16:$X$16</c:f>
              <c:numCache>
                <c:formatCode>General</c:formatCode>
                <c:ptCount val="21"/>
                <c:pt idx="0">
                  <c:v>5.9774170839065116E-3</c:v>
                </c:pt>
                <c:pt idx="1">
                  <c:v>4.9273591201035023</c:v>
                </c:pt>
                <c:pt idx="2">
                  <c:v>2.1761601869261127</c:v>
                </c:pt>
                <c:pt idx="3">
                  <c:v>1.8761016008274803E-2</c:v>
                </c:pt>
                <c:pt idx="4">
                  <c:v>9.1554640645634264E-5</c:v>
                </c:pt>
                <c:pt idx="5">
                  <c:v>38.378816949894961</c:v>
                </c:pt>
                <c:pt idx="6">
                  <c:v>3.1057534536630533E-2</c:v>
                </c:pt>
                <c:pt idx="7">
                  <c:v>11.541959436842992</c:v>
                </c:pt>
                <c:pt idx="8">
                  <c:v>4.5211033285327065E-3</c:v>
                </c:pt>
                <c:pt idx="9">
                  <c:v>2.2055776953671554E-2</c:v>
                </c:pt>
                <c:pt idx="10">
                  <c:v>8.1155551411725771E-4</c:v>
                </c:pt>
                <c:pt idx="11">
                  <c:v>4.3607043637579231E-7</c:v>
                </c:pt>
                <c:pt idx="12">
                  <c:v>5.5056337922832939E-3</c:v>
                </c:pt>
                <c:pt idx="13">
                  <c:v>1.4808773749220752E-2</c:v>
                </c:pt>
                <c:pt idx="14">
                  <c:v>2.1327693619755752E-2</c:v>
                </c:pt>
                <c:pt idx="15">
                  <c:v>3.8171423515385614E-4</c:v>
                </c:pt>
                <c:pt idx="16">
                  <c:v>2.3542096567655225E-3</c:v>
                </c:pt>
                <c:pt idx="17">
                  <c:v>5.8971808296335681E-4</c:v>
                </c:pt>
                <c:pt idx="18">
                  <c:v>0.14424875264065148</c:v>
                </c:pt>
                <c:pt idx="19">
                  <c:v>0.44480743638278192</c:v>
                </c:pt>
                <c:pt idx="20">
                  <c:v>0.26197026704459297</c:v>
                </c:pt>
              </c:numCache>
            </c:numRef>
          </c:val>
          <c:extLst>
            <c:ext xmlns:c16="http://schemas.microsoft.com/office/drawing/2014/chart" uri="{C3380CC4-5D6E-409C-BE32-E72D297353CC}">
              <c16:uniqueId val="{0000000E-680E-4E03-8025-F9F87B7168C7}"/>
            </c:ext>
          </c:extLst>
        </c:ser>
        <c:ser>
          <c:idx val="15"/>
          <c:order val="15"/>
          <c:tx>
            <c:strRef>
              <c:f>Results!$A$17</c:f>
              <c:strCache>
                <c:ptCount val="1"/>
                <c:pt idx="0">
                  <c:v>Inert gas purging</c:v>
                </c:pt>
              </c:strCache>
            </c:strRef>
          </c:tx>
          <c:spPr>
            <a:solidFill>
              <a:schemeClr val="accent4">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Results!$D$17:$X$17</c:f>
              <c:numCache>
                <c:formatCode>General</c:formatCode>
                <c:ptCount val="21"/>
                <c:pt idx="0">
                  <c:v>2.2351175017880937E-3</c:v>
                </c:pt>
                <c:pt idx="1">
                  <c:v>1.8424725014739778</c:v>
                </c:pt>
                <c:pt idx="2">
                  <c:v>0.81372500065097986</c:v>
                </c:pt>
                <c:pt idx="3">
                  <c:v>7.0152500056121989E-3</c:v>
                </c:pt>
                <c:pt idx="4">
                  <c:v>3.4234750027387797E-5</c:v>
                </c:pt>
                <c:pt idx="5">
                  <c:v>14.350875011480698</c:v>
                </c:pt>
                <c:pt idx="6">
                  <c:v>1.16132500092906E-2</c:v>
                </c:pt>
                <c:pt idx="7">
                  <c:v>4.3158500034526792</c:v>
                </c:pt>
                <c:pt idx="8">
                  <c:v>1.6905625013524496E-3</c:v>
                </c:pt>
                <c:pt idx="9">
                  <c:v>8.2472500065977998E-3</c:v>
                </c:pt>
                <c:pt idx="10">
                  <c:v>3.0346250024276995E-4</c:v>
                </c:pt>
                <c:pt idx="11">
                  <c:v>1.630585001304468E-7</c:v>
                </c:pt>
                <c:pt idx="12">
                  <c:v>2.0587050016469639E-3</c:v>
                </c:pt>
                <c:pt idx="13">
                  <c:v>5.5374000044299196E-3</c:v>
                </c:pt>
                <c:pt idx="14">
                  <c:v>7.9750000063799984E-3</c:v>
                </c:pt>
                <c:pt idx="15">
                  <c:v>1.4273325011418658E-4</c:v>
                </c:pt>
                <c:pt idx="16">
                  <c:v>8.8030250070424197E-4</c:v>
                </c:pt>
                <c:pt idx="17">
                  <c:v>2.2051150017640916E-4</c:v>
                </c:pt>
                <c:pt idx="18">
                  <c:v>5.3938500043150796E-2</c:v>
                </c:pt>
                <c:pt idx="19">
                  <c:v>0.16632550013306038</c:v>
                </c:pt>
                <c:pt idx="20">
                  <c:v>9.7957750078366185E-2</c:v>
                </c:pt>
              </c:numCache>
            </c:numRef>
          </c:val>
          <c:extLst>
            <c:ext xmlns:c16="http://schemas.microsoft.com/office/drawing/2014/chart" uri="{C3380CC4-5D6E-409C-BE32-E72D297353CC}">
              <c16:uniqueId val="{0000000F-680E-4E03-8025-F9F87B7168C7}"/>
            </c:ext>
          </c:extLst>
        </c:ser>
        <c:ser>
          <c:idx val="16"/>
          <c:order val="16"/>
          <c:tx>
            <c:strRef>
              <c:f>Results!$A$18</c:f>
              <c:strCache>
                <c:ptCount val="1"/>
                <c:pt idx="0">
                  <c:v>PL 1st-step spin coating</c:v>
                </c:pt>
              </c:strCache>
            </c:strRef>
          </c:tx>
          <c:spPr>
            <a:solidFill>
              <a:schemeClr val="accent5">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Results!$D$18:$X$18</c:f>
              <c:numCache>
                <c:formatCode>General</c:formatCode>
                <c:ptCount val="21"/>
                <c:pt idx="0">
                  <c:v>7.8431735225460569E-3</c:v>
                </c:pt>
                <c:pt idx="1">
                  <c:v>6.4653565318240496</c:v>
                </c:pt>
                <c:pt idx="2">
                  <c:v>2.8554142565810476</c:v>
                </c:pt>
                <c:pt idx="3">
                  <c:v>2.4616971167753472E-2</c:v>
                </c:pt>
                <c:pt idx="4">
                  <c:v>1.2013197729022462E-4</c:v>
                </c:pt>
                <c:pt idx="5">
                  <c:v>50.358159168530577</c:v>
                </c:pt>
                <c:pt idx="6">
                  <c:v>4.0751653955869438E-2</c:v>
                </c:pt>
                <c:pt idx="7">
                  <c:v>15.144599980663386</c:v>
                </c:pt>
                <c:pt idx="8">
                  <c:v>5.9322944043028016E-3</c:v>
                </c:pt>
                <c:pt idx="9">
                  <c:v>2.894013976169842E-2</c:v>
                </c:pt>
                <c:pt idx="10">
                  <c:v>1.0648697641558588E-3</c:v>
                </c:pt>
                <c:pt idx="11">
                  <c:v>5.7218294332449024E-7</c:v>
                </c:pt>
                <c:pt idx="12">
                  <c:v>7.2241305196407701E-3</c:v>
                </c:pt>
                <c:pt idx="13">
                  <c:v>1.943109884099898E-2</c:v>
                </c:pt>
                <c:pt idx="14">
                  <c:v>2.7984796701875762E-2</c:v>
                </c:pt>
                <c:pt idx="15">
                  <c:v>5.0086031145429584E-4</c:v>
                </c:pt>
                <c:pt idx="16">
                  <c:v>3.0890390593922247E-3</c:v>
                </c:pt>
                <c:pt idx="17">
                  <c:v>7.7378927873676207E-4</c:v>
                </c:pt>
                <c:pt idx="18">
                  <c:v>0.18927372500365217</c:v>
                </c:pt>
                <c:pt idx="19">
                  <c:v>0.58364706004236211</c:v>
                </c:pt>
                <c:pt idx="20">
                  <c:v>0.34374015286810916</c:v>
                </c:pt>
              </c:numCache>
            </c:numRef>
          </c:val>
          <c:extLst>
            <c:ext xmlns:c16="http://schemas.microsoft.com/office/drawing/2014/chart" uri="{C3380CC4-5D6E-409C-BE32-E72D297353CC}">
              <c16:uniqueId val="{00000010-680E-4E03-8025-F9F87B7168C7}"/>
            </c:ext>
          </c:extLst>
        </c:ser>
        <c:ser>
          <c:idx val="17"/>
          <c:order val="17"/>
          <c:tx>
            <c:strRef>
              <c:f>Results!$A$19</c:f>
              <c:strCache>
                <c:ptCount val="1"/>
                <c:pt idx="0">
                  <c:v>PL 2nd-step spin coating</c:v>
                </c:pt>
              </c:strCache>
            </c:strRef>
          </c:tx>
          <c:spPr>
            <a:solidFill>
              <a:schemeClr val="accent6">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Results!$D$19:$X$19</c:f>
              <c:numCache>
                <c:formatCode>General</c:formatCode>
                <c:ptCount val="21"/>
                <c:pt idx="0">
                  <c:v>1.3943419595637432E-2</c:v>
                </c:pt>
                <c:pt idx="1">
                  <c:v>11.493967167687197</c:v>
                </c:pt>
                <c:pt idx="2">
                  <c:v>5.0762920116996399</c:v>
                </c:pt>
                <c:pt idx="3">
                  <c:v>4.3763504298228388E-2</c:v>
                </c:pt>
                <c:pt idx="4">
                  <c:v>2.1356795962706597E-4</c:v>
                </c:pt>
                <c:pt idx="5">
                  <c:v>89.525616299609894</c:v>
                </c:pt>
                <c:pt idx="6">
                  <c:v>7.2447384810434542E-2</c:v>
                </c:pt>
                <c:pt idx="7">
                  <c:v>26.923733298957128</c:v>
                </c:pt>
                <c:pt idx="8">
                  <c:v>1.0546301163204978E-2</c:v>
                </c:pt>
                <c:pt idx="9">
                  <c:v>5.1449137354130516E-2</c:v>
                </c:pt>
                <c:pt idx="10">
                  <c:v>1.8931018029437487E-3</c:v>
                </c:pt>
                <c:pt idx="11">
                  <c:v>1.0172141214657602E-6</c:v>
                </c:pt>
                <c:pt idx="12">
                  <c:v>1.284289870158359E-2</c:v>
                </c:pt>
                <c:pt idx="13">
                  <c:v>3.454417571733151E-2</c:v>
                </c:pt>
                <c:pt idx="14">
                  <c:v>4.9750749692223567E-2</c:v>
                </c:pt>
                <c:pt idx="15">
                  <c:v>8.9041833147430354E-4</c:v>
                </c:pt>
                <c:pt idx="16">
                  <c:v>5.4916249944750653E-3</c:v>
                </c:pt>
                <c:pt idx="17">
                  <c:v>1.3756253844209101E-3</c:v>
                </c:pt>
                <c:pt idx="18">
                  <c:v>0.33648662222871489</c:v>
                </c:pt>
                <c:pt idx="19">
                  <c:v>1.0375947734086435</c:v>
                </c:pt>
                <c:pt idx="20">
                  <c:v>0.61109360509886068</c:v>
                </c:pt>
              </c:numCache>
            </c:numRef>
          </c:val>
          <c:extLst>
            <c:ext xmlns:c16="http://schemas.microsoft.com/office/drawing/2014/chart" uri="{C3380CC4-5D6E-409C-BE32-E72D297353CC}">
              <c16:uniqueId val="{00000011-680E-4E03-8025-F9F87B7168C7}"/>
            </c:ext>
          </c:extLst>
        </c:ser>
        <c:ser>
          <c:idx val="18"/>
          <c:order val="18"/>
          <c:tx>
            <c:strRef>
              <c:f>Results!$A$20</c:f>
              <c:strCache>
                <c:ptCount val="1"/>
                <c:pt idx="0">
                  <c:v>PL treatment</c:v>
                </c:pt>
              </c:strCache>
            </c:strRef>
          </c:tx>
          <c:spPr>
            <a:solidFill>
              <a:schemeClr val="accent1">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Results!$D$20:$X$20</c:f>
              <c:numCache>
                <c:formatCode>General</c:formatCode>
                <c:ptCount val="21"/>
                <c:pt idx="0">
                  <c:v>1.950648001560518E-4</c:v>
                </c:pt>
                <c:pt idx="1">
                  <c:v>0.16079760012863806</c:v>
                </c:pt>
                <c:pt idx="2">
                  <c:v>7.1016000056812786E-2</c:v>
                </c:pt>
                <c:pt idx="3">
                  <c:v>6.1224000048979192E-4</c:v>
                </c:pt>
                <c:pt idx="4">
                  <c:v>2.9877600023902077E-6</c:v>
                </c:pt>
                <c:pt idx="5">
                  <c:v>1.2524400010019516</c:v>
                </c:pt>
                <c:pt idx="6">
                  <c:v>1.0135200008108158E-3</c:v>
                </c:pt>
                <c:pt idx="7">
                  <c:v>0.37665600030132473</c:v>
                </c:pt>
                <c:pt idx="8">
                  <c:v>1.4754000011803195E-4</c:v>
                </c:pt>
                <c:pt idx="9">
                  <c:v>7.1976000057580791E-4</c:v>
                </c:pt>
                <c:pt idx="10">
                  <c:v>2.6484000021187197E-5</c:v>
                </c:pt>
                <c:pt idx="11">
                  <c:v>1.4230560011384446E-8</c:v>
                </c:pt>
                <c:pt idx="12">
                  <c:v>1.79668800143735E-4</c:v>
                </c:pt>
                <c:pt idx="13">
                  <c:v>4.8326400038661111E-4</c:v>
                </c:pt>
                <c:pt idx="14">
                  <c:v>6.9600000055679984E-4</c:v>
                </c:pt>
                <c:pt idx="15">
                  <c:v>1.2456720009965375E-5</c:v>
                </c:pt>
                <c:pt idx="16">
                  <c:v>7.6826400061461117E-5</c:v>
                </c:pt>
                <c:pt idx="17">
                  <c:v>1.9244640015395706E-5</c:v>
                </c:pt>
                <c:pt idx="18">
                  <c:v>4.7073600037658868E-3</c:v>
                </c:pt>
                <c:pt idx="19">
                  <c:v>1.4515680011612542E-2</c:v>
                </c:pt>
                <c:pt idx="20">
                  <c:v>8.5490400068392314E-3</c:v>
                </c:pt>
              </c:numCache>
            </c:numRef>
          </c:val>
          <c:extLst>
            <c:ext xmlns:c16="http://schemas.microsoft.com/office/drawing/2014/chart" uri="{C3380CC4-5D6E-409C-BE32-E72D297353CC}">
              <c16:uniqueId val="{00000012-680E-4E03-8025-F9F87B7168C7}"/>
            </c:ext>
          </c:extLst>
        </c:ser>
        <c:ser>
          <c:idx val="19"/>
          <c:order val="19"/>
          <c:tx>
            <c:strRef>
              <c:f>Results!$A$21</c:f>
              <c:strCache>
                <c:ptCount val="1"/>
                <c:pt idx="0">
                  <c:v>ETL 1st-step spin coating</c:v>
                </c:pt>
              </c:strCache>
            </c:strRef>
          </c:tx>
          <c:spPr>
            <a:solidFill>
              <a:schemeClr val="accent2">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Results!$D$21:$X$21</c:f>
              <c:numCache>
                <c:formatCode>General</c:formatCode>
                <c:ptCount val="21"/>
                <c:pt idx="0">
                  <c:v>2.8467815007759755E-4</c:v>
                </c:pt>
                <c:pt idx="1">
                  <c:v>0.23466849634028025</c:v>
                </c:pt>
                <c:pt idx="2">
                  <c:v>0.1036409619055343</c:v>
                </c:pt>
                <c:pt idx="3">
                  <c:v>8.9350487942216285E-4</c:v>
                </c:pt>
                <c:pt idx="4">
                  <c:v>4.3603458423859299E-6</c:v>
                </c:pt>
                <c:pt idx="5">
                  <c:v>1.8278146661170351</c:v>
                </c:pt>
                <c:pt idx="6">
                  <c:v>1.4791341065463718E-3</c:v>
                </c:pt>
                <c:pt idx="7">
                  <c:v>0.54969288818704132</c:v>
                </c:pt>
                <c:pt idx="8">
                  <c:v>2.1532031541543497E-4</c:v>
                </c:pt>
                <c:pt idx="9">
                  <c:v>1.0504198876468312E-3</c:v>
                </c:pt>
                <c:pt idx="10">
                  <c:v>3.8650828476768198E-5</c:v>
                </c:pt>
                <c:pt idx="11">
                  <c:v>2.0768121646592602E-8</c:v>
                </c:pt>
                <c:pt idx="12">
                  <c:v>2.6220918182399825E-4</c:v>
                </c:pt>
                <c:pt idx="13">
                  <c:v>7.0527692089551828E-4</c:v>
                </c:pt>
                <c:pt idx="14">
                  <c:v>1.0157444728828978E-3</c:v>
                </c:pt>
                <c:pt idx="15">
                  <c:v>1.8179374267600361E-5</c:v>
                </c:pt>
                <c:pt idx="16">
                  <c:v>1.1212067697053257E-4</c:v>
                </c:pt>
                <c:pt idx="17">
                  <c:v>2.808568493192691E-5</c:v>
                </c:pt>
                <c:pt idx="18">
                  <c:v>6.869935203836261E-3</c:v>
                </c:pt>
                <c:pt idx="19">
                  <c:v>2.1184226623759805E-2</c:v>
                </c:pt>
                <c:pt idx="20">
                  <c:v>1.247649443743507E-2</c:v>
                </c:pt>
              </c:numCache>
            </c:numRef>
          </c:val>
          <c:extLst>
            <c:ext xmlns:c16="http://schemas.microsoft.com/office/drawing/2014/chart" uri="{C3380CC4-5D6E-409C-BE32-E72D297353CC}">
              <c16:uniqueId val="{00000013-680E-4E03-8025-F9F87B7168C7}"/>
            </c:ext>
          </c:extLst>
        </c:ser>
        <c:ser>
          <c:idx val="20"/>
          <c:order val="20"/>
          <c:tx>
            <c:strRef>
              <c:f>Results!$A$22</c:f>
              <c:strCache>
                <c:ptCount val="1"/>
                <c:pt idx="0">
                  <c:v>ETL 2nd-step spin coating</c:v>
                </c:pt>
              </c:strCache>
            </c:strRef>
          </c:tx>
          <c:spPr>
            <a:solidFill>
              <a:schemeClr val="accent3">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Results!$D$22:$X$22</c:f>
              <c:numCache>
                <c:formatCode>General</c:formatCode>
                <c:ptCount val="21"/>
                <c:pt idx="0">
                  <c:v>2.9048790824244655E-4</c:v>
                </c:pt>
                <c:pt idx="1">
                  <c:v>0.23945764932681665</c:v>
                </c:pt>
                <c:pt idx="2">
                  <c:v>0.10575608357707585</c:v>
                </c:pt>
                <c:pt idx="3">
                  <c:v>9.1173967287975827E-4</c:v>
                </c:pt>
                <c:pt idx="4">
                  <c:v>4.4493324922305416E-6</c:v>
                </c:pt>
                <c:pt idx="5">
                  <c:v>1.8651170062418732</c:v>
                </c:pt>
                <c:pt idx="6">
                  <c:v>1.5093205168840531E-3</c:v>
                </c:pt>
                <c:pt idx="7">
                  <c:v>0.56091111039494024</c:v>
                </c:pt>
                <c:pt idx="8">
                  <c:v>2.1971460756677044E-4</c:v>
                </c:pt>
                <c:pt idx="9">
                  <c:v>1.0718570282110527E-3</c:v>
                </c:pt>
                <c:pt idx="10">
                  <c:v>3.9439620894661436E-5</c:v>
                </c:pt>
                <c:pt idx="11">
                  <c:v>2.1191960863870009E-8</c:v>
                </c:pt>
                <c:pt idx="12">
                  <c:v>2.6756038961632485E-4</c:v>
                </c:pt>
                <c:pt idx="13">
                  <c:v>7.196703274444066E-4</c:v>
                </c:pt>
                <c:pt idx="14">
                  <c:v>1.0364739519213245E-3</c:v>
                </c:pt>
                <c:pt idx="15">
                  <c:v>1.8550381905714661E-5</c:v>
                </c:pt>
                <c:pt idx="16">
                  <c:v>1.1440885405156388E-4</c:v>
                </c:pt>
                <c:pt idx="17">
                  <c:v>2.8658862175435631E-5</c:v>
                </c:pt>
                <c:pt idx="18">
                  <c:v>7.0101379630982284E-3</c:v>
                </c:pt>
                <c:pt idx="19">
                  <c:v>2.1616557779346745E-2</c:v>
                </c:pt>
                <c:pt idx="20">
                  <c:v>1.2731116772892933E-2</c:v>
                </c:pt>
              </c:numCache>
            </c:numRef>
          </c:val>
          <c:extLst>
            <c:ext xmlns:c16="http://schemas.microsoft.com/office/drawing/2014/chart" uri="{C3380CC4-5D6E-409C-BE32-E72D297353CC}">
              <c16:uniqueId val="{00000014-680E-4E03-8025-F9F87B7168C7}"/>
            </c:ext>
          </c:extLst>
        </c:ser>
        <c:ser>
          <c:idx val="21"/>
          <c:order val="21"/>
          <c:tx>
            <c:strRef>
              <c:f>Results!$A$23</c:f>
              <c:strCache>
                <c:ptCount val="1"/>
                <c:pt idx="0">
                  <c:v>Electrode sputtering</c:v>
                </c:pt>
              </c:strCache>
            </c:strRef>
          </c:tx>
          <c:spPr>
            <a:solidFill>
              <a:schemeClr val="accent4">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Results!$D$23:$X$23</c:f>
              <c:numCache>
                <c:formatCode>General</c:formatCode>
                <c:ptCount val="21"/>
                <c:pt idx="0">
                  <c:v>8.8554985979934879E-3</c:v>
                </c:pt>
                <c:pt idx="1">
                  <c:v>7.2998455967489662</c:v>
                </c:pt>
                <c:pt idx="2">
                  <c:v>3.2239650025791713</c:v>
                </c:pt>
                <c:pt idx="3">
                  <c:v>2.7794304567689984E-2</c:v>
                </c:pt>
                <c:pt idx="4">
                  <c:v>1.3563751374487363E-4</c:v>
                </c:pt>
                <c:pt idx="5">
                  <c:v>56.857929590940877</c:v>
                </c:pt>
                <c:pt idx="6">
                  <c:v>4.6011504582263746E-2</c:v>
                </c:pt>
                <c:pt idx="7">
                  <c:v>17.099326377315823</c:v>
                </c:pt>
                <c:pt idx="8">
                  <c:v>6.6979806871765649E-3</c:v>
                </c:pt>
                <c:pt idx="9">
                  <c:v>3.2675468207958552E-2</c:v>
                </c:pt>
                <c:pt idx="10">
                  <c:v>1.2023134100527595E-3</c:v>
                </c:pt>
                <c:pt idx="11">
                  <c:v>6.4603508233500982E-7</c:v>
                </c:pt>
                <c:pt idx="12">
                  <c:v>8.1565551883434236E-3</c:v>
                </c:pt>
                <c:pt idx="13">
                  <c:v>2.1939087290278537E-2</c:v>
                </c:pt>
                <c:pt idx="14">
                  <c:v>3.1596818207095631E-2</c:v>
                </c:pt>
                <c:pt idx="15">
                  <c:v>5.6550677772513258E-4</c:v>
                </c:pt>
                <c:pt idx="16">
                  <c:v>3.4877439573356493E-3</c:v>
                </c:pt>
                <c:pt idx="17">
                  <c:v>8.7366291888074828E-4</c:v>
                </c:pt>
                <c:pt idx="18">
                  <c:v>0.21370344562550816</c:v>
                </c:pt>
                <c:pt idx="19">
                  <c:v>0.65897888234536484</c:v>
                </c:pt>
                <c:pt idx="20">
                  <c:v>0.38810698667412191</c:v>
                </c:pt>
              </c:numCache>
            </c:numRef>
          </c:val>
          <c:extLst>
            <c:ext xmlns:c16="http://schemas.microsoft.com/office/drawing/2014/chart" uri="{C3380CC4-5D6E-409C-BE32-E72D297353CC}">
              <c16:uniqueId val="{00000015-680E-4E03-8025-F9F87B7168C7}"/>
            </c:ext>
          </c:extLst>
        </c:ser>
        <c:ser>
          <c:idx val="22"/>
          <c:order val="22"/>
          <c:tx>
            <c:strRef>
              <c:f>Results!$A$24</c:f>
              <c:strCache>
                <c:ptCount val="1"/>
                <c:pt idx="0">
                  <c:v>Direct emissions</c:v>
                </c:pt>
              </c:strCache>
            </c:strRef>
          </c:tx>
          <c:spPr>
            <a:solidFill>
              <a:schemeClr val="accent5">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Results!$D$24:$X$24</c:f>
              <c:numCache>
                <c:formatCode>General</c:formatCode>
                <c:ptCount val="21"/>
                <c:pt idx="0">
                  <c:v>0</c:v>
                </c:pt>
                <c:pt idx="1">
                  <c:v>0</c:v>
                </c:pt>
                <c:pt idx="2">
                  <c:v>0</c:v>
                </c:pt>
                <c:pt idx="3">
                  <c:v>4.415657269717634E-8</c:v>
                </c:pt>
                <c:pt idx="4">
                  <c:v>0</c:v>
                </c:pt>
                <c:pt idx="5">
                  <c:v>6.035238398856483E-5</c:v>
                </c:pt>
                <c:pt idx="6">
                  <c:v>0</c:v>
                </c:pt>
                <c:pt idx="7">
                  <c:v>7.5058736288013125E-8</c:v>
                </c:pt>
                <c:pt idx="8">
                  <c:v>0</c:v>
                </c:pt>
                <c:pt idx="9">
                  <c:v>0</c:v>
                </c:pt>
                <c:pt idx="10">
                  <c:v>0</c:v>
                </c:pt>
                <c:pt idx="11">
                  <c:v>0</c:v>
                </c:pt>
                <c:pt idx="12">
                  <c:v>0</c:v>
                </c:pt>
                <c:pt idx="13">
                  <c:v>2.8312680513890146E-3</c:v>
                </c:pt>
                <c:pt idx="14">
                  <c:v>0</c:v>
                </c:pt>
                <c:pt idx="15">
                  <c:v>1.5618451813015086E-7</c:v>
                </c:pt>
                <c:pt idx="16">
                  <c:v>0</c:v>
                </c:pt>
                <c:pt idx="17">
                  <c:v>0</c:v>
                </c:pt>
                <c:pt idx="18">
                  <c:v>3.4284480087961961E-8</c:v>
                </c:pt>
                <c:pt idx="19">
                  <c:v>1.4894255882583876E-6</c:v>
                </c:pt>
                <c:pt idx="20">
                  <c:v>0</c:v>
                </c:pt>
              </c:numCache>
            </c:numRef>
          </c:val>
          <c:extLst>
            <c:ext xmlns:c16="http://schemas.microsoft.com/office/drawing/2014/chart" uri="{C3380CC4-5D6E-409C-BE32-E72D297353CC}">
              <c16:uniqueId val="{00000016-680E-4E03-8025-F9F87B7168C7}"/>
            </c:ext>
          </c:extLst>
        </c:ser>
        <c:ser>
          <c:idx val="23"/>
          <c:order val="23"/>
          <c:tx>
            <c:strRef>
              <c:f>Results!$A$25</c:f>
              <c:strCache>
                <c:ptCount val="1"/>
                <c:pt idx="0">
                  <c:v>Treatment</c:v>
                </c:pt>
              </c:strCache>
            </c:strRef>
          </c:tx>
          <c:spPr>
            <a:solidFill>
              <a:schemeClr val="accent6">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Results!$D$25:$X$25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F5DC-404B-81B2-0B2762A3B0B1}"/>
            </c:ext>
          </c:extLst>
        </c:ser>
        <c:ser>
          <c:idx val="24"/>
          <c:order val="24"/>
          <c:tx>
            <c:strRef>
              <c:f>Results!$A$26</c:f>
              <c:strCache>
                <c:ptCount val="1"/>
                <c:pt idx="0">
                  <c:v>End of life</c:v>
                </c:pt>
              </c:strCache>
            </c:strRef>
          </c:tx>
          <c:spPr>
            <a:solidFill>
              <a:schemeClr val="accent1">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Results!$D$26:$X$26</c:f>
              <c:numCache>
                <c:formatCode>General</c:formatCode>
                <c:ptCount val="21"/>
                <c:pt idx="0">
                  <c:v>4.332423197619466E-4</c:v>
                </c:pt>
                <c:pt idx="1">
                  <c:v>7.8861469170413943E-3</c:v>
                </c:pt>
                <c:pt idx="2">
                  <c:v>6.2513722290761147E-3</c:v>
                </c:pt>
                <c:pt idx="3">
                  <c:v>3.8587478109411933E-5</c:v>
                </c:pt>
                <c:pt idx="4">
                  <c:v>9.2943543431035038E-7</c:v>
                </c:pt>
                <c:pt idx="5">
                  <c:v>5.944494826621035E-2</c:v>
                </c:pt>
                <c:pt idx="6">
                  <c:v>1.1468133628234475E-3</c:v>
                </c:pt>
                <c:pt idx="7">
                  <c:v>4.2164368215531531E-2</c:v>
                </c:pt>
                <c:pt idx="8">
                  <c:v>2.6698488456169867E-5</c:v>
                </c:pt>
                <c:pt idx="9">
                  <c:v>3.2531784626642108E-4</c:v>
                </c:pt>
                <c:pt idx="10">
                  <c:v>-6.1477412592485548E-5</c:v>
                </c:pt>
                <c:pt idx="11">
                  <c:v>2.9467643879430849E-9</c:v>
                </c:pt>
                <c:pt idx="12">
                  <c:v>2.820584801729799E-5</c:v>
                </c:pt>
                <c:pt idx="13">
                  <c:v>8.5292458117685967E-5</c:v>
                </c:pt>
                <c:pt idx="14">
                  <c:v>7.1355559880370239E-5</c:v>
                </c:pt>
                <c:pt idx="15">
                  <c:v>8.60245159373322E-6</c:v>
                </c:pt>
                <c:pt idx="16">
                  <c:v>1.5788664747349141E-3</c:v>
                </c:pt>
                <c:pt idx="17">
                  <c:v>1.1402186647435119E-5</c:v>
                </c:pt>
                <c:pt idx="18">
                  <c:v>6.4212590648589959E-4</c:v>
                </c:pt>
                <c:pt idx="19">
                  <c:v>7.4174136928586228E-4</c:v>
                </c:pt>
                <c:pt idx="20">
                  <c:v>7.6473786914774524E-4</c:v>
                </c:pt>
              </c:numCache>
            </c:numRef>
          </c:val>
          <c:extLst>
            <c:ext xmlns:c16="http://schemas.microsoft.com/office/drawing/2014/chart" uri="{C3380CC4-5D6E-409C-BE32-E72D297353CC}">
              <c16:uniqueId val="{00000003-F5DC-404B-81B2-0B2762A3B0B1}"/>
            </c:ext>
          </c:extLst>
        </c:ser>
        <c:dLbls>
          <c:showLegendKey val="0"/>
          <c:showVal val="0"/>
          <c:showCatName val="0"/>
          <c:showSerName val="0"/>
          <c:showPercent val="0"/>
          <c:showBubbleSize val="0"/>
        </c:dLbls>
        <c:gapWidth val="150"/>
        <c:overlap val="100"/>
        <c:axId val="558631024"/>
        <c:axId val="589440176"/>
      </c:barChart>
      <c:catAx>
        <c:axId val="5586310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89440176"/>
        <c:crossesAt val="0"/>
        <c:auto val="1"/>
        <c:lblAlgn val="ctr"/>
        <c:lblOffset val="100"/>
        <c:noMultiLvlLbl val="0"/>
      </c:catAx>
      <c:valAx>
        <c:axId val="58944017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5863102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821768075925022"/>
          <c:y val="9.3174030329542135E-2"/>
          <c:w val="0.56111114860667721"/>
          <c:h val="0.81828156897054538"/>
        </c:manualLayout>
      </c:layout>
      <c:pieChart>
        <c:varyColors val="1"/>
        <c:ser>
          <c:idx val="0"/>
          <c:order val="0"/>
          <c:spPr>
            <a:ln w="6350"/>
          </c:spPr>
          <c:dPt>
            <c:idx val="0"/>
            <c:bubble3D val="0"/>
            <c:spPr>
              <a:solidFill>
                <a:schemeClr val="accent6"/>
              </a:solidFill>
              <a:ln w="6350">
                <a:solidFill>
                  <a:schemeClr val="lt1"/>
                </a:solidFill>
              </a:ln>
              <a:effectLst/>
            </c:spPr>
            <c:extLst>
              <c:ext xmlns:c16="http://schemas.microsoft.com/office/drawing/2014/chart" uri="{C3380CC4-5D6E-409C-BE32-E72D297353CC}">
                <c16:uniqueId val="{00000001-D2AB-47FC-B3C5-B0BC5AAF8577}"/>
              </c:ext>
            </c:extLst>
          </c:dPt>
          <c:dPt>
            <c:idx val="1"/>
            <c:bubble3D val="0"/>
            <c:spPr>
              <a:solidFill>
                <a:schemeClr val="accent5"/>
              </a:solidFill>
              <a:ln w="6350">
                <a:solidFill>
                  <a:schemeClr val="lt1"/>
                </a:solidFill>
              </a:ln>
              <a:effectLst/>
            </c:spPr>
            <c:extLst>
              <c:ext xmlns:c16="http://schemas.microsoft.com/office/drawing/2014/chart" uri="{C3380CC4-5D6E-409C-BE32-E72D297353CC}">
                <c16:uniqueId val="{00000003-D2AB-47FC-B3C5-B0BC5AAF8577}"/>
              </c:ext>
            </c:extLst>
          </c:dPt>
          <c:dPt>
            <c:idx val="2"/>
            <c:bubble3D val="0"/>
            <c:spPr>
              <a:solidFill>
                <a:schemeClr val="accent4"/>
              </a:solidFill>
              <a:ln w="6350">
                <a:solidFill>
                  <a:schemeClr val="lt1"/>
                </a:solidFill>
              </a:ln>
              <a:effectLst/>
            </c:spPr>
            <c:extLst>
              <c:ext xmlns:c16="http://schemas.microsoft.com/office/drawing/2014/chart" uri="{C3380CC4-5D6E-409C-BE32-E72D297353CC}">
                <c16:uniqueId val="{00000005-D2AB-47FC-B3C5-B0BC5AAF8577}"/>
              </c:ext>
            </c:extLst>
          </c:dPt>
          <c:dPt>
            <c:idx val="3"/>
            <c:bubble3D val="0"/>
            <c:spPr>
              <a:solidFill>
                <a:schemeClr val="accent6">
                  <a:lumMod val="60000"/>
                </a:schemeClr>
              </a:solidFill>
              <a:ln w="6350">
                <a:solidFill>
                  <a:schemeClr val="lt1"/>
                </a:solidFill>
              </a:ln>
              <a:effectLst/>
            </c:spPr>
            <c:extLst>
              <c:ext xmlns:c16="http://schemas.microsoft.com/office/drawing/2014/chart" uri="{C3380CC4-5D6E-409C-BE32-E72D297353CC}">
                <c16:uniqueId val="{00000007-D2AB-47FC-B3C5-B0BC5AAF8577}"/>
              </c:ext>
            </c:extLst>
          </c:dPt>
          <c:dPt>
            <c:idx val="4"/>
            <c:bubble3D val="0"/>
            <c:spPr>
              <a:solidFill>
                <a:schemeClr val="accent5">
                  <a:lumMod val="60000"/>
                </a:schemeClr>
              </a:solidFill>
              <a:ln w="6350">
                <a:solidFill>
                  <a:schemeClr val="lt1"/>
                </a:solidFill>
              </a:ln>
              <a:effectLst/>
            </c:spPr>
            <c:extLst>
              <c:ext xmlns:c16="http://schemas.microsoft.com/office/drawing/2014/chart" uri="{C3380CC4-5D6E-409C-BE32-E72D297353CC}">
                <c16:uniqueId val="{00000009-D2AB-47FC-B3C5-B0BC5AAF8577}"/>
              </c:ext>
            </c:extLst>
          </c:dPt>
          <c:dPt>
            <c:idx val="5"/>
            <c:bubble3D val="0"/>
            <c:spPr>
              <a:solidFill>
                <a:schemeClr val="accent4">
                  <a:lumMod val="60000"/>
                </a:schemeClr>
              </a:solidFill>
              <a:ln w="6350">
                <a:solidFill>
                  <a:schemeClr val="lt1"/>
                </a:solidFill>
              </a:ln>
              <a:effectLst/>
            </c:spPr>
            <c:extLst>
              <c:ext xmlns:c16="http://schemas.microsoft.com/office/drawing/2014/chart" uri="{C3380CC4-5D6E-409C-BE32-E72D297353CC}">
                <c16:uniqueId val="{0000000B-D2AB-47FC-B3C5-B0BC5AAF8577}"/>
              </c:ext>
            </c:extLst>
          </c:dPt>
          <c:dPt>
            <c:idx val="6"/>
            <c:bubble3D val="0"/>
            <c:spPr>
              <a:solidFill>
                <a:schemeClr val="accent6">
                  <a:lumMod val="80000"/>
                  <a:lumOff val="20000"/>
                </a:schemeClr>
              </a:solidFill>
              <a:ln w="6350">
                <a:solidFill>
                  <a:schemeClr val="lt1"/>
                </a:solidFill>
              </a:ln>
              <a:effectLst/>
            </c:spPr>
            <c:extLst>
              <c:ext xmlns:c16="http://schemas.microsoft.com/office/drawing/2014/chart" uri="{C3380CC4-5D6E-409C-BE32-E72D297353CC}">
                <c16:uniqueId val="{0000000D-D2AB-47FC-B3C5-B0BC5AAF8577}"/>
              </c:ext>
            </c:extLst>
          </c:dPt>
          <c:dPt>
            <c:idx val="7"/>
            <c:bubble3D val="0"/>
            <c:spPr>
              <a:solidFill>
                <a:schemeClr val="accent5">
                  <a:lumMod val="80000"/>
                  <a:lumOff val="20000"/>
                </a:schemeClr>
              </a:solidFill>
              <a:ln w="6350">
                <a:solidFill>
                  <a:schemeClr val="lt1"/>
                </a:solidFill>
              </a:ln>
              <a:effectLst/>
            </c:spPr>
            <c:extLst>
              <c:ext xmlns:c16="http://schemas.microsoft.com/office/drawing/2014/chart" uri="{C3380CC4-5D6E-409C-BE32-E72D297353CC}">
                <c16:uniqueId val="{0000000F-D2AB-47FC-B3C5-B0BC5AAF8577}"/>
              </c:ext>
            </c:extLst>
          </c:dPt>
          <c:dPt>
            <c:idx val="8"/>
            <c:bubble3D val="0"/>
            <c:spPr>
              <a:solidFill>
                <a:schemeClr val="accent4">
                  <a:lumMod val="80000"/>
                  <a:lumOff val="20000"/>
                </a:schemeClr>
              </a:solidFill>
              <a:ln w="6350">
                <a:solidFill>
                  <a:schemeClr val="lt1"/>
                </a:solidFill>
              </a:ln>
              <a:effectLst/>
            </c:spPr>
            <c:extLst>
              <c:ext xmlns:c16="http://schemas.microsoft.com/office/drawing/2014/chart" uri="{C3380CC4-5D6E-409C-BE32-E72D297353CC}">
                <c16:uniqueId val="{00000011-D2AB-47FC-B3C5-B0BC5AAF8577}"/>
              </c:ext>
            </c:extLst>
          </c:dPt>
          <c:dPt>
            <c:idx val="9"/>
            <c:bubble3D val="0"/>
            <c:spPr>
              <a:solidFill>
                <a:schemeClr val="accent6">
                  <a:lumMod val="80000"/>
                </a:schemeClr>
              </a:solidFill>
              <a:ln w="6350">
                <a:solidFill>
                  <a:schemeClr val="lt1"/>
                </a:solidFill>
              </a:ln>
              <a:effectLst/>
            </c:spPr>
            <c:extLst>
              <c:ext xmlns:c16="http://schemas.microsoft.com/office/drawing/2014/chart" uri="{C3380CC4-5D6E-409C-BE32-E72D297353CC}">
                <c16:uniqueId val="{00000013-D2AB-47FC-B3C5-B0BC5AAF8577}"/>
              </c:ext>
            </c:extLst>
          </c:dPt>
          <c:dPt>
            <c:idx val="10"/>
            <c:bubble3D val="0"/>
            <c:spPr>
              <a:solidFill>
                <a:schemeClr val="accent5">
                  <a:lumMod val="80000"/>
                </a:schemeClr>
              </a:solidFill>
              <a:ln w="6350">
                <a:solidFill>
                  <a:schemeClr val="lt1"/>
                </a:solidFill>
              </a:ln>
              <a:effectLst/>
            </c:spPr>
            <c:extLst>
              <c:ext xmlns:c16="http://schemas.microsoft.com/office/drawing/2014/chart" uri="{C3380CC4-5D6E-409C-BE32-E72D297353CC}">
                <c16:uniqueId val="{00000015-D2AB-47FC-B3C5-B0BC5AAF8577}"/>
              </c:ext>
            </c:extLst>
          </c:dPt>
          <c:dPt>
            <c:idx val="11"/>
            <c:bubble3D val="0"/>
            <c:spPr>
              <a:solidFill>
                <a:schemeClr val="accent4">
                  <a:lumMod val="80000"/>
                </a:schemeClr>
              </a:solidFill>
              <a:ln w="6350">
                <a:solidFill>
                  <a:schemeClr val="lt1"/>
                </a:solidFill>
              </a:ln>
              <a:effectLst/>
            </c:spPr>
            <c:extLst>
              <c:ext xmlns:c16="http://schemas.microsoft.com/office/drawing/2014/chart" uri="{C3380CC4-5D6E-409C-BE32-E72D297353CC}">
                <c16:uniqueId val="{00000017-D2AB-47FC-B3C5-B0BC5AAF8577}"/>
              </c:ext>
            </c:extLst>
          </c:dPt>
          <c:dPt>
            <c:idx val="12"/>
            <c:bubble3D val="0"/>
            <c:spPr>
              <a:solidFill>
                <a:schemeClr val="accent6">
                  <a:lumMod val="60000"/>
                  <a:lumOff val="40000"/>
                </a:schemeClr>
              </a:solidFill>
              <a:ln w="6350">
                <a:solidFill>
                  <a:schemeClr val="lt1"/>
                </a:solidFill>
              </a:ln>
              <a:effectLst/>
            </c:spPr>
            <c:extLst>
              <c:ext xmlns:c16="http://schemas.microsoft.com/office/drawing/2014/chart" uri="{C3380CC4-5D6E-409C-BE32-E72D297353CC}">
                <c16:uniqueId val="{00000019-D2AB-47FC-B3C5-B0BC5AAF8577}"/>
              </c:ext>
            </c:extLst>
          </c:dPt>
          <c:dLbls>
            <c:dLbl>
              <c:idx val="1"/>
              <c:delete val="1"/>
              <c:extLst>
                <c:ext xmlns:c15="http://schemas.microsoft.com/office/drawing/2012/chart" uri="{CE6537A1-D6FC-4f65-9D91-7224C49458BB}"/>
                <c:ext xmlns:c16="http://schemas.microsoft.com/office/drawing/2014/chart" uri="{C3380CC4-5D6E-409C-BE32-E72D297353CC}">
                  <c16:uniqueId val="{00000003-D2AB-47FC-B3C5-B0BC5AAF8577}"/>
                </c:ext>
              </c:extLst>
            </c:dLbl>
            <c:dLbl>
              <c:idx val="2"/>
              <c:delete val="1"/>
              <c:extLst>
                <c:ext xmlns:c15="http://schemas.microsoft.com/office/drawing/2012/chart" uri="{CE6537A1-D6FC-4f65-9D91-7224C49458BB}"/>
                <c:ext xmlns:c16="http://schemas.microsoft.com/office/drawing/2014/chart" uri="{C3380CC4-5D6E-409C-BE32-E72D297353CC}">
                  <c16:uniqueId val="{00000005-D2AB-47FC-B3C5-B0BC5AAF8577}"/>
                </c:ext>
              </c:extLst>
            </c:dLbl>
            <c:dLbl>
              <c:idx val="3"/>
              <c:delete val="1"/>
              <c:extLst>
                <c:ext xmlns:c15="http://schemas.microsoft.com/office/drawing/2012/chart" uri="{CE6537A1-D6FC-4f65-9D91-7224C49458BB}"/>
                <c:ext xmlns:c16="http://schemas.microsoft.com/office/drawing/2014/chart" uri="{C3380CC4-5D6E-409C-BE32-E72D297353CC}">
                  <c16:uniqueId val="{00000007-D2AB-47FC-B3C5-B0BC5AAF8577}"/>
                </c:ext>
              </c:extLst>
            </c:dLbl>
            <c:dLbl>
              <c:idx val="4"/>
              <c:delete val="1"/>
              <c:extLst>
                <c:ext xmlns:c15="http://schemas.microsoft.com/office/drawing/2012/chart" uri="{CE6537A1-D6FC-4f65-9D91-7224C49458BB}"/>
                <c:ext xmlns:c16="http://schemas.microsoft.com/office/drawing/2014/chart" uri="{C3380CC4-5D6E-409C-BE32-E72D297353CC}">
                  <c16:uniqueId val="{00000009-D2AB-47FC-B3C5-B0BC5AAF8577}"/>
                </c:ext>
              </c:extLst>
            </c:dLbl>
            <c:dLbl>
              <c:idx val="5"/>
              <c:delete val="1"/>
              <c:extLst>
                <c:ext xmlns:c15="http://schemas.microsoft.com/office/drawing/2012/chart" uri="{CE6537A1-D6FC-4f65-9D91-7224C49458BB}"/>
                <c:ext xmlns:c16="http://schemas.microsoft.com/office/drawing/2014/chart" uri="{C3380CC4-5D6E-409C-BE32-E72D297353CC}">
                  <c16:uniqueId val="{0000000B-D2AB-47FC-B3C5-B0BC5AAF8577}"/>
                </c:ext>
              </c:extLst>
            </c:dLbl>
            <c:dLbl>
              <c:idx val="6"/>
              <c:delete val="1"/>
              <c:extLst>
                <c:ext xmlns:c15="http://schemas.microsoft.com/office/drawing/2012/chart" uri="{CE6537A1-D6FC-4f65-9D91-7224C49458BB}"/>
                <c:ext xmlns:c16="http://schemas.microsoft.com/office/drawing/2014/chart" uri="{C3380CC4-5D6E-409C-BE32-E72D297353CC}">
                  <c16:uniqueId val="{0000000D-D2AB-47FC-B3C5-B0BC5AAF8577}"/>
                </c:ext>
              </c:extLst>
            </c:dLbl>
            <c:dLbl>
              <c:idx val="8"/>
              <c:delete val="1"/>
              <c:extLst>
                <c:ext xmlns:c15="http://schemas.microsoft.com/office/drawing/2012/chart" uri="{CE6537A1-D6FC-4f65-9D91-7224C49458BB}"/>
                <c:ext xmlns:c16="http://schemas.microsoft.com/office/drawing/2014/chart" uri="{C3380CC4-5D6E-409C-BE32-E72D297353CC}">
                  <c16:uniqueId val="{00000011-D2AB-47FC-B3C5-B0BC5AAF8577}"/>
                </c:ext>
              </c:extLst>
            </c:dLbl>
            <c:dLbl>
              <c:idx val="9"/>
              <c:delete val="1"/>
              <c:extLst>
                <c:ext xmlns:c15="http://schemas.microsoft.com/office/drawing/2012/chart" uri="{CE6537A1-D6FC-4f65-9D91-7224C49458BB}"/>
                <c:ext xmlns:c16="http://schemas.microsoft.com/office/drawing/2014/chart" uri="{C3380CC4-5D6E-409C-BE32-E72D297353CC}">
                  <c16:uniqueId val="{00000013-D2AB-47FC-B3C5-B0BC5AAF8577}"/>
                </c:ext>
              </c:extLst>
            </c:dLbl>
            <c:dLbl>
              <c:idx val="10"/>
              <c:delete val="1"/>
              <c:extLst>
                <c:ext xmlns:c15="http://schemas.microsoft.com/office/drawing/2012/chart" uri="{CE6537A1-D6FC-4f65-9D91-7224C49458BB}"/>
                <c:ext xmlns:c16="http://schemas.microsoft.com/office/drawing/2014/chart" uri="{C3380CC4-5D6E-409C-BE32-E72D297353CC}">
                  <c16:uniqueId val="{00000015-D2AB-47FC-B3C5-B0BC5AAF8577}"/>
                </c:ext>
              </c:extLst>
            </c:dLbl>
            <c:dLbl>
              <c:idx val="11"/>
              <c:delete val="1"/>
              <c:extLst>
                <c:ext xmlns:c15="http://schemas.microsoft.com/office/drawing/2012/chart" uri="{CE6537A1-D6FC-4f65-9D91-7224C49458BB}"/>
                <c:ext xmlns:c16="http://schemas.microsoft.com/office/drawing/2014/chart" uri="{C3380CC4-5D6E-409C-BE32-E72D297353CC}">
                  <c16:uniqueId val="{00000017-D2AB-47FC-B3C5-B0BC5AAF8577}"/>
                </c:ext>
              </c:extLst>
            </c:dLbl>
            <c:dLbl>
              <c:idx val="12"/>
              <c:delete val="1"/>
              <c:extLst>
                <c:ext xmlns:c15="http://schemas.microsoft.com/office/drawing/2012/chart" uri="{CE6537A1-D6FC-4f65-9D91-7224C49458BB}"/>
                <c:ext xmlns:c16="http://schemas.microsoft.com/office/drawing/2014/chart" uri="{C3380CC4-5D6E-409C-BE32-E72D297353CC}">
                  <c16:uniqueId val="{00000019-D2AB-47FC-B3C5-B0BC5AAF857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'Results (2)'!$A$2:$A$14</c:f>
              <c:strCache>
                <c:ptCount val="13"/>
                <c:pt idx="0">
                  <c:v>ITO glass</c:v>
                </c:pt>
                <c:pt idx="1">
                  <c:v>Ni</c:v>
                </c:pt>
                <c:pt idx="2">
                  <c:v>PbI₂</c:v>
                </c:pt>
                <c:pt idx="3">
                  <c:v>DMF</c:v>
                </c:pt>
                <c:pt idx="4">
                  <c:v>MAI</c:v>
                </c:pt>
                <c:pt idx="5">
                  <c:v>MACl</c:v>
                </c:pt>
                <c:pt idx="6">
                  <c:v>Ethanol</c:v>
                </c:pt>
                <c:pt idx="7">
                  <c:v>Nitrogen</c:v>
                </c:pt>
                <c:pt idx="8">
                  <c:v>PCBM</c:v>
                </c:pt>
                <c:pt idx="9">
                  <c:v>AZO</c:v>
                </c:pt>
                <c:pt idx="10">
                  <c:v>ITO</c:v>
                </c:pt>
                <c:pt idx="11">
                  <c:v>Ar</c:v>
                </c:pt>
                <c:pt idx="12">
                  <c:v>O₂</c:v>
                </c:pt>
              </c:strCache>
            </c:strRef>
          </c:cat>
          <c:val>
            <c:numRef>
              <c:f>'Results (2)'!$C$2:$C$14</c:f>
              <c:numCache>
                <c:formatCode>General</c:formatCode>
                <c:ptCount val="13"/>
                <c:pt idx="0">
                  <c:v>29.222870408888099</c:v>
                </c:pt>
                <c:pt idx="1">
                  <c:v>0.1232730025314816</c:v>
                </c:pt>
                <c:pt idx="2">
                  <c:v>4.472927890759943E-2</c:v>
                </c:pt>
                <c:pt idx="3">
                  <c:v>0.15136487547183283</c:v>
                </c:pt>
                <c:pt idx="4">
                  <c:v>0.86776101755973556</c:v>
                </c:pt>
                <c:pt idx="5">
                  <c:v>7.223991426678969E-4</c:v>
                </c:pt>
                <c:pt idx="6">
                  <c:v>0.17467875691966225</c:v>
                </c:pt>
                <c:pt idx="7">
                  <c:v>11.683460563708593</c:v>
                </c:pt>
                <c:pt idx="8">
                  <c:v>2.0963550633835544</c:v>
                </c:pt>
                <c:pt idx="9">
                  <c:v>4.6933677216494775E-3</c:v>
                </c:pt>
                <c:pt idx="10">
                  <c:v>0.662321153801261</c:v>
                </c:pt>
                <c:pt idx="11">
                  <c:v>14.844249782230303</c:v>
                </c:pt>
                <c:pt idx="12">
                  <c:v>8.0999662531850997E-3</c:v>
                </c:pt>
              </c:numCache>
            </c:numRef>
          </c:val>
          <c:extLst>
            <c:ext xmlns:c16="http://schemas.microsoft.com/office/drawing/2014/chart" uri="{C3380CC4-5D6E-409C-BE32-E72D297353CC}">
              <c16:uniqueId val="{0000001A-D2AB-47FC-B3C5-B0BC5AAF857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l"/>
      <c:layout>
        <c:manualLayout>
          <c:xMode val="edge"/>
          <c:yMode val="edge"/>
          <c:x val="0"/>
          <c:y val="1.0124307378244385E-2"/>
          <c:w val="0.38278598555720789"/>
          <c:h val="0.97975138524351102"/>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716230555736779"/>
          <c:y val="9.1237605715952158E-2"/>
          <c:w val="0.5624389915892446"/>
          <c:h val="0.8229111986001750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0C-42CC-8275-F41CF21B6D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0C-42CC-8275-F41CF21B6D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0C-42CC-8275-F41CF21B6D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0C-42CC-8275-F41CF21B6D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0C-42CC-8275-F41CF21B6D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0C-42CC-8275-F41CF21B6D3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80C-42CC-8275-F41CF21B6D3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80C-42CC-8275-F41CF21B6D3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015-4EC6-94E3-AC9978AB119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Results!$A$15:$A$23</c:f>
              <c:strCache>
                <c:ptCount val="9"/>
                <c:pt idx="0">
                  <c:v>UV/O₃ cleaning</c:v>
                </c:pt>
                <c:pt idx="1">
                  <c:v>HTL sputtering</c:v>
                </c:pt>
                <c:pt idx="2">
                  <c:v>Inert gas purging</c:v>
                </c:pt>
                <c:pt idx="3">
                  <c:v>PL 1st-step spin coating</c:v>
                </c:pt>
                <c:pt idx="4">
                  <c:v>PL 2nd-step spin coating</c:v>
                </c:pt>
                <c:pt idx="5">
                  <c:v>PL treatment</c:v>
                </c:pt>
                <c:pt idx="6">
                  <c:v>ETL 1st-step spin coating</c:v>
                </c:pt>
                <c:pt idx="7">
                  <c:v>ETL 2nd-step spin coating</c:v>
                </c:pt>
                <c:pt idx="8">
                  <c:v>Electrode sputtering</c:v>
                </c:pt>
              </c:strCache>
            </c:strRef>
          </c:cat>
          <c:val>
            <c:numRef>
              <c:f>Results!$C$15:$C$23</c:f>
              <c:numCache>
                <c:formatCode>General</c:formatCode>
                <c:ptCount val="9"/>
                <c:pt idx="0">
                  <c:v>0.57461372577289094</c:v>
                </c:pt>
                <c:pt idx="1">
                  <c:v>91.867957145325505</c:v>
                </c:pt>
                <c:pt idx="2">
                  <c:v>34.351907519031528</c:v>
                </c:pt>
                <c:pt idx="3">
                  <c:v>120.54309059218431</c:v>
                </c:pt>
                <c:pt idx="4">
                  <c:v>214.29882771943875</c:v>
                </c:pt>
                <c:pt idx="5">
                  <c:v>2.9979846562063877</c:v>
                </c:pt>
                <c:pt idx="6">
                  <c:v>4.3752677326052076</c:v>
                </c:pt>
                <c:pt idx="7">
                  <c:v>4.4645589108216415</c:v>
                </c:pt>
                <c:pt idx="8">
                  <c:v>136.10168979027861</c:v>
                </c:pt>
              </c:numCache>
            </c:numRef>
          </c:val>
          <c:extLst>
            <c:ext xmlns:c16="http://schemas.microsoft.com/office/drawing/2014/chart" uri="{C3380CC4-5D6E-409C-BE32-E72D297353CC}">
              <c16:uniqueId val="{00000014-A80C-42CC-8275-F41CF21B6D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0"/>
          <c:y val="0.10185185185185185"/>
          <c:w val="0.43623091569421918"/>
          <c:h val="0.7870370370370370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821768075925022"/>
          <c:y val="9.3174030329542135E-2"/>
          <c:w val="0.56111114860667721"/>
          <c:h val="0.81828156897054538"/>
        </c:manualLayout>
      </c:layout>
      <c:pieChart>
        <c:varyColors val="1"/>
        <c:ser>
          <c:idx val="0"/>
          <c:order val="0"/>
          <c:spPr>
            <a:ln w="6350"/>
          </c:spPr>
          <c:dPt>
            <c:idx val="0"/>
            <c:bubble3D val="0"/>
            <c:spPr>
              <a:solidFill>
                <a:schemeClr val="accent6"/>
              </a:solidFill>
              <a:ln w="6350">
                <a:solidFill>
                  <a:schemeClr val="lt1"/>
                </a:solidFill>
              </a:ln>
              <a:effectLst/>
            </c:spPr>
            <c:extLst>
              <c:ext xmlns:c16="http://schemas.microsoft.com/office/drawing/2014/chart" uri="{C3380CC4-5D6E-409C-BE32-E72D297353CC}">
                <c16:uniqueId val="{00000001-BC2A-4370-8909-09E30871680C}"/>
              </c:ext>
            </c:extLst>
          </c:dPt>
          <c:dPt>
            <c:idx val="1"/>
            <c:bubble3D val="0"/>
            <c:spPr>
              <a:solidFill>
                <a:schemeClr val="accent5"/>
              </a:solidFill>
              <a:ln w="6350">
                <a:solidFill>
                  <a:schemeClr val="lt1"/>
                </a:solidFill>
              </a:ln>
              <a:effectLst/>
            </c:spPr>
            <c:extLst>
              <c:ext xmlns:c16="http://schemas.microsoft.com/office/drawing/2014/chart" uri="{C3380CC4-5D6E-409C-BE32-E72D297353CC}">
                <c16:uniqueId val="{00000003-BC2A-4370-8909-09E30871680C}"/>
              </c:ext>
            </c:extLst>
          </c:dPt>
          <c:dPt>
            <c:idx val="2"/>
            <c:bubble3D val="0"/>
            <c:spPr>
              <a:solidFill>
                <a:schemeClr val="accent4"/>
              </a:solidFill>
              <a:ln w="6350">
                <a:solidFill>
                  <a:schemeClr val="lt1"/>
                </a:solidFill>
              </a:ln>
              <a:effectLst/>
            </c:spPr>
            <c:extLst>
              <c:ext xmlns:c16="http://schemas.microsoft.com/office/drawing/2014/chart" uri="{C3380CC4-5D6E-409C-BE32-E72D297353CC}">
                <c16:uniqueId val="{00000005-BC2A-4370-8909-09E30871680C}"/>
              </c:ext>
            </c:extLst>
          </c:dPt>
          <c:dPt>
            <c:idx val="3"/>
            <c:bubble3D val="0"/>
            <c:spPr>
              <a:solidFill>
                <a:schemeClr val="accent6">
                  <a:lumMod val="60000"/>
                </a:schemeClr>
              </a:solidFill>
              <a:ln w="6350">
                <a:solidFill>
                  <a:schemeClr val="lt1"/>
                </a:solidFill>
              </a:ln>
              <a:effectLst/>
            </c:spPr>
            <c:extLst>
              <c:ext xmlns:c16="http://schemas.microsoft.com/office/drawing/2014/chart" uri="{C3380CC4-5D6E-409C-BE32-E72D297353CC}">
                <c16:uniqueId val="{00000007-BC2A-4370-8909-09E30871680C}"/>
              </c:ext>
            </c:extLst>
          </c:dPt>
          <c:dPt>
            <c:idx val="4"/>
            <c:bubble3D val="0"/>
            <c:spPr>
              <a:solidFill>
                <a:schemeClr val="accent5">
                  <a:lumMod val="60000"/>
                </a:schemeClr>
              </a:solidFill>
              <a:ln w="6350">
                <a:solidFill>
                  <a:schemeClr val="lt1"/>
                </a:solidFill>
              </a:ln>
              <a:effectLst/>
            </c:spPr>
            <c:extLst>
              <c:ext xmlns:c16="http://schemas.microsoft.com/office/drawing/2014/chart" uri="{C3380CC4-5D6E-409C-BE32-E72D297353CC}">
                <c16:uniqueId val="{00000009-BC2A-4370-8909-09E30871680C}"/>
              </c:ext>
            </c:extLst>
          </c:dPt>
          <c:dPt>
            <c:idx val="5"/>
            <c:bubble3D val="0"/>
            <c:spPr>
              <a:solidFill>
                <a:schemeClr val="accent4">
                  <a:lumMod val="60000"/>
                </a:schemeClr>
              </a:solidFill>
              <a:ln w="6350">
                <a:solidFill>
                  <a:schemeClr val="lt1"/>
                </a:solidFill>
              </a:ln>
              <a:effectLst/>
            </c:spPr>
            <c:extLst>
              <c:ext xmlns:c16="http://schemas.microsoft.com/office/drawing/2014/chart" uri="{C3380CC4-5D6E-409C-BE32-E72D297353CC}">
                <c16:uniqueId val="{0000000B-BC2A-4370-8909-09E30871680C}"/>
              </c:ext>
            </c:extLst>
          </c:dPt>
          <c:dPt>
            <c:idx val="6"/>
            <c:bubble3D val="0"/>
            <c:spPr>
              <a:solidFill>
                <a:schemeClr val="accent6">
                  <a:lumMod val="80000"/>
                  <a:lumOff val="20000"/>
                </a:schemeClr>
              </a:solidFill>
              <a:ln w="6350">
                <a:solidFill>
                  <a:schemeClr val="lt1"/>
                </a:solidFill>
              </a:ln>
              <a:effectLst/>
            </c:spPr>
            <c:extLst>
              <c:ext xmlns:c16="http://schemas.microsoft.com/office/drawing/2014/chart" uri="{C3380CC4-5D6E-409C-BE32-E72D297353CC}">
                <c16:uniqueId val="{0000000D-BC2A-4370-8909-09E30871680C}"/>
              </c:ext>
            </c:extLst>
          </c:dPt>
          <c:dPt>
            <c:idx val="7"/>
            <c:bubble3D val="0"/>
            <c:spPr>
              <a:solidFill>
                <a:schemeClr val="accent5">
                  <a:lumMod val="80000"/>
                  <a:lumOff val="20000"/>
                </a:schemeClr>
              </a:solidFill>
              <a:ln w="6350">
                <a:solidFill>
                  <a:schemeClr val="lt1"/>
                </a:solidFill>
              </a:ln>
              <a:effectLst/>
            </c:spPr>
            <c:extLst>
              <c:ext xmlns:c16="http://schemas.microsoft.com/office/drawing/2014/chart" uri="{C3380CC4-5D6E-409C-BE32-E72D297353CC}">
                <c16:uniqueId val="{0000000F-BC2A-4370-8909-09E30871680C}"/>
              </c:ext>
            </c:extLst>
          </c:dPt>
          <c:dPt>
            <c:idx val="8"/>
            <c:bubble3D val="0"/>
            <c:spPr>
              <a:solidFill>
                <a:schemeClr val="accent4">
                  <a:lumMod val="80000"/>
                  <a:lumOff val="20000"/>
                </a:schemeClr>
              </a:solidFill>
              <a:ln w="6350">
                <a:solidFill>
                  <a:schemeClr val="lt1"/>
                </a:solidFill>
              </a:ln>
              <a:effectLst/>
            </c:spPr>
            <c:extLst>
              <c:ext xmlns:c16="http://schemas.microsoft.com/office/drawing/2014/chart" uri="{C3380CC4-5D6E-409C-BE32-E72D297353CC}">
                <c16:uniqueId val="{00000011-BC2A-4370-8909-09E30871680C}"/>
              </c:ext>
            </c:extLst>
          </c:dPt>
          <c:dPt>
            <c:idx val="9"/>
            <c:bubble3D val="0"/>
            <c:spPr>
              <a:solidFill>
                <a:schemeClr val="accent6">
                  <a:lumMod val="80000"/>
                </a:schemeClr>
              </a:solidFill>
              <a:ln w="6350">
                <a:solidFill>
                  <a:schemeClr val="lt1"/>
                </a:solidFill>
              </a:ln>
              <a:effectLst/>
            </c:spPr>
            <c:extLst>
              <c:ext xmlns:c16="http://schemas.microsoft.com/office/drawing/2014/chart" uri="{C3380CC4-5D6E-409C-BE32-E72D297353CC}">
                <c16:uniqueId val="{00000013-BC2A-4370-8909-09E30871680C}"/>
              </c:ext>
            </c:extLst>
          </c:dPt>
          <c:dPt>
            <c:idx val="10"/>
            <c:bubble3D val="0"/>
            <c:spPr>
              <a:solidFill>
                <a:schemeClr val="accent5">
                  <a:lumMod val="80000"/>
                </a:schemeClr>
              </a:solidFill>
              <a:ln w="6350">
                <a:solidFill>
                  <a:schemeClr val="lt1"/>
                </a:solidFill>
              </a:ln>
              <a:effectLst/>
            </c:spPr>
            <c:extLst>
              <c:ext xmlns:c16="http://schemas.microsoft.com/office/drawing/2014/chart" uri="{C3380CC4-5D6E-409C-BE32-E72D297353CC}">
                <c16:uniqueId val="{00000015-BC2A-4370-8909-09E30871680C}"/>
              </c:ext>
            </c:extLst>
          </c:dPt>
          <c:dPt>
            <c:idx val="11"/>
            <c:bubble3D val="0"/>
            <c:spPr>
              <a:solidFill>
                <a:schemeClr val="accent4">
                  <a:lumMod val="80000"/>
                </a:schemeClr>
              </a:solidFill>
              <a:ln w="6350">
                <a:solidFill>
                  <a:schemeClr val="lt1"/>
                </a:solidFill>
              </a:ln>
              <a:effectLst/>
            </c:spPr>
            <c:extLst>
              <c:ext xmlns:c16="http://schemas.microsoft.com/office/drawing/2014/chart" uri="{C3380CC4-5D6E-409C-BE32-E72D297353CC}">
                <c16:uniqueId val="{00000017-BC2A-4370-8909-09E30871680C}"/>
              </c:ext>
            </c:extLst>
          </c:dPt>
          <c:dPt>
            <c:idx val="12"/>
            <c:bubble3D val="0"/>
            <c:spPr>
              <a:solidFill>
                <a:schemeClr val="accent6">
                  <a:lumMod val="60000"/>
                  <a:lumOff val="40000"/>
                </a:schemeClr>
              </a:solidFill>
              <a:ln w="6350">
                <a:solidFill>
                  <a:schemeClr val="lt1"/>
                </a:solidFill>
              </a:ln>
              <a:effectLst/>
            </c:spPr>
            <c:extLst>
              <c:ext xmlns:c16="http://schemas.microsoft.com/office/drawing/2014/chart" uri="{C3380CC4-5D6E-409C-BE32-E72D297353CC}">
                <c16:uniqueId val="{00000019-A778-47FA-8476-F87306DBD4A4}"/>
              </c:ext>
            </c:extLst>
          </c:dPt>
          <c:dLbls>
            <c:dLbl>
              <c:idx val="1"/>
              <c:delete val="1"/>
              <c:extLst>
                <c:ext xmlns:c15="http://schemas.microsoft.com/office/drawing/2012/chart" uri="{CE6537A1-D6FC-4f65-9D91-7224C49458BB}"/>
                <c:ext xmlns:c16="http://schemas.microsoft.com/office/drawing/2014/chart" uri="{C3380CC4-5D6E-409C-BE32-E72D297353CC}">
                  <c16:uniqueId val="{00000003-BC2A-4370-8909-09E30871680C}"/>
                </c:ext>
              </c:extLst>
            </c:dLbl>
            <c:dLbl>
              <c:idx val="2"/>
              <c:delete val="1"/>
              <c:extLst>
                <c:ext xmlns:c15="http://schemas.microsoft.com/office/drawing/2012/chart" uri="{CE6537A1-D6FC-4f65-9D91-7224C49458BB}"/>
                <c:ext xmlns:c16="http://schemas.microsoft.com/office/drawing/2014/chart" uri="{C3380CC4-5D6E-409C-BE32-E72D297353CC}">
                  <c16:uniqueId val="{00000005-BC2A-4370-8909-09E30871680C}"/>
                </c:ext>
              </c:extLst>
            </c:dLbl>
            <c:dLbl>
              <c:idx val="3"/>
              <c:delete val="1"/>
              <c:extLst>
                <c:ext xmlns:c15="http://schemas.microsoft.com/office/drawing/2012/chart" uri="{CE6537A1-D6FC-4f65-9D91-7224C49458BB}"/>
                <c:ext xmlns:c16="http://schemas.microsoft.com/office/drawing/2014/chart" uri="{C3380CC4-5D6E-409C-BE32-E72D297353CC}">
                  <c16:uniqueId val="{00000007-BC2A-4370-8909-09E30871680C}"/>
                </c:ext>
              </c:extLst>
            </c:dLbl>
            <c:dLbl>
              <c:idx val="4"/>
              <c:delete val="1"/>
              <c:extLst>
                <c:ext xmlns:c15="http://schemas.microsoft.com/office/drawing/2012/chart" uri="{CE6537A1-D6FC-4f65-9D91-7224C49458BB}"/>
                <c:ext xmlns:c16="http://schemas.microsoft.com/office/drawing/2014/chart" uri="{C3380CC4-5D6E-409C-BE32-E72D297353CC}">
                  <c16:uniqueId val="{00000009-BC2A-4370-8909-09E30871680C}"/>
                </c:ext>
              </c:extLst>
            </c:dLbl>
            <c:dLbl>
              <c:idx val="5"/>
              <c:delete val="1"/>
              <c:extLst>
                <c:ext xmlns:c15="http://schemas.microsoft.com/office/drawing/2012/chart" uri="{CE6537A1-D6FC-4f65-9D91-7224C49458BB}"/>
                <c:ext xmlns:c16="http://schemas.microsoft.com/office/drawing/2014/chart" uri="{C3380CC4-5D6E-409C-BE32-E72D297353CC}">
                  <c16:uniqueId val="{0000000B-BC2A-4370-8909-09E30871680C}"/>
                </c:ext>
              </c:extLst>
            </c:dLbl>
            <c:dLbl>
              <c:idx val="6"/>
              <c:delete val="1"/>
              <c:extLst>
                <c:ext xmlns:c15="http://schemas.microsoft.com/office/drawing/2012/chart" uri="{CE6537A1-D6FC-4f65-9D91-7224C49458BB}"/>
                <c:ext xmlns:c16="http://schemas.microsoft.com/office/drawing/2014/chart" uri="{C3380CC4-5D6E-409C-BE32-E72D297353CC}">
                  <c16:uniqueId val="{0000000D-BC2A-4370-8909-09E30871680C}"/>
                </c:ext>
              </c:extLst>
            </c:dLbl>
            <c:dLbl>
              <c:idx val="8"/>
              <c:delete val="1"/>
              <c:extLst>
                <c:ext xmlns:c15="http://schemas.microsoft.com/office/drawing/2012/chart" uri="{CE6537A1-D6FC-4f65-9D91-7224C49458BB}"/>
                <c:ext xmlns:c16="http://schemas.microsoft.com/office/drawing/2014/chart" uri="{C3380CC4-5D6E-409C-BE32-E72D297353CC}">
                  <c16:uniqueId val="{00000011-BC2A-4370-8909-09E30871680C}"/>
                </c:ext>
              </c:extLst>
            </c:dLbl>
            <c:dLbl>
              <c:idx val="9"/>
              <c:delete val="1"/>
              <c:extLst>
                <c:ext xmlns:c15="http://schemas.microsoft.com/office/drawing/2012/chart" uri="{CE6537A1-D6FC-4f65-9D91-7224C49458BB}"/>
                <c:ext xmlns:c16="http://schemas.microsoft.com/office/drawing/2014/chart" uri="{C3380CC4-5D6E-409C-BE32-E72D297353CC}">
                  <c16:uniqueId val="{00000013-BC2A-4370-8909-09E30871680C}"/>
                </c:ext>
              </c:extLst>
            </c:dLbl>
            <c:dLbl>
              <c:idx val="10"/>
              <c:delete val="1"/>
              <c:extLst>
                <c:ext xmlns:c15="http://schemas.microsoft.com/office/drawing/2012/chart" uri="{CE6537A1-D6FC-4f65-9D91-7224C49458BB}"/>
                <c:ext xmlns:c16="http://schemas.microsoft.com/office/drawing/2014/chart" uri="{C3380CC4-5D6E-409C-BE32-E72D297353CC}">
                  <c16:uniqueId val="{00000015-BC2A-4370-8909-09E30871680C}"/>
                </c:ext>
              </c:extLst>
            </c:dLbl>
            <c:dLbl>
              <c:idx val="11"/>
              <c:delete val="1"/>
              <c:extLst>
                <c:ext xmlns:c15="http://schemas.microsoft.com/office/drawing/2012/chart" uri="{CE6537A1-D6FC-4f65-9D91-7224C49458BB}"/>
                <c:ext xmlns:c16="http://schemas.microsoft.com/office/drawing/2014/chart" uri="{C3380CC4-5D6E-409C-BE32-E72D297353CC}">
                  <c16:uniqueId val="{00000017-BC2A-4370-8909-09E30871680C}"/>
                </c:ext>
              </c:extLst>
            </c:dLbl>
            <c:dLbl>
              <c:idx val="12"/>
              <c:delete val="1"/>
              <c:extLst>
                <c:ext xmlns:c15="http://schemas.microsoft.com/office/drawing/2012/chart" uri="{CE6537A1-D6FC-4f65-9D91-7224C49458BB}"/>
                <c:ext xmlns:c16="http://schemas.microsoft.com/office/drawing/2014/chart" uri="{C3380CC4-5D6E-409C-BE32-E72D297353CC}">
                  <c16:uniqueId val="{00000019-A778-47FA-8476-F87306DBD4A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Results!$A$2:$A$14</c:f>
              <c:strCache>
                <c:ptCount val="13"/>
                <c:pt idx="0">
                  <c:v>ITO glass</c:v>
                </c:pt>
                <c:pt idx="1">
                  <c:v>Ni</c:v>
                </c:pt>
                <c:pt idx="2">
                  <c:v>PbI₂</c:v>
                </c:pt>
                <c:pt idx="3">
                  <c:v>DMF</c:v>
                </c:pt>
                <c:pt idx="4">
                  <c:v>MAI</c:v>
                </c:pt>
                <c:pt idx="5">
                  <c:v>MACl</c:v>
                </c:pt>
                <c:pt idx="6">
                  <c:v>Ethanol</c:v>
                </c:pt>
                <c:pt idx="7">
                  <c:v>Nitrogen</c:v>
                </c:pt>
                <c:pt idx="8">
                  <c:v>PCBM</c:v>
                </c:pt>
                <c:pt idx="9">
                  <c:v>AZO</c:v>
                </c:pt>
                <c:pt idx="10">
                  <c:v>ITO</c:v>
                </c:pt>
                <c:pt idx="11">
                  <c:v>Ar</c:v>
                </c:pt>
                <c:pt idx="12">
                  <c:v>O₂</c:v>
                </c:pt>
              </c:strCache>
            </c:strRef>
          </c:cat>
          <c:val>
            <c:numRef>
              <c:f>Results!$C$2:$C$14</c:f>
              <c:numCache>
                <c:formatCode>General</c:formatCode>
                <c:ptCount val="13"/>
                <c:pt idx="0">
                  <c:v>292.22870408888105</c:v>
                </c:pt>
                <c:pt idx="1">
                  <c:v>0.1232730025314816</c:v>
                </c:pt>
                <c:pt idx="2">
                  <c:v>4.472927890759943E-2</c:v>
                </c:pt>
                <c:pt idx="3">
                  <c:v>0.15136487547183283</c:v>
                </c:pt>
                <c:pt idx="4">
                  <c:v>0.86776101755973556</c:v>
                </c:pt>
                <c:pt idx="5">
                  <c:v>7.223991426678969E-4</c:v>
                </c:pt>
                <c:pt idx="6">
                  <c:v>0.17467875691966225</c:v>
                </c:pt>
                <c:pt idx="7">
                  <c:v>11.683460563708593</c:v>
                </c:pt>
                <c:pt idx="8">
                  <c:v>2.0963550633835544</c:v>
                </c:pt>
                <c:pt idx="9">
                  <c:v>4.6933677216494775E-3</c:v>
                </c:pt>
                <c:pt idx="10">
                  <c:v>1.2042202796386563</c:v>
                </c:pt>
                <c:pt idx="11">
                  <c:v>14.844249782230303</c:v>
                </c:pt>
                <c:pt idx="12">
                  <c:v>8.0999662531850997E-3</c:v>
                </c:pt>
              </c:numCache>
            </c:numRef>
          </c:val>
          <c:extLst>
            <c:ext xmlns:c16="http://schemas.microsoft.com/office/drawing/2014/chart" uri="{C3380CC4-5D6E-409C-BE32-E72D297353CC}">
              <c16:uniqueId val="{00000028-BC2A-4370-8909-09E30871680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l"/>
      <c:layout>
        <c:manualLayout>
          <c:xMode val="edge"/>
          <c:yMode val="edge"/>
          <c:x val="0"/>
          <c:y val="1.0124307378244385E-2"/>
          <c:w val="0.38278598555720789"/>
          <c:h val="0.97975138524351102"/>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261592300962371E-3"/>
          <c:y val="8.0593467483231263E-2"/>
          <c:w val="0.56755584749318622"/>
          <c:h val="0.82492417614464864"/>
        </c:manualLayout>
      </c:layout>
      <c:doughnutChart>
        <c:varyColors val="1"/>
        <c:ser>
          <c:idx val="0"/>
          <c:order val="0"/>
          <c:spPr>
            <a:ln w="6350"/>
          </c:spPr>
          <c:dPt>
            <c:idx val="0"/>
            <c:bubble3D val="0"/>
            <c:spPr>
              <a:solidFill>
                <a:schemeClr val="accent1"/>
              </a:solidFill>
              <a:ln w="6350">
                <a:solidFill>
                  <a:schemeClr val="lt1"/>
                </a:solidFill>
              </a:ln>
              <a:effectLst/>
            </c:spPr>
            <c:extLst>
              <c:ext xmlns:c16="http://schemas.microsoft.com/office/drawing/2014/chart" uri="{C3380CC4-5D6E-409C-BE32-E72D297353CC}">
                <c16:uniqueId val="{00000001-3883-4D07-BF21-AB00EA731A7E}"/>
              </c:ext>
            </c:extLst>
          </c:dPt>
          <c:dPt>
            <c:idx val="1"/>
            <c:bubble3D val="0"/>
            <c:spPr>
              <a:solidFill>
                <a:schemeClr val="accent2"/>
              </a:solidFill>
              <a:ln w="6350">
                <a:solidFill>
                  <a:schemeClr val="lt1"/>
                </a:solidFill>
              </a:ln>
              <a:effectLst/>
            </c:spPr>
            <c:extLst>
              <c:ext xmlns:c16="http://schemas.microsoft.com/office/drawing/2014/chart" uri="{C3380CC4-5D6E-409C-BE32-E72D297353CC}">
                <c16:uniqueId val="{00000003-3883-4D07-BF21-AB00EA731A7E}"/>
              </c:ext>
            </c:extLst>
          </c:dPt>
          <c:dPt>
            <c:idx val="2"/>
            <c:bubble3D val="0"/>
            <c:spPr>
              <a:solidFill>
                <a:schemeClr val="accent3"/>
              </a:solidFill>
              <a:ln w="6350">
                <a:solidFill>
                  <a:schemeClr val="lt1"/>
                </a:solidFill>
              </a:ln>
              <a:effectLst/>
            </c:spPr>
            <c:extLst>
              <c:ext xmlns:c16="http://schemas.microsoft.com/office/drawing/2014/chart" uri="{C3380CC4-5D6E-409C-BE32-E72D297353CC}">
                <c16:uniqueId val="{00000005-3883-4D07-BF21-AB00EA731A7E}"/>
              </c:ext>
            </c:extLst>
          </c:dPt>
          <c:dPt>
            <c:idx val="3"/>
            <c:bubble3D val="0"/>
            <c:spPr>
              <a:solidFill>
                <a:schemeClr val="accent4"/>
              </a:solidFill>
              <a:ln w="6350">
                <a:solidFill>
                  <a:schemeClr val="lt1"/>
                </a:solidFill>
              </a:ln>
              <a:effectLst/>
            </c:spPr>
            <c:extLst>
              <c:ext xmlns:c16="http://schemas.microsoft.com/office/drawing/2014/chart" uri="{C3380CC4-5D6E-409C-BE32-E72D297353CC}">
                <c16:uniqueId val="{00000007-3883-4D07-BF21-AB00EA731A7E}"/>
              </c:ext>
            </c:extLst>
          </c:dPt>
          <c:dPt>
            <c:idx val="4"/>
            <c:bubble3D val="0"/>
            <c:spPr>
              <a:solidFill>
                <a:schemeClr val="accent5"/>
              </a:solidFill>
              <a:ln w="6350">
                <a:solidFill>
                  <a:schemeClr val="lt1"/>
                </a:solidFill>
              </a:ln>
              <a:effectLst/>
            </c:spPr>
            <c:extLst>
              <c:ext xmlns:c16="http://schemas.microsoft.com/office/drawing/2014/chart" uri="{C3380CC4-5D6E-409C-BE32-E72D297353CC}">
                <c16:uniqueId val="{00000009-3883-4D07-BF21-AB00EA731A7E}"/>
              </c:ext>
            </c:extLst>
          </c:dPt>
          <c:dPt>
            <c:idx val="5"/>
            <c:bubble3D val="0"/>
            <c:spPr>
              <a:solidFill>
                <a:schemeClr val="accent6"/>
              </a:solidFill>
              <a:ln w="6350">
                <a:solidFill>
                  <a:schemeClr val="lt1"/>
                </a:solidFill>
              </a:ln>
              <a:effectLst/>
            </c:spPr>
            <c:extLst>
              <c:ext xmlns:c16="http://schemas.microsoft.com/office/drawing/2014/chart" uri="{C3380CC4-5D6E-409C-BE32-E72D297353CC}">
                <c16:uniqueId val="{0000000B-3883-4D07-BF21-AB00EA731A7E}"/>
              </c:ext>
            </c:extLst>
          </c:dPt>
          <c:dPt>
            <c:idx val="6"/>
            <c:bubble3D val="0"/>
            <c:spPr>
              <a:solidFill>
                <a:schemeClr val="accent1">
                  <a:lumMod val="60000"/>
                </a:schemeClr>
              </a:solidFill>
              <a:ln w="6350">
                <a:solidFill>
                  <a:schemeClr val="lt1"/>
                </a:solidFill>
              </a:ln>
              <a:effectLst/>
            </c:spPr>
            <c:extLst>
              <c:ext xmlns:c16="http://schemas.microsoft.com/office/drawing/2014/chart" uri="{C3380CC4-5D6E-409C-BE32-E72D297353CC}">
                <c16:uniqueId val="{0000000D-3883-4D07-BF21-AB00EA731A7E}"/>
              </c:ext>
            </c:extLst>
          </c:dPt>
          <c:dPt>
            <c:idx val="7"/>
            <c:bubble3D val="0"/>
            <c:spPr>
              <a:solidFill>
                <a:schemeClr val="accent2">
                  <a:lumMod val="60000"/>
                </a:schemeClr>
              </a:solidFill>
              <a:ln w="6350">
                <a:solidFill>
                  <a:schemeClr val="lt1"/>
                </a:solidFill>
              </a:ln>
              <a:effectLst/>
            </c:spPr>
            <c:extLst>
              <c:ext xmlns:c16="http://schemas.microsoft.com/office/drawing/2014/chart" uri="{C3380CC4-5D6E-409C-BE32-E72D297353CC}">
                <c16:uniqueId val="{0000000F-3883-4D07-BF21-AB00EA731A7E}"/>
              </c:ext>
            </c:extLst>
          </c:dPt>
          <c:dLbls>
            <c:dLbl>
              <c:idx val="4"/>
              <c:delete val="1"/>
              <c:extLst>
                <c:ext xmlns:c15="http://schemas.microsoft.com/office/drawing/2012/chart" uri="{CE6537A1-D6FC-4f65-9D91-7224C49458BB}"/>
                <c:ext xmlns:c16="http://schemas.microsoft.com/office/drawing/2014/chart" uri="{C3380CC4-5D6E-409C-BE32-E72D297353CC}">
                  <c16:uniqueId val="{00000009-3883-4D07-BF21-AB00EA731A7E}"/>
                </c:ext>
              </c:extLst>
            </c:dLbl>
            <c:dLbl>
              <c:idx val="5"/>
              <c:delete val="1"/>
              <c:extLst>
                <c:ext xmlns:c15="http://schemas.microsoft.com/office/drawing/2012/chart" uri="{CE6537A1-D6FC-4f65-9D91-7224C49458BB}"/>
                <c:ext xmlns:c16="http://schemas.microsoft.com/office/drawing/2014/chart" uri="{C3380CC4-5D6E-409C-BE32-E72D297353CC}">
                  <c16:uniqueId val="{0000000B-3883-4D07-BF21-AB00EA731A7E}"/>
                </c:ext>
              </c:extLst>
            </c:dLbl>
            <c:dLbl>
              <c:idx val="6"/>
              <c:delete val="1"/>
              <c:extLst>
                <c:ext xmlns:c15="http://schemas.microsoft.com/office/drawing/2012/chart" uri="{CE6537A1-D6FC-4f65-9D91-7224C49458BB}"/>
                <c:ext xmlns:c16="http://schemas.microsoft.com/office/drawing/2014/chart" uri="{C3380CC4-5D6E-409C-BE32-E72D297353CC}">
                  <c16:uniqueId val="{0000000D-3883-4D07-BF21-AB00EA731A7E}"/>
                </c:ext>
              </c:extLst>
            </c:dLbl>
            <c:dLbl>
              <c:idx val="7"/>
              <c:delete val="1"/>
              <c:extLst>
                <c:ext xmlns:c15="http://schemas.microsoft.com/office/drawing/2012/chart" uri="{CE6537A1-D6FC-4f65-9D91-7224C49458BB}"/>
                <c:ext xmlns:c16="http://schemas.microsoft.com/office/drawing/2014/chart" uri="{C3380CC4-5D6E-409C-BE32-E72D297353CC}">
                  <c16:uniqueId val="{0000000F-3883-4D07-BF21-AB00EA731A7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Recycling!$A$19:$A$26</c:f>
              <c:strCache>
                <c:ptCount val="8"/>
                <c:pt idx="0">
                  <c:v>UV/O₃ cleaning</c:v>
                </c:pt>
                <c:pt idx="1">
                  <c:v>HTL sputtering</c:v>
                </c:pt>
                <c:pt idx="2">
                  <c:v>PL 1st-step spin coating</c:v>
                </c:pt>
                <c:pt idx="3">
                  <c:v>PL 2nd-step spin coating</c:v>
                </c:pt>
                <c:pt idx="4">
                  <c:v>PL treatment</c:v>
                </c:pt>
                <c:pt idx="5">
                  <c:v>ETL 1st-step spin coating</c:v>
                </c:pt>
                <c:pt idx="6">
                  <c:v>ETL 2nd-step spin coating</c:v>
                </c:pt>
                <c:pt idx="7">
                  <c:v>Electrode sputtering</c:v>
                </c:pt>
              </c:strCache>
            </c:strRef>
          </c:cat>
          <c:val>
            <c:numRef>
              <c:f>Recycling!$C$19:$C$26</c:f>
              <c:numCache>
                <c:formatCode>General</c:formatCode>
                <c:ptCount val="8"/>
                <c:pt idx="0">
                  <c:v>0.57461372577289094</c:v>
                </c:pt>
                <c:pt idx="1">
                  <c:v>0</c:v>
                </c:pt>
                <c:pt idx="2">
                  <c:v>120.54309059218431</c:v>
                </c:pt>
                <c:pt idx="3">
                  <c:v>214.29882771943875</c:v>
                </c:pt>
                <c:pt idx="4">
                  <c:v>2.9979846562063877</c:v>
                </c:pt>
                <c:pt idx="5">
                  <c:v>4.3752677326052076</c:v>
                </c:pt>
                <c:pt idx="6">
                  <c:v>4.4645589108216415</c:v>
                </c:pt>
                <c:pt idx="7">
                  <c:v>136.10168979027861</c:v>
                </c:pt>
              </c:numCache>
            </c:numRef>
          </c:val>
          <c:extLst>
            <c:ext xmlns:c16="http://schemas.microsoft.com/office/drawing/2014/chart" uri="{C3380CC4-5D6E-409C-BE32-E72D297353CC}">
              <c16:uniqueId val="{00000014-3883-4D07-BF21-AB00EA731A7E}"/>
            </c:ext>
          </c:extLst>
        </c:ser>
        <c:dLbls>
          <c:showLegendKey val="0"/>
          <c:showVal val="1"/>
          <c:showCatName val="0"/>
          <c:showSerName val="0"/>
          <c:showPercent val="0"/>
          <c:showBubbleSize val="0"/>
          <c:showLeaderLines val="1"/>
        </c:dLbls>
        <c:firstSliceAng val="0"/>
        <c:holeSize val="64"/>
      </c:doughnutChart>
      <c:spPr>
        <a:noFill/>
        <a:ln>
          <a:noFill/>
        </a:ln>
        <a:effectLst/>
      </c:spPr>
    </c:plotArea>
    <c:legend>
      <c:legendPos val="r"/>
      <c:layout>
        <c:manualLayout>
          <c:xMode val="edge"/>
          <c:yMode val="edge"/>
          <c:x val="0.56272733953274434"/>
          <c:y val="8.3333333333333329E-2"/>
          <c:w val="0.43727266046725571"/>
          <c:h val="0.83333333333333337"/>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485759638519017E-3"/>
          <c:y val="8.0593467483231263E-2"/>
          <c:w val="0.57392630781913812"/>
          <c:h val="0.83418343540390782"/>
        </c:manualLayout>
      </c:layout>
      <c:doughnutChart>
        <c:varyColors val="1"/>
        <c:ser>
          <c:idx val="0"/>
          <c:order val="0"/>
          <c:spPr>
            <a:ln w="6350"/>
          </c:spPr>
          <c:dPt>
            <c:idx val="0"/>
            <c:bubble3D val="0"/>
            <c:spPr>
              <a:solidFill>
                <a:schemeClr val="accent6"/>
              </a:solidFill>
              <a:ln w="6350">
                <a:solidFill>
                  <a:schemeClr val="lt1"/>
                </a:solidFill>
              </a:ln>
              <a:effectLst/>
            </c:spPr>
            <c:extLst>
              <c:ext xmlns:c16="http://schemas.microsoft.com/office/drawing/2014/chart" uri="{C3380CC4-5D6E-409C-BE32-E72D297353CC}">
                <c16:uniqueId val="{00000001-C632-4B34-A8E3-468812FD8054}"/>
              </c:ext>
            </c:extLst>
          </c:dPt>
          <c:dPt>
            <c:idx val="1"/>
            <c:bubble3D val="0"/>
            <c:spPr>
              <a:solidFill>
                <a:schemeClr val="accent5"/>
              </a:solidFill>
              <a:ln w="6350">
                <a:solidFill>
                  <a:schemeClr val="lt1"/>
                </a:solidFill>
              </a:ln>
              <a:effectLst/>
            </c:spPr>
            <c:extLst>
              <c:ext xmlns:c16="http://schemas.microsoft.com/office/drawing/2014/chart" uri="{C3380CC4-5D6E-409C-BE32-E72D297353CC}">
                <c16:uniqueId val="{00000003-C632-4B34-A8E3-468812FD8054}"/>
              </c:ext>
            </c:extLst>
          </c:dPt>
          <c:dPt>
            <c:idx val="2"/>
            <c:bubble3D val="0"/>
            <c:spPr>
              <a:solidFill>
                <a:schemeClr val="accent4"/>
              </a:solidFill>
              <a:ln w="6350">
                <a:solidFill>
                  <a:schemeClr val="lt1"/>
                </a:solidFill>
              </a:ln>
              <a:effectLst/>
            </c:spPr>
            <c:extLst>
              <c:ext xmlns:c16="http://schemas.microsoft.com/office/drawing/2014/chart" uri="{C3380CC4-5D6E-409C-BE32-E72D297353CC}">
                <c16:uniqueId val="{00000005-C632-4B34-A8E3-468812FD8054}"/>
              </c:ext>
            </c:extLst>
          </c:dPt>
          <c:dPt>
            <c:idx val="3"/>
            <c:bubble3D val="0"/>
            <c:spPr>
              <a:solidFill>
                <a:schemeClr val="accent6">
                  <a:lumMod val="60000"/>
                </a:schemeClr>
              </a:solidFill>
              <a:ln w="6350">
                <a:solidFill>
                  <a:schemeClr val="lt1"/>
                </a:solidFill>
              </a:ln>
              <a:effectLst/>
            </c:spPr>
            <c:extLst>
              <c:ext xmlns:c16="http://schemas.microsoft.com/office/drawing/2014/chart" uri="{C3380CC4-5D6E-409C-BE32-E72D297353CC}">
                <c16:uniqueId val="{00000007-C632-4B34-A8E3-468812FD8054}"/>
              </c:ext>
            </c:extLst>
          </c:dPt>
          <c:dPt>
            <c:idx val="4"/>
            <c:bubble3D val="0"/>
            <c:spPr>
              <a:solidFill>
                <a:schemeClr val="accent5">
                  <a:lumMod val="60000"/>
                </a:schemeClr>
              </a:solidFill>
              <a:ln w="6350">
                <a:solidFill>
                  <a:schemeClr val="lt1"/>
                </a:solidFill>
              </a:ln>
              <a:effectLst/>
            </c:spPr>
            <c:extLst>
              <c:ext xmlns:c16="http://schemas.microsoft.com/office/drawing/2014/chart" uri="{C3380CC4-5D6E-409C-BE32-E72D297353CC}">
                <c16:uniqueId val="{00000009-C632-4B34-A8E3-468812FD8054}"/>
              </c:ext>
            </c:extLst>
          </c:dPt>
          <c:dPt>
            <c:idx val="5"/>
            <c:bubble3D val="0"/>
            <c:spPr>
              <a:solidFill>
                <a:schemeClr val="accent4">
                  <a:lumMod val="60000"/>
                </a:schemeClr>
              </a:solidFill>
              <a:ln w="6350">
                <a:solidFill>
                  <a:schemeClr val="lt1"/>
                </a:solidFill>
              </a:ln>
              <a:effectLst/>
            </c:spPr>
            <c:extLst>
              <c:ext xmlns:c16="http://schemas.microsoft.com/office/drawing/2014/chart" uri="{C3380CC4-5D6E-409C-BE32-E72D297353CC}">
                <c16:uniqueId val="{0000000B-C632-4B34-A8E3-468812FD8054}"/>
              </c:ext>
            </c:extLst>
          </c:dPt>
          <c:dPt>
            <c:idx val="6"/>
            <c:bubble3D val="0"/>
            <c:spPr>
              <a:solidFill>
                <a:schemeClr val="accent6">
                  <a:lumMod val="80000"/>
                  <a:lumOff val="20000"/>
                </a:schemeClr>
              </a:solidFill>
              <a:ln w="6350">
                <a:solidFill>
                  <a:schemeClr val="lt1"/>
                </a:solidFill>
              </a:ln>
              <a:effectLst/>
            </c:spPr>
            <c:extLst>
              <c:ext xmlns:c16="http://schemas.microsoft.com/office/drawing/2014/chart" uri="{C3380CC4-5D6E-409C-BE32-E72D297353CC}">
                <c16:uniqueId val="{0000000D-C632-4B34-A8E3-468812FD8054}"/>
              </c:ext>
            </c:extLst>
          </c:dPt>
          <c:dPt>
            <c:idx val="7"/>
            <c:bubble3D val="0"/>
            <c:spPr>
              <a:solidFill>
                <a:schemeClr val="accent5">
                  <a:lumMod val="80000"/>
                  <a:lumOff val="20000"/>
                </a:schemeClr>
              </a:solidFill>
              <a:ln w="6350">
                <a:solidFill>
                  <a:schemeClr val="lt1"/>
                </a:solidFill>
              </a:ln>
              <a:effectLst/>
            </c:spPr>
            <c:extLst>
              <c:ext xmlns:c16="http://schemas.microsoft.com/office/drawing/2014/chart" uri="{C3380CC4-5D6E-409C-BE32-E72D297353CC}">
                <c16:uniqueId val="{0000000F-C632-4B34-A8E3-468812FD8054}"/>
              </c:ext>
            </c:extLst>
          </c:dPt>
          <c:dPt>
            <c:idx val="8"/>
            <c:bubble3D val="0"/>
            <c:spPr>
              <a:solidFill>
                <a:schemeClr val="accent4">
                  <a:lumMod val="80000"/>
                  <a:lumOff val="20000"/>
                </a:schemeClr>
              </a:solidFill>
              <a:ln w="6350">
                <a:solidFill>
                  <a:schemeClr val="lt1"/>
                </a:solidFill>
              </a:ln>
              <a:effectLst/>
            </c:spPr>
            <c:extLst>
              <c:ext xmlns:c16="http://schemas.microsoft.com/office/drawing/2014/chart" uri="{C3380CC4-5D6E-409C-BE32-E72D297353CC}">
                <c16:uniqueId val="{00000011-C632-4B34-A8E3-468812FD8054}"/>
              </c:ext>
            </c:extLst>
          </c:dPt>
          <c:dPt>
            <c:idx val="9"/>
            <c:bubble3D val="0"/>
            <c:spPr>
              <a:solidFill>
                <a:schemeClr val="accent6">
                  <a:lumMod val="80000"/>
                </a:schemeClr>
              </a:solidFill>
              <a:ln w="6350">
                <a:solidFill>
                  <a:schemeClr val="lt1"/>
                </a:solidFill>
              </a:ln>
              <a:effectLst/>
            </c:spPr>
            <c:extLst>
              <c:ext xmlns:c16="http://schemas.microsoft.com/office/drawing/2014/chart" uri="{C3380CC4-5D6E-409C-BE32-E72D297353CC}">
                <c16:uniqueId val="{00000013-C632-4B34-A8E3-468812FD8054}"/>
              </c:ext>
            </c:extLst>
          </c:dPt>
          <c:dPt>
            <c:idx val="10"/>
            <c:bubble3D val="0"/>
            <c:spPr>
              <a:solidFill>
                <a:schemeClr val="accent5">
                  <a:lumMod val="80000"/>
                </a:schemeClr>
              </a:solidFill>
              <a:ln w="6350">
                <a:solidFill>
                  <a:schemeClr val="lt1"/>
                </a:solidFill>
              </a:ln>
              <a:effectLst/>
            </c:spPr>
            <c:extLst>
              <c:ext xmlns:c16="http://schemas.microsoft.com/office/drawing/2014/chart" uri="{C3380CC4-5D6E-409C-BE32-E72D297353CC}">
                <c16:uniqueId val="{00000015-C632-4B34-A8E3-468812FD8054}"/>
              </c:ext>
            </c:extLst>
          </c:dPt>
          <c:dPt>
            <c:idx val="11"/>
            <c:bubble3D val="0"/>
            <c:spPr>
              <a:solidFill>
                <a:schemeClr val="accent4">
                  <a:lumMod val="80000"/>
                </a:schemeClr>
              </a:solidFill>
              <a:ln w="6350">
                <a:solidFill>
                  <a:schemeClr val="lt1"/>
                </a:solidFill>
              </a:ln>
              <a:effectLst/>
            </c:spPr>
            <c:extLst>
              <c:ext xmlns:c16="http://schemas.microsoft.com/office/drawing/2014/chart" uri="{C3380CC4-5D6E-409C-BE32-E72D297353CC}">
                <c16:uniqueId val="{00000017-C632-4B34-A8E3-468812FD8054}"/>
              </c:ext>
            </c:extLst>
          </c:dPt>
          <c:dLbls>
            <c:dLbl>
              <c:idx val="1"/>
              <c:delete val="1"/>
              <c:extLst>
                <c:ext xmlns:c15="http://schemas.microsoft.com/office/drawing/2012/chart" uri="{CE6537A1-D6FC-4f65-9D91-7224C49458BB}"/>
                <c:ext xmlns:c16="http://schemas.microsoft.com/office/drawing/2014/chart" uri="{C3380CC4-5D6E-409C-BE32-E72D297353CC}">
                  <c16:uniqueId val="{00000003-C632-4B34-A8E3-468812FD8054}"/>
                </c:ext>
              </c:extLst>
            </c:dLbl>
            <c:dLbl>
              <c:idx val="2"/>
              <c:delete val="1"/>
              <c:extLst>
                <c:ext xmlns:c15="http://schemas.microsoft.com/office/drawing/2012/chart" uri="{CE6537A1-D6FC-4f65-9D91-7224C49458BB}"/>
                <c:ext xmlns:c16="http://schemas.microsoft.com/office/drawing/2014/chart" uri="{C3380CC4-5D6E-409C-BE32-E72D297353CC}">
                  <c16:uniqueId val="{00000005-C632-4B34-A8E3-468812FD8054}"/>
                </c:ext>
              </c:extLst>
            </c:dLbl>
            <c:dLbl>
              <c:idx val="3"/>
              <c:delete val="1"/>
              <c:extLst>
                <c:ext xmlns:c15="http://schemas.microsoft.com/office/drawing/2012/chart" uri="{CE6537A1-D6FC-4f65-9D91-7224C49458BB}"/>
                <c:ext xmlns:c16="http://schemas.microsoft.com/office/drawing/2014/chart" uri="{C3380CC4-5D6E-409C-BE32-E72D297353CC}">
                  <c16:uniqueId val="{00000007-C632-4B34-A8E3-468812FD8054}"/>
                </c:ext>
              </c:extLst>
            </c:dLbl>
            <c:dLbl>
              <c:idx val="4"/>
              <c:delete val="1"/>
              <c:extLst>
                <c:ext xmlns:c15="http://schemas.microsoft.com/office/drawing/2012/chart" uri="{CE6537A1-D6FC-4f65-9D91-7224C49458BB}"/>
                <c:ext xmlns:c16="http://schemas.microsoft.com/office/drawing/2014/chart" uri="{C3380CC4-5D6E-409C-BE32-E72D297353CC}">
                  <c16:uniqueId val="{00000009-C632-4B34-A8E3-468812FD8054}"/>
                </c:ext>
              </c:extLst>
            </c:dLbl>
            <c:dLbl>
              <c:idx val="5"/>
              <c:delete val="1"/>
              <c:extLst>
                <c:ext xmlns:c15="http://schemas.microsoft.com/office/drawing/2012/chart" uri="{CE6537A1-D6FC-4f65-9D91-7224C49458BB}"/>
                <c:ext xmlns:c16="http://schemas.microsoft.com/office/drawing/2014/chart" uri="{C3380CC4-5D6E-409C-BE32-E72D297353CC}">
                  <c16:uniqueId val="{0000000B-C632-4B34-A8E3-468812FD8054}"/>
                </c:ext>
              </c:extLst>
            </c:dLbl>
            <c:dLbl>
              <c:idx val="6"/>
              <c:delete val="1"/>
              <c:extLst>
                <c:ext xmlns:c15="http://schemas.microsoft.com/office/drawing/2012/chart" uri="{CE6537A1-D6FC-4f65-9D91-7224C49458BB}"/>
                <c:ext xmlns:c16="http://schemas.microsoft.com/office/drawing/2014/chart" uri="{C3380CC4-5D6E-409C-BE32-E72D297353CC}">
                  <c16:uniqueId val="{0000000D-C632-4B34-A8E3-468812FD8054}"/>
                </c:ext>
              </c:extLst>
            </c:dLbl>
            <c:dLbl>
              <c:idx val="7"/>
              <c:layout>
                <c:manualLayout>
                  <c:x val="1.2740920651903753E-2"/>
                  <c:y val="-0.11111111111111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632-4B34-A8E3-468812FD8054}"/>
                </c:ext>
              </c:extLst>
            </c:dLbl>
            <c:dLbl>
              <c:idx val="8"/>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632-4B34-A8E3-468812FD8054}"/>
                </c:ext>
              </c:extLst>
            </c:dLbl>
            <c:dLbl>
              <c:idx val="9"/>
              <c:delete val="1"/>
              <c:extLst>
                <c:ext xmlns:c15="http://schemas.microsoft.com/office/drawing/2012/chart" uri="{CE6537A1-D6FC-4f65-9D91-7224C49458BB}"/>
                <c:ext xmlns:c16="http://schemas.microsoft.com/office/drawing/2014/chart" uri="{C3380CC4-5D6E-409C-BE32-E72D297353CC}">
                  <c16:uniqueId val="{00000013-C632-4B34-A8E3-468812FD8054}"/>
                </c:ext>
              </c:extLst>
            </c:dLbl>
            <c:dLbl>
              <c:idx val="1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C632-4B34-A8E3-468812FD8054}"/>
                </c:ext>
              </c:extLst>
            </c:dLbl>
            <c:dLbl>
              <c:idx val="11"/>
              <c:layout>
                <c:manualLayout>
                  <c:x val="5.414891277059089E-2"/>
                  <c:y val="8.33333333333333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C632-4B34-A8E3-468812FD805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Recycling!$A$2:$A$13</c:f>
              <c:strCache>
                <c:ptCount val="12"/>
                <c:pt idx="0">
                  <c:v>ITO glass</c:v>
                </c:pt>
                <c:pt idx="1">
                  <c:v>Ni</c:v>
                </c:pt>
                <c:pt idx="2">
                  <c:v>PbI₂</c:v>
                </c:pt>
                <c:pt idx="3">
                  <c:v>DMF</c:v>
                </c:pt>
                <c:pt idx="4">
                  <c:v>MAI</c:v>
                </c:pt>
                <c:pt idx="5">
                  <c:v>MACl</c:v>
                </c:pt>
                <c:pt idx="6">
                  <c:v>Ethanol</c:v>
                </c:pt>
                <c:pt idx="7">
                  <c:v>PCBM</c:v>
                </c:pt>
                <c:pt idx="8">
                  <c:v>AZO</c:v>
                </c:pt>
                <c:pt idx="9">
                  <c:v>ITO</c:v>
                </c:pt>
                <c:pt idx="10">
                  <c:v>Ar</c:v>
                </c:pt>
                <c:pt idx="11">
                  <c:v>O₂</c:v>
                </c:pt>
              </c:strCache>
            </c:strRef>
          </c:cat>
          <c:val>
            <c:numRef>
              <c:f>Recycling!$C$2:$C$13</c:f>
              <c:numCache>
                <c:formatCode>General</c:formatCode>
                <c:ptCount val="12"/>
                <c:pt idx="0">
                  <c:v>0</c:v>
                </c:pt>
                <c:pt idx="1">
                  <c:v>0</c:v>
                </c:pt>
                <c:pt idx="2">
                  <c:v>4.472927890759943E-2</c:v>
                </c:pt>
                <c:pt idx="3">
                  <c:v>0.15136487547183283</c:v>
                </c:pt>
                <c:pt idx="4">
                  <c:v>0.86776101755973556</c:v>
                </c:pt>
                <c:pt idx="5">
                  <c:v>7.223991426678969E-4</c:v>
                </c:pt>
                <c:pt idx="6">
                  <c:v>0.17467875691966225</c:v>
                </c:pt>
                <c:pt idx="7">
                  <c:v>2.0963550633835544</c:v>
                </c:pt>
                <c:pt idx="8">
                  <c:v>4.6933677216494775E-3</c:v>
                </c:pt>
                <c:pt idx="9">
                  <c:v>1.2042202796386563</c:v>
                </c:pt>
                <c:pt idx="10">
                  <c:v>14.844249782230303</c:v>
                </c:pt>
                <c:pt idx="11">
                  <c:v>8.0999662531850997E-3</c:v>
                </c:pt>
              </c:numCache>
            </c:numRef>
          </c:val>
          <c:extLst>
            <c:ext xmlns:c16="http://schemas.microsoft.com/office/drawing/2014/chart" uri="{C3380CC4-5D6E-409C-BE32-E72D297353CC}">
              <c16:uniqueId val="{00000028-C632-4B34-A8E3-468812FD8054}"/>
            </c:ext>
          </c:extLst>
        </c:ser>
        <c:dLbls>
          <c:showLegendKey val="0"/>
          <c:showVal val="1"/>
          <c:showCatName val="0"/>
          <c:showSerName val="0"/>
          <c:showPercent val="0"/>
          <c:showBubbleSize val="0"/>
          <c:showLeaderLines val="1"/>
        </c:dLbls>
        <c:firstSliceAng val="0"/>
        <c:holeSize val="64"/>
      </c:doughnutChart>
      <c:spPr>
        <a:noFill/>
        <a:ln>
          <a:noFill/>
        </a:ln>
        <a:effectLst/>
      </c:spPr>
    </c:plotArea>
    <c:legend>
      <c:legendPos val="r"/>
      <c:layout>
        <c:manualLayout>
          <c:xMode val="edge"/>
          <c:yMode val="edge"/>
          <c:x val="0.60800651492430813"/>
          <c:y val="8.6504811898512621E-4"/>
          <c:w val="0.38643789189930761"/>
          <c:h val="0.99826990376202973"/>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1909667541557"/>
          <c:y val="2.7777777777777801E-2"/>
        </c:manualLayout>
      </c:layout>
      <c:overlay val="0"/>
      <c:spPr>
        <a:noFill/>
        <a:ln>
          <a:noFill/>
        </a:ln>
        <a:effectLst/>
      </c:spPr>
      <c:txPr>
        <a:bodyPr rot="0" spcFirstLastPara="1" vertOverflow="ellipsis" vert="horz" wrap="square" anchor="ctr" anchorCtr="1"/>
        <a:lstStyle/>
        <a:p>
          <a:pPr>
            <a:defRPr lang="zh-CN"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uncertainty!$R$1</c:f>
              <c:strCache>
                <c:ptCount val="1"/>
                <c:pt idx="0">
                  <c:v>EPBT</c:v>
                </c:pt>
              </c:strCache>
            </c:strRef>
          </c:tx>
          <c:spPr>
            <a:solidFill>
              <a:schemeClr val="accent1"/>
            </a:solidFill>
            <a:ln>
              <a:noFill/>
            </a:ln>
            <a:effectLst/>
          </c:spPr>
          <c:invertIfNegative val="0"/>
          <c:dLbls>
            <c:dLbl>
              <c:idx val="3"/>
              <c:layout>
                <c:manualLayout>
                  <c:x val="-8.469451906549201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BF-4280-A1FF-1B1B188B7E4C}"/>
                </c:ext>
              </c:extLst>
            </c:dLbl>
            <c:spPr>
              <a:no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uncertainty!$Q$2:$Q$5</c:f>
              <c:strCache>
                <c:ptCount val="4"/>
                <c:pt idx="0">
                  <c:v>Insolation</c:v>
                </c:pt>
                <c:pt idx="1">
                  <c:v>PCE</c:v>
                </c:pt>
                <c:pt idx="2">
                  <c:v>Primary energy consumption</c:v>
                </c:pt>
                <c:pt idx="3">
                  <c:v>Performance ratio</c:v>
                </c:pt>
              </c:strCache>
            </c:strRef>
          </c:cat>
          <c:val>
            <c:numRef>
              <c:f>uncertainty!$R$2:$R$5</c:f>
              <c:numCache>
                <c:formatCode>0.000%</c:formatCode>
                <c:ptCount val="4"/>
                <c:pt idx="0">
                  <c:v>-1.9699999999999999E-2</c:v>
                </c:pt>
                <c:pt idx="1">
                  <c:v>-4.0980000000000003E-2</c:v>
                </c:pt>
                <c:pt idx="2" formatCode="0.00%">
                  <c:v>0.182</c:v>
                </c:pt>
                <c:pt idx="3" formatCode="0.00%">
                  <c:v>-0.75729999999999997</c:v>
                </c:pt>
              </c:numCache>
            </c:numRef>
          </c:val>
          <c:extLst>
            <c:ext xmlns:c16="http://schemas.microsoft.com/office/drawing/2014/chart" uri="{C3380CC4-5D6E-409C-BE32-E72D297353CC}">
              <c16:uniqueId val="{00000001-3CBF-4280-A1FF-1B1B188B7E4C}"/>
            </c:ext>
          </c:extLst>
        </c:ser>
        <c:dLbls>
          <c:showLegendKey val="0"/>
          <c:showVal val="1"/>
          <c:showCatName val="0"/>
          <c:showSerName val="0"/>
          <c:showPercent val="0"/>
          <c:showBubbleSize val="0"/>
        </c:dLbls>
        <c:gapWidth val="182"/>
        <c:axId val="1206799183"/>
        <c:axId val="1159558863"/>
      </c:barChart>
      <c:catAx>
        <c:axId val="1206799183"/>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59558863"/>
        <c:crosses val="autoZero"/>
        <c:auto val="1"/>
        <c:lblAlgn val="ctr"/>
        <c:lblOffset val="100"/>
        <c:noMultiLvlLbl val="0"/>
      </c:catAx>
      <c:valAx>
        <c:axId val="1159558863"/>
        <c:scaling>
          <c:orientation val="minMax"/>
        </c:scaling>
        <c:delete val="0"/>
        <c:axPos val="b"/>
        <c:majorGridlines>
          <c:spPr>
            <a:ln w="9525" cap="flat" cmpd="sng" algn="ctr">
              <a:solidFill>
                <a:schemeClr val="bg1"/>
              </a:solidFill>
              <a:round/>
            </a:ln>
            <a:effectLst/>
          </c:spPr>
        </c:majorGridlines>
        <c:numFmt formatCode="0%" sourceLinked="0"/>
        <c:majorTickMark val="in"/>
        <c:minorTickMark val="none"/>
        <c:tickLblPos val="low"/>
        <c:spPr>
          <a:noFill/>
          <a:ln>
            <a:solidFill>
              <a:schemeClr val="tx1"/>
            </a:solidFill>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067991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uncertainty!$T$1</c:f>
              <c:strCache>
                <c:ptCount val="1"/>
                <c:pt idx="0">
                  <c:v>GHG emission factor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uncertainty!$S$2:$S$6</c:f>
              <c:strCache>
                <c:ptCount val="5"/>
                <c:pt idx="0">
                  <c:v>Insolation</c:v>
                </c:pt>
                <c:pt idx="1">
                  <c:v>PCE</c:v>
                </c:pt>
                <c:pt idx="2">
                  <c:v>Carbon footprint</c:v>
                </c:pt>
                <c:pt idx="3">
                  <c:v>Lifetime</c:v>
                </c:pt>
                <c:pt idx="4">
                  <c:v>Performance ratio</c:v>
                </c:pt>
              </c:strCache>
            </c:strRef>
          </c:cat>
          <c:val>
            <c:numRef>
              <c:f>uncertainty!$T$2:$T$6</c:f>
              <c:numCache>
                <c:formatCode>0.000%</c:formatCode>
                <c:ptCount val="5"/>
                <c:pt idx="0">
                  <c:v>-1.507E-2</c:v>
                </c:pt>
                <c:pt idx="1">
                  <c:v>-3.1870000000000002E-2</c:v>
                </c:pt>
                <c:pt idx="2" formatCode="0.00%">
                  <c:v>0.13800000000000001</c:v>
                </c:pt>
                <c:pt idx="3" formatCode="0.00%">
                  <c:v>-0.25009999999999999</c:v>
                </c:pt>
                <c:pt idx="4" formatCode="0.00%">
                  <c:v>-0.56489999999999996</c:v>
                </c:pt>
              </c:numCache>
            </c:numRef>
          </c:val>
          <c:extLst>
            <c:ext xmlns:c16="http://schemas.microsoft.com/office/drawing/2014/chart" uri="{C3380CC4-5D6E-409C-BE32-E72D297353CC}">
              <c16:uniqueId val="{00000000-1C62-458C-94D8-7276AA1D1447}"/>
            </c:ext>
          </c:extLst>
        </c:ser>
        <c:dLbls>
          <c:showLegendKey val="0"/>
          <c:showVal val="1"/>
          <c:showCatName val="0"/>
          <c:showSerName val="0"/>
          <c:showPercent val="0"/>
          <c:showBubbleSize val="0"/>
        </c:dLbls>
        <c:gapWidth val="182"/>
        <c:axId val="1244643519"/>
        <c:axId val="1319694255"/>
      </c:barChart>
      <c:catAx>
        <c:axId val="1244643519"/>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19694255"/>
        <c:crosses val="autoZero"/>
        <c:auto val="1"/>
        <c:lblAlgn val="ctr"/>
        <c:lblOffset val="100"/>
        <c:noMultiLvlLbl val="0"/>
      </c:catAx>
      <c:valAx>
        <c:axId val="1319694255"/>
        <c:scaling>
          <c:orientation val="minMax"/>
          <c:min val="-0.8"/>
        </c:scaling>
        <c:delete val="0"/>
        <c:axPos val="b"/>
        <c:majorGridlines>
          <c:spPr>
            <a:ln w="9525" cap="flat" cmpd="sng" algn="ctr">
              <a:solidFill>
                <a:schemeClr val="bg1"/>
              </a:solid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446435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630362149613194E-2"/>
          <c:y val="2.8589993502274202E-2"/>
          <c:w val="0.88412204379964321"/>
          <c:h val="0.46000562795147681"/>
        </c:manualLayout>
      </c:layout>
      <c:barChart>
        <c:barDir val="col"/>
        <c:grouping val="percentStacked"/>
        <c:varyColors val="0"/>
        <c:ser>
          <c:idx val="0"/>
          <c:order val="0"/>
          <c:tx>
            <c:strRef>
              <c:f>'Results (2)'!$A$2</c:f>
              <c:strCache>
                <c:ptCount val="1"/>
                <c:pt idx="0">
                  <c:v>ITO glass</c:v>
                </c:pt>
              </c:strCache>
            </c:strRef>
          </c:tx>
          <c:spPr>
            <a:solidFill>
              <a:schemeClr val="accent1"/>
            </a:solidFill>
            <a:ln>
              <a:noFill/>
            </a:ln>
            <a:effectLst/>
          </c:spPr>
          <c:invertIfNegative val="0"/>
          <c:cat>
            <c:strRef>
              <c:f>'Results (2)'!$D$1:$X$1</c:f>
              <c:strCache>
                <c:ptCount val="5"/>
                <c:pt idx="3">
                  <c:v>carbon footprint</c:v>
                </c:pt>
                <c:pt idx="4">
                  <c:v>primary energy consumption</c:v>
                </c:pt>
              </c:strCache>
            </c:strRef>
          </c:cat>
          <c:val>
            <c:numRef>
              <c:f>'Results (2)'!$D$2:$X$2</c:f>
              <c:numCache>
                <c:formatCode>General</c:formatCode>
                <c:ptCount val="21"/>
                <c:pt idx="3">
                  <c:v>1.6837863429999995</c:v>
                </c:pt>
                <c:pt idx="4">
                  <c:v>29.222870408888099</c:v>
                </c:pt>
              </c:numCache>
            </c:numRef>
          </c:val>
          <c:extLst>
            <c:ext xmlns:c16="http://schemas.microsoft.com/office/drawing/2014/chart" uri="{C3380CC4-5D6E-409C-BE32-E72D297353CC}">
              <c16:uniqueId val="{00000000-8894-4CF1-9702-03CA73AE35C2}"/>
            </c:ext>
          </c:extLst>
        </c:ser>
        <c:ser>
          <c:idx val="1"/>
          <c:order val="1"/>
          <c:tx>
            <c:strRef>
              <c:f>'Results (2)'!$A$3</c:f>
              <c:strCache>
                <c:ptCount val="1"/>
                <c:pt idx="0">
                  <c:v>Ni</c:v>
                </c:pt>
              </c:strCache>
            </c:strRef>
          </c:tx>
          <c:spPr>
            <a:solidFill>
              <a:schemeClr val="accent2"/>
            </a:solidFill>
            <a:ln>
              <a:noFill/>
            </a:ln>
            <a:effectLst/>
          </c:spPr>
          <c:invertIfNegative val="0"/>
          <c:cat>
            <c:strRef>
              <c:f>'Results (2)'!$D$1:$X$1</c:f>
              <c:strCache>
                <c:ptCount val="5"/>
                <c:pt idx="3">
                  <c:v>carbon footprint</c:v>
                </c:pt>
                <c:pt idx="4">
                  <c:v>primary energy consumption</c:v>
                </c:pt>
              </c:strCache>
            </c:strRef>
          </c:cat>
          <c:val>
            <c:numRef>
              <c:f>'Results (2)'!$D$3:$X$3</c:f>
              <c:numCache>
                <c:formatCode>General</c:formatCode>
                <c:ptCount val="21"/>
                <c:pt idx="3">
                  <c:v>8.8120058880000011E-3</c:v>
                </c:pt>
                <c:pt idx="4">
                  <c:v>0.1232730025314816</c:v>
                </c:pt>
              </c:numCache>
            </c:numRef>
          </c:val>
          <c:extLst>
            <c:ext xmlns:c16="http://schemas.microsoft.com/office/drawing/2014/chart" uri="{C3380CC4-5D6E-409C-BE32-E72D297353CC}">
              <c16:uniqueId val="{00000001-8894-4CF1-9702-03CA73AE35C2}"/>
            </c:ext>
          </c:extLst>
        </c:ser>
        <c:ser>
          <c:idx val="2"/>
          <c:order val="2"/>
          <c:tx>
            <c:strRef>
              <c:f>'Results (2)'!$A$4</c:f>
              <c:strCache>
                <c:ptCount val="1"/>
                <c:pt idx="0">
                  <c:v>PbI₂</c:v>
                </c:pt>
              </c:strCache>
            </c:strRef>
          </c:tx>
          <c:spPr>
            <a:solidFill>
              <a:schemeClr val="accent3"/>
            </a:solidFill>
            <a:ln>
              <a:noFill/>
            </a:ln>
            <a:effectLst/>
          </c:spPr>
          <c:invertIfNegative val="0"/>
          <c:cat>
            <c:strRef>
              <c:f>'Results (2)'!$D$1:$X$1</c:f>
              <c:strCache>
                <c:ptCount val="5"/>
                <c:pt idx="3">
                  <c:v>carbon footprint</c:v>
                </c:pt>
                <c:pt idx="4">
                  <c:v>primary energy consumption</c:v>
                </c:pt>
              </c:strCache>
            </c:strRef>
          </c:cat>
          <c:val>
            <c:numRef>
              <c:f>'Results (2)'!$D$4:$X$4</c:f>
              <c:numCache>
                <c:formatCode>General</c:formatCode>
                <c:ptCount val="21"/>
                <c:pt idx="3">
                  <c:v>3.7615529770640022E-3</c:v>
                </c:pt>
                <c:pt idx="4">
                  <c:v>4.472927890759943E-2</c:v>
                </c:pt>
              </c:numCache>
            </c:numRef>
          </c:val>
          <c:extLst>
            <c:ext xmlns:c16="http://schemas.microsoft.com/office/drawing/2014/chart" uri="{C3380CC4-5D6E-409C-BE32-E72D297353CC}">
              <c16:uniqueId val="{00000002-8894-4CF1-9702-03CA73AE35C2}"/>
            </c:ext>
          </c:extLst>
        </c:ser>
        <c:ser>
          <c:idx val="3"/>
          <c:order val="3"/>
          <c:tx>
            <c:strRef>
              <c:f>'Results (2)'!$A$5</c:f>
              <c:strCache>
                <c:ptCount val="1"/>
                <c:pt idx="0">
                  <c:v>DMF</c:v>
                </c:pt>
              </c:strCache>
            </c:strRef>
          </c:tx>
          <c:spPr>
            <a:solidFill>
              <a:schemeClr val="accent4"/>
            </a:solidFill>
            <a:ln>
              <a:noFill/>
            </a:ln>
            <a:effectLst/>
          </c:spPr>
          <c:invertIfNegative val="0"/>
          <c:cat>
            <c:strRef>
              <c:f>'Results (2)'!$D$1:$X$1</c:f>
              <c:strCache>
                <c:ptCount val="5"/>
                <c:pt idx="3">
                  <c:v>carbon footprint</c:v>
                </c:pt>
                <c:pt idx="4">
                  <c:v>primary energy consumption</c:v>
                </c:pt>
              </c:strCache>
            </c:strRef>
          </c:cat>
          <c:val>
            <c:numRef>
              <c:f>'Results (2)'!$D$5:$X$5</c:f>
              <c:numCache>
                <c:formatCode>General</c:formatCode>
                <c:ptCount val="21"/>
                <c:pt idx="3">
                  <c:v>5.5650324248804721E-3</c:v>
                </c:pt>
                <c:pt idx="4">
                  <c:v>0.15136487547183283</c:v>
                </c:pt>
              </c:numCache>
            </c:numRef>
          </c:val>
          <c:extLst>
            <c:ext xmlns:c16="http://schemas.microsoft.com/office/drawing/2014/chart" uri="{C3380CC4-5D6E-409C-BE32-E72D297353CC}">
              <c16:uniqueId val="{00000003-8894-4CF1-9702-03CA73AE35C2}"/>
            </c:ext>
          </c:extLst>
        </c:ser>
        <c:ser>
          <c:idx val="4"/>
          <c:order val="4"/>
          <c:tx>
            <c:strRef>
              <c:f>'Results (2)'!$A$6</c:f>
              <c:strCache>
                <c:ptCount val="1"/>
                <c:pt idx="0">
                  <c:v>MAI</c:v>
                </c:pt>
              </c:strCache>
            </c:strRef>
          </c:tx>
          <c:spPr>
            <a:solidFill>
              <a:schemeClr val="accent5"/>
            </a:solidFill>
            <a:ln>
              <a:noFill/>
            </a:ln>
            <a:effectLst/>
          </c:spPr>
          <c:invertIfNegative val="0"/>
          <c:cat>
            <c:strRef>
              <c:f>'Results (2)'!$D$1:$X$1</c:f>
              <c:strCache>
                <c:ptCount val="5"/>
                <c:pt idx="3">
                  <c:v>carbon footprint</c:v>
                </c:pt>
                <c:pt idx="4">
                  <c:v>primary energy consumption</c:v>
                </c:pt>
              </c:strCache>
            </c:strRef>
          </c:cat>
          <c:val>
            <c:numRef>
              <c:f>'Results (2)'!$D$6:$X$6</c:f>
              <c:numCache>
                <c:formatCode>General</c:formatCode>
                <c:ptCount val="21"/>
                <c:pt idx="3">
                  <c:v>4.0852260795166184E-2</c:v>
                </c:pt>
                <c:pt idx="4">
                  <c:v>0.86776101755973556</c:v>
                </c:pt>
              </c:numCache>
            </c:numRef>
          </c:val>
          <c:extLst>
            <c:ext xmlns:c16="http://schemas.microsoft.com/office/drawing/2014/chart" uri="{C3380CC4-5D6E-409C-BE32-E72D297353CC}">
              <c16:uniqueId val="{00000004-8894-4CF1-9702-03CA73AE35C2}"/>
            </c:ext>
          </c:extLst>
        </c:ser>
        <c:ser>
          <c:idx val="5"/>
          <c:order val="5"/>
          <c:tx>
            <c:strRef>
              <c:f>'Results (2)'!$A$7</c:f>
              <c:strCache>
                <c:ptCount val="1"/>
                <c:pt idx="0">
                  <c:v>MACl</c:v>
                </c:pt>
              </c:strCache>
            </c:strRef>
          </c:tx>
          <c:spPr>
            <a:solidFill>
              <a:schemeClr val="accent6"/>
            </a:solidFill>
            <a:ln>
              <a:noFill/>
            </a:ln>
            <a:effectLst/>
          </c:spPr>
          <c:invertIfNegative val="0"/>
          <c:cat>
            <c:strRef>
              <c:f>'Results (2)'!$D$1:$X$1</c:f>
              <c:strCache>
                <c:ptCount val="5"/>
                <c:pt idx="3">
                  <c:v>carbon footprint</c:v>
                </c:pt>
                <c:pt idx="4">
                  <c:v>primary energy consumption</c:v>
                </c:pt>
              </c:strCache>
            </c:strRef>
          </c:cat>
          <c:val>
            <c:numRef>
              <c:f>'Results (2)'!$D$7:$X$7</c:f>
              <c:numCache>
                <c:formatCode>General</c:formatCode>
                <c:ptCount val="21"/>
                <c:pt idx="3">
                  <c:v>6.0750870841095503E-5</c:v>
                </c:pt>
                <c:pt idx="4">
                  <c:v>7.223991426678969E-4</c:v>
                </c:pt>
              </c:numCache>
            </c:numRef>
          </c:val>
          <c:extLst>
            <c:ext xmlns:c16="http://schemas.microsoft.com/office/drawing/2014/chart" uri="{C3380CC4-5D6E-409C-BE32-E72D297353CC}">
              <c16:uniqueId val="{00000005-8894-4CF1-9702-03CA73AE35C2}"/>
            </c:ext>
          </c:extLst>
        </c:ser>
        <c:ser>
          <c:idx val="6"/>
          <c:order val="6"/>
          <c:tx>
            <c:strRef>
              <c:f>'Results (2)'!$A$8</c:f>
              <c:strCache>
                <c:ptCount val="1"/>
                <c:pt idx="0">
                  <c:v>Ethanol</c:v>
                </c:pt>
              </c:strCache>
            </c:strRef>
          </c:tx>
          <c:spPr>
            <a:solidFill>
              <a:schemeClr val="accent1">
                <a:lumMod val="60000"/>
              </a:schemeClr>
            </a:solidFill>
            <a:ln>
              <a:noFill/>
            </a:ln>
            <a:effectLst/>
          </c:spPr>
          <c:invertIfNegative val="0"/>
          <c:cat>
            <c:strRef>
              <c:f>'Results (2)'!$D$1:$X$1</c:f>
              <c:strCache>
                <c:ptCount val="5"/>
                <c:pt idx="3">
                  <c:v>carbon footprint</c:v>
                </c:pt>
                <c:pt idx="4">
                  <c:v>primary energy consumption</c:v>
                </c:pt>
              </c:strCache>
            </c:strRef>
          </c:cat>
          <c:val>
            <c:numRef>
              <c:f>'Results (2)'!$D$8:$X$8</c:f>
              <c:numCache>
                <c:formatCode>General</c:formatCode>
                <c:ptCount val="21"/>
                <c:pt idx="3">
                  <c:v>5.8794098163324465E-3</c:v>
                </c:pt>
                <c:pt idx="4">
                  <c:v>0.17467875691966225</c:v>
                </c:pt>
              </c:numCache>
            </c:numRef>
          </c:val>
          <c:extLst>
            <c:ext xmlns:c16="http://schemas.microsoft.com/office/drawing/2014/chart" uri="{C3380CC4-5D6E-409C-BE32-E72D297353CC}">
              <c16:uniqueId val="{00000006-8894-4CF1-9702-03CA73AE35C2}"/>
            </c:ext>
          </c:extLst>
        </c:ser>
        <c:ser>
          <c:idx val="7"/>
          <c:order val="7"/>
          <c:tx>
            <c:strRef>
              <c:f>'Results (2)'!$A$9</c:f>
              <c:strCache>
                <c:ptCount val="1"/>
                <c:pt idx="0">
                  <c:v>Nitrogen</c:v>
                </c:pt>
              </c:strCache>
            </c:strRef>
          </c:tx>
          <c:spPr>
            <a:solidFill>
              <a:schemeClr val="accent2">
                <a:lumMod val="60000"/>
              </a:schemeClr>
            </a:solidFill>
            <a:ln>
              <a:noFill/>
            </a:ln>
            <a:effectLst/>
          </c:spPr>
          <c:invertIfNegative val="0"/>
          <c:cat>
            <c:strRef>
              <c:f>'Results (2)'!$D$1:$X$1</c:f>
              <c:strCache>
                <c:ptCount val="5"/>
                <c:pt idx="3">
                  <c:v>carbon footprint</c:v>
                </c:pt>
                <c:pt idx="4">
                  <c:v>primary energy consumption</c:v>
                </c:pt>
              </c:strCache>
            </c:strRef>
          </c:cat>
          <c:val>
            <c:numRef>
              <c:f>'Results (2)'!$D$9:$X$9</c:f>
              <c:numCache>
                <c:formatCode>General</c:formatCode>
                <c:ptCount val="21"/>
                <c:pt idx="3">
                  <c:v>0.85753647703738045</c:v>
                </c:pt>
                <c:pt idx="4">
                  <c:v>11.683460563708593</c:v>
                </c:pt>
              </c:numCache>
            </c:numRef>
          </c:val>
          <c:extLst>
            <c:ext xmlns:c16="http://schemas.microsoft.com/office/drawing/2014/chart" uri="{C3380CC4-5D6E-409C-BE32-E72D297353CC}">
              <c16:uniqueId val="{00000007-8894-4CF1-9702-03CA73AE35C2}"/>
            </c:ext>
          </c:extLst>
        </c:ser>
        <c:ser>
          <c:idx val="8"/>
          <c:order val="8"/>
          <c:tx>
            <c:strRef>
              <c:f>'Results (2)'!$A$10</c:f>
              <c:strCache>
                <c:ptCount val="1"/>
                <c:pt idx="0">
                  <c:v>PCBM</c:v>
                </c:pt>
              </c:strCache>
            </c:strRef>
          </c:tx>
          <c:spPr>
            <a:solidFill>
              <a:schemeClr val="accent3">
                <a:lumMod val="60000"/>
              </a:schemeClr>
            </a:solidFill>
            <a:ln>
              <a:noFill/>
            </a:ln>
            <a:effectLst/>
          </c:spPr>
          <c:invertIfNegative val="0"/>
          <c:cat>
            <c:strRef>
              <c:f>'Results (2)'!$D$1:$X$1</c:f>
              <c:strCache>
                <c:ptCount val="5"/>
                <c:pt idx="3">
                  <c:v>carbon footprint</c:v>
                </c:pt>
                <c:pt idx="4">
                  <c:v>primary energy consumption</c:v>
                </c:pt>
              </c:strCache>
            </c:strRef>
          </c:cat>
          <c:val>
            <c:numRef>
              <c:f>'Results (2)'!$D$10:$X$10</c:f>
              <c:numCache>
                <c:formatCode>General</c:formatCode>
                <c:ptCount val="21"/>
                <c:pt idx="3">
                  <c:v>6.819169729874415E-2</c:v>
                </c:pt>
                <c:pt idx="4">
                  <c:v>2.0963550633835544</c:v>
                </c:pt>
              </c:numCache>
            </c:numRef>
          </c:val>
          <c:extLst>
            <c:ext xmlns:c16="http://schemas.microsoft.com/office/drawing/2014/chart" uri="{C3380CC4-5D6E-409C-BE32-E72D297353CC}">
              <c16:uniqueId val="{00000008-8894-4CF1-9702-03CA73AE35C2}"/>
            </c:ext>
          </c:extLst>
        </c:ser>
        <c:ser>
          <c:idx val="9"/>
          <c:order val="9"/>
          <c:tx>
            <c:strRef>
              <c:f>'Results (2)'!$A$11</c:f>
              <c:strCache>
                <c:ptCount val="1"/>
                <c:pt idx="0">
                  <c:v>AZO</c:v>
                </c:pt>
              </c:strCache>
            </c:strRef>
          </c:tx>
          <c:spPr>
            <a:solidFill>
              <a:schemeClr val="accent4">
                <a:lumMod val="60000"/>
              </a:schemeClr>
            </a:solidFill>
            <a:ln>
              <a:noFill/>
            </a:ln>
            <a:effectLst/>
          </c:spPr>
          <c:invertIfNegative val="0"/>
          <c:cat>
            <c:strRef>
              <c:f>'Results (2)'!$D$1:$X$1</c:f>
              <c:strCache>
                <c:ptCount val="5"/>
                <c:pt idx="3">
                  <c:v>carbon footprint</c:v>
                </c:pt>
                <c:pt idx="4">
                  <c:v>primary energy consumption</c:v>
                </c:pt>
              </c:strCache>
            </c:strRef>
          </c:cat>
          <c:val>
            <c:numRef>
              <c:f>'Results (2)'!$D$11:$X$11</c:f>
              <c:numCache>
                <c:formatCode>General</c:formatCode>
                <c:ptCount val="21"/>
                <c:pt idx="3">
                  <c:v>3.0227406682730926E-4</c:v>
                </c:pt>
                <c:pt idx="4">
                  <c:v>4.6933677216494775E-3</c:v>
                </c:pt>
              </c:numCache>
            </c:numRef>
          </c:val>
          <c:extLst>
            <c:ext xmlns:c16="http://schemas.microsoft.com/office/drawing/2014/chart" uri="{C3380CC4-5D6E-409C-BE32-E72D297353CC}">
              <c16:uniqueId val="{00000009-8894-4CF1-9702-03CA73AE35C2}"/>
            </c:ext>
          </c:extLst>
        </c:ser>
        <c:ser>
          <c:idx val="10"/>
          <c:order val="10"/>
          <c:tx>
            <c:strRef>
              <c:f>'Results (2)'!$A$12</c:f>
              <c:strCache>
                <c:ptCount val="1"/>
                <c:pt idx="0">
                  <c:v>ITO</c:v>
                </c:pt>
              </c:strCache>
            </c:strRef>
          </c:tx>
          <c:spPr>
            <a:solidFill>
              <a:schemeClr val="accent5">
                <a:lumMod val="60000"/>
              </a:schemeClr>
            </a:solidFill>
            <a:ln>
              <a:noFill/>
            </a:ln>
            <a:effectLst/>
          </c:spPr>
          <c:invertIfNegative val="0"/>
          <c:cat>
            <c:strRef>
              <c:f>'Results (2)'!$D$1:$X$1</c:f>
              <c:strCache>
                <c:ptCount val="5"/>
                <c:pt idx="3">
                  <c:v>carbon footprint</c:v>
                </c:pt>
                <c:pt idx="4">
                  <c:v>primary energy consumption</c:v>
                </c:pt>
              </c:strCache>
            </c:strRef>
          </c:cat>
          <c:val>
            <c:numRef>
              <c:f>'Results (2)'!$D$12:$X$12</c:f>
              <c:numCache>
                <c:formatCode>General</c:formatCode>
                <c:ptCount val="21"/>
                <c:pt idx="3">
                  <c:v>5.0437571184000017E-2</c:v>
                </c:pt>
                <c:pt idx="4">
                  <c:v>0.662321153801261</c:v>
                </c:pt>
              </c:numCache>
            </c:numRef>
          </c:val>
          <c:extLst>
            <c:ext xmlns:c16="http://schemas.microsoft.com/office/drawing/2014/chart" uri="{C3380CC4-5D6E-409C-BE32-E72D297353CC}">
              <c16:uniqueId val="{0000000A-8894-4CF1-9702-03CA73AE35C2}"/>
            </c:ext>
          </c:extLst>
        </c:ser>
        <c:ser>
          <c:idx val="11"/>
          <c:order val="11"/>
          <c:tx>
            <c:strRef>
              <c:f>'Results (2)'!$A$13</c:f>
              <c:strCache>
                <c:ptCount val="1"/>
                <c:pt idx="0">
                  <c:v>Ar</c:v>
                </c:pt>
              </c:strCache>
            </c:strRef>
          </c:tx>
          <c:spPr>
            <a:solidFill>
              <a:schemeClr val="accent6">
                <a:lumMod val="60000"/>
              </a:schemeClr>
            </a:solidFill>
            <a:ln>
              <a:noFill/>
            </a:ln>
            <a:effectLst/>
          </c:spPr>
          <c:invertIfNegative val="0"/>
          <c:cat>
            <c:strRef>
              <c:f>'Results (2)'!$D$1:$X$1</c:f>
              <c:strCache>
                <c:ptCount val="5"/>
                <c:pt idx="3">
                  <c:v>carbon footprint</c:v>
                </c:pt>
                <c:pt idx="4">
                  <c:v>primary energy consumption</c:v>
                </c:pt>
              </c:strCache>
            </c:strRef>
          </c:cat>
          <c:val>
            <c:numRef>
              <c:f>'Results (2)'!$D$13:$X$13</c:f>
              <c:numCache>
                <c:formatCode>General</c:formatCode>
                <c:ptCount val="21"/>
                <c:pt idx="3">
                  <c:v>0.98799433696969696</c:v>
                </c:pt>
                <c:pt idx="4">
                  <c:v>14.844249782230303</c:v>
                </c:pt>
              </c:numCache>
            </c:numRef>
          </c:val>
          <c:extLst>
            <c:ext xmlns:c16="http://schemas.microsoft.com/office/drawing/2014/chart" uri="{C3380CC4-5D6E-409C-BE32-E72D297353CC}">
              <c16:uniqueId val="{0000000B-8894-4CF1-9702-03CA73AE35C2}"/>
            </c:ext>
          </c:extLst>
        </c:ser>
        <c:ser>
          <c:idx val="12"/>
          <c:order val="12"/>
          <c:tx>
            <c:strRef>
              <c:f>'Results (2)'!$A$14</c:f>
              <c:strCache>
                <c:ptCount val="1"/>
                <c:pt idx="0">
                  <c:v>O₂</c:v>
                </c:pt>
              </c:strCache>
            </c:strRef>
          </c:tx>
          <c:spPr>
            <a:solidFill>
              <a:schemeClr val="accent1">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(2)'!$D$14:$X$14</c:f>
              <c:numCache>
                <c:formatCode>General</c:formatCode>
                <c:ptCount val="21"/>
                <c:pt idx="3">
                  <c:v>5.9453010977304082E-4</c:v>
                </c:pt>
                <c:pt idx="4">
                  <c:v>8.0999662531850997E-3</c:v>
                </c:pt>
              </c:numCache>
            </c:numRef>
          </c:val>
          <c:extLst>
            <c:ext xmlns:c16="http://schemas.microsoft.com/office/drawing/2014/chart" uri="{C3380CC4-5D6E-409C-BE32-E72D297353CC}">
              <c16:uniqueId val="{0000000C-8894-4CF1-9702-03CA73AE35C2}"/>
            </c:ext>
          </c:extLst>
        </c:ser>
        <c:ser>
          <c:idx val="13"/>
          <c:order val="13"/>
          <c:tx>
            <c:strRef>
              <c:f>'Results (2)'!$A$15</c:f>
              <c:strCache>
                <c:ptCount val="1"/>
                <c:pt idx="0">
                  <c:v>UV/O₃ cleaning</c:v>
                </c:pt>
              </c:strCache>
            </c:strRef>
          </c:tx>
          <c:spPr>
            <a:solidFill>
              <a:schemeClr val="accent2">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(2)'!$D$15:$X$15</c:f>
              <c:numCache>
                <c:formatCode>General</c:formatCode>
                <c:ptCount val="21"/>
                <c:pt idx="3">
                  <c:v>3.2656320026125049E-2</c:v>
                </c:pt>
                <c:pt idx="4">
                  <c:v>0.57461372577289094</c:v>
                </c:pt>
              </c:numCache>
            </c:numRef>
          </c:val>
          <c:extLst>
            <c:ext xmlns:c16="http://schemas.microsoft.com/office/drawing/2014/chart" uri="{C3380CC4-5D6E-409C-BE32-E72D297353CC}">
              <c16:uniqueId val="{0000000D-8894-4CF1-9702-03CA73AE35C2}"/>
            </c:ext>
          </c:extLst>
        </c:ser>
        <c:ser>
          <c:idx val="14"/>
          <c:order val="14"/>
          <c:tx>
            <c:strRef>
              <c:f>'Results (2)'!$A$16</c:f>
              <c:strCache>
                <c:ptCount val="1"/>
                <c:pt idx="0">
                  <c:v>HTL sputtering</c:v>
                </c:pt>
              </c:strCache>
            </c:strRef>
          </c:tx>
          <c:spPr>
            <a:solidFill>
              <a:schemeClr val="accent3">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(2)'!$D$16:$X$16</c:f>
              <c:numCache>
                <c:formatCode>General</c:formatCode>
                <c:ptCount val="21"/>
                <c:pt idx="3">
                  <c:v>5.2210193981162085</c:v>
                </c:pt>
                <c:pt idx="4">
                  <c:v>91.867957145325505</c:v>
                </c:pt>
              </c:numCache>
            </c:numRef>
          </c:val>
          <c:extLst>
            <c:ext xmlns:c16="http://schemas.microsoft.com/office/drawing/2014/chart" uri="{C3380CC4-5D6E-409C-BE32-E72D297353CC}">
              <c16:uniqueId val="{0000000E-8894-4CF1-9702-03CA73AE35C2}"/>
            </c:ext>
          </c:extLst>
        </c:ser>
        <c:ser>
          <c:idx val="15"/>
          <c:order val="15"/>
          <c:tx>
            <c:strRef>
              <c:f>'Results (2)'!$A$17</c:f>
              <c:strCache>
                <c:ptCount val="1"/>
                <c:pt idx="0">
                  <c:v>Inert gas purging</c:v>
                </c:pt>
              </c:strCache>
            </c:strRef>
          </c:tx>
          <c:spPr>
            <a:solidFill>
              <a:schemeClr val="accent4">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(2)'!$D$17:$X$17</c:f>
              <c:numCache>
                <c:formatCode>General</c:formatCode>
                <c:ptCount val="21"/>
                <c:pt idx="3">
                  <c:v>1.9522800015618238</c:v>
                </c:pt>
                <c:pt idx="4">
                  <c:v>34.351907519031528</c:v>
                </c:pt>
              </c:numCache>
            </c:numRef>
          </c:val>
          <c:extLst>
            <c:ext xmlns:c16="http://schemas.microsoft.com/office/drawing/2014/chart" uri="{C3380CC4-5D6E-409C-BE32-E72D297353CC}">
              <c16:uniqueId val="{0000000F-8894-4CF1-9702-03CA73AE35C2}"/>
            </c:ext>
          </c:extLst>
        </c:ser>
        <c:ser>
          <c:idx val="16"/>
          <c:order val="16"/>
          <c:tx>
            <c:strRef>
              <c:f>'Results (2)'!$A$18</c:f>
              <c:strCache>
                <c:ptCount val="1"/>
                <c:pt idx="0">
                  <c:v>PL 1st-step spin coating</c:v>
                </c:pt>
              </c:strCache>
            </c:strRef>
          </c:tx>
          <c:spPr>
            <a:solidFill>
              <a:schemeClr val="accent5">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(2)'!$D$18:$X$18</c:f>
              <c:numCache>
                <c:formatCode>General</c:formatCode>
                <c:ptCount val="21"/>
                <c:pt idx="3">
                  <c:v>6.8506782326191873</c:v>
                </c:pt>
                <c:pt idx="4">
                  <c:v>120.54309059218431</c:v>
                </c:pt>
              </c:numCache>
            </c:numRef>
          </c:val>
          <c:extLst>
            <c:ext xmlns:c16="http://schemas.microsoft.com/office/drawing/2014/chart" uri="{C3380CC4-5D6E-409C-BE32-E72D297353CC}">
              <c16:uniqueId val="{00000010-8894-4CF1-9702-03CA73AE35C2}"/>
            </c:ext>
          </c:extLst>
        </c:ser>
        <c:ser>
          <c:idx val="17"/>
          <c:order val="17"/>
          <c:tx>
            <c:strRef>
              <c:f>'Results (2)'!$A$19</c:f>
              <c:strCache>
                <c:ptCount val="1"/>
                <c:pt idx="0">
                  <c:v>PL 2nd-step spin coating</c:v>
                </c:pt>
              </c:strCache>
            </c:strRef>
          </c:tx>
          <c:spPr>
            <a:solidFill>
              <a:schemeClr val="accent6">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(2)'!$D$19:$X$19</c:f>
              <c:numCache>
                <c:formatCode>General</c:formatCode>
                <c:ptCount val="21"/>
                <c:pt idx="3">
                  <c:v>12.178983524656331</c:v>
                </c:pt>
                <c:pt idx="4">
                  <c:v>214.29882771943875</c:v>
                </c:pt>
              </c:numCache>
            </c:numRef>
          </c:val>
          <c:extLst>
            <c:ext xmlns:c16="http://schemas.microsoft.com/office/drawing/2014/chart" uri="{C3380CC4-5D6E-409C-BE32-E72D297353CC}">
              <c16:uniqueId val="{00000011-8894-4CF1-9702-03CA73AE35C2}"/>
            </c:ext>
          </c:extLst>
        </c:ser>
        <c:ser>
          <c:idx val="18"/>
          <c:order val="18"/>
          <c:tx>
            <c:strRef>
              <c:f>'Results (2)'!$A$20</c:f>
              <c:strCache>
                <c:ptCount val="1"/>
                <c:pt idx="0">
                  <c:v>PL treatment</c:v>
                </c:pt>
              </c:strCache>
            </c:strRef>
          </c:tx>
          <c:spPr>
            <a:solidFill>
              <a:schemeClr val="accent1">
                <a:lumMod val="80000"/>
              </a:schemeClr>
            </a:solidFill>
            <a:ln>
              <a:noFill/>
            </a:ln>
            <a:effectLst/>
          </c:spPr>
          <c:invertIfNegative val="0"/>
          <c:cat>
            <c:strRef>
              <c:f>'Results (2)'!$D$1:$X$1</c:f>
              <c:strCache>
                <c:ptCount val="5"/>
                <c:pt idx="3">
                  <c:v>carbon footprint</c:v>
                </c:pt>
                <c:pt idx="4">
                  <c:v>primary energy consumption</c:v>
                </c:pt>
              </c:strCache>
            </c:strRef>
          </c:cat>
          <c:val>
            <c:numRef>
              <c:f>'Results (2)'!$D$20:$X$20</c:f>
              <c:numCache>
                <c:formatCode>General</c:formatCode>
                <c:ptCount val="21"/>
                <c:pt idx="3">
                  <c:v>0.17038080013630461</c:v>
                </c:pt>
                <c:pt idx="4">
                  <c:v>2.9979846562063877</c:v>
                </c:pt>
              </c:numCache>
            </c:numRef>
          </c:val>
          <c:extLst>
            <c:ext xmlns:c16="http://schemas.microsoft.com/office/drawing/2014/chart" uri="{C3380CC4-5D6E-409C-BE32-E72D297353CC}">
              <c16:uniqueId val="{00000012-8894-4CF1-9702-03CA73AE35C2}"/>
            </c:ext>
          </c:extLst>
        </c:ser>
        <c:ser>
          <c:idx val="19"/>
          <c:order val="19"/>
          <c:tx>
            <c:strRef>
              <c:f>'Results (2)'!$A$21</c:f>
              <c:strCache>
                <c:ptCount val="1"/>
                <c:pt idx="0">
                  <c:v>ETL 1st-step spin coating</c:v>
                </c:pt>
              </c:strCache>
            </c:strRef>
          </c:tx>
          <c:spPr>
            <a:solidFill>
              <a:schemeClr val="accent2">
                <a:lumMod val="80000"/>
              </a:schemeClr>
            </a:solidFill>
            <a:ln>
              <a:noFill/>
            </a:ln>
            <a:effectLst/>
          </c:spPr>
          <c:invertIfNegative val="0"/>
          <c:cat>
            <c:strRef>
              <c:f>'Results (2)'!$D$1:$X$1</c:f>
              <c:strCache>
                <c:ptCount val="5"/>
                <c:pt idx="3">
                  <c:v>carbon footprint</c:v>
                </c:pt>
                <c:pt idx="4">
                  <c:v>primary energy consumption</c:v>
                </c:pt>
              </c:strCache>
            </c:strRef>
          </c:cat>
          <c:val>
            <c:numRef>
              <c:f>'Results (2)'!$D$21:$X$21</c:f>
              <c:numCache>
                <c:formatCode>General</c:formatCode>
                <c:ptCount val="21"/>
                <c:pt idx="3">
                  <c:v>0.24865424696173338</c:v>
                </c:pt>
                <c:pt idx="4">
                  <c:v>4.3752677326052076</c:v>
                </c:pt>
              </c:numCache>
            </c:numRef>
          </c:val>
          <c:extLst>
            <c:ext xmlns:c16="http://schemas.microsoft.com/office/drawing/2014/chart" uri="{C3380CC4-5D6E-409C-BE32-E72D297353CC}">
              <c16:uniqueId val="{00000013-8894-4CF1-9702-03CA73AE35C2}"/>
            </c:ext>
          </c:extLst>
        </c:ser>
        <c:ser>
          <c:idx val="20"/>
          <c:order val="20"/>
          <c:tx>
            <c:strRef>
              <c:f>'Results (2)'!$A$22</c:f>
              <c:strCache>
                <c:ptCount val="1"/>
                <c:pt idx="0">
                  <c:v>ETL 2nd-step spin coating</c:v>
                </c:pt>
              </c:strCache>
            </c:strRef>
          </c:tx>
          <c:spPr>
            <a:solidFill>
              <a:schemeClr val="accent3">
                <a:lumMod val="80000"/>
              </a:schemeClr>
            </a:solidFill>
            <a:ln>
              <a:noFill/>
            </a:ln>
            <a:effectLst/>
          </c:spPr>
          <c:invertIfNegative val="0"/>
          <c:cat>
            <c:strRef>
              <c:f>'Results (2)'!$D$1:$X$1</c:f>
              <c:strCache>
                <c:ptCount val="5"/>
                <c:pt idx="3">
                  <c:v>carbon footprint</c:v>
                </c:pt>
                <c:pt idx="4">
                  <c:v>primary energy consumption</c:v>
                </c:pt>
              </c:strCache>
            </c:strRef>
          </c:cat>
          <c:val>
            <c:numRef>
              <c:f>'Results (2)'!$D$22:$X$22</c:f>
              <c:numCache>
                <c:formatCode>General</c:formatCode>
                <c:ptCount val="21"/>
                <c:pt idx="3">
                  <c:v>0.25372882343034026</c:v>
                </c:pt>
                <c:pt idx="4">
                  <c:v>4.4645589108216415</c:v>
                </c:pt>
              </c:numCache>
            </c:numRef>
          </c:val>
          <c:extLst>
            <c:ext xmlns:c16="http://schemas.microsoft.com/office/drawing/2014/chart" uri="{C3380CC4-5D6E-409C-BE32-E72D297353CC}">
              <c16:uniqueId val="{00000014-8894-4CF1-9702-03CA73AE35C2}"/>
            </c:ext>
          </c:extLst>
        </c:ser>
        <c:ser>
          <c:idx val="21"/>
          <c:order val="21"/>
          <c:tx>
            <c:strRef>
              <c:f>'Results (2)'!$A$23</c:f>
              <c:strCache>
                <c:ptCount val="1"/>
                <c:pt idx="0">
                  <c:v>Electrode sputtering</c:v>
                </c:pt>
              </c:strCache>
            </c:strRef>
          </c:tx>
          <c:spPr>
            <a:solidFill>
              <a:schemeClr val="accent4">
                <a:lumMod val="80000"/>
              </a:schemeClr>
            </a:solidFill>
            <a:ln>
              <a:noFill/>
            </a:ln>
            <a:effectLst/>
          </c:spPr>
          <c:invertIfNegative val="0"/>
          <c:cat>
            <c:strRef>
              <c:f>'Results (2)'!$D$1:$X$1</c:f>
              <c:strCache>
                <c:ptCount val="5"/>
                <c:pt idx="3">
                  <c:v>carbon footprint</c:v>
                </c:pt>
                <c:pt idx="4">
                  <c:v>primary energy consumption</c:v>
                </c:pt>
              </c:strCache>
            </c:strRef>
          </c:cat>
          <c:val>
            <c:numRef>
              <c:f>'Results (2)'!$D$23:$X$23</c:f>
              <c:numCache>
                <c:formatCode>General</c:formatCode>
                <c:ptCount val="21"/>
                <c:pt idx="3">
                  <c:v>7.7349010970970102</c:v>
                </c:pt>
                <c:pt idx="4">
                  <c:v>136.10168979027861</c:v>
                </c:pt>
              </c:numCache>
            </c:numRef>
          </c:val>
          <c:extLst>
            <c:ext xmlns:c16="http://schemas.microsoft.com/office/drawing/2014/chart" uri="{C3380CC4-5D6E-409C-BE32-E72D297353CC}">
              <c16:uniqueId val="{00000015-8894-4CF1-9702-03CA73AE35C2}"/>
            </c:ext>
          </c:extLst>
        </c:ser>
        <c:ser>
          <c:idx val="22"/>
          <c:order val="22"/>
          <c:tx>
            <c:strRef>
              <c:f>'Results (2)'!$A$24</c:f>
              <c:strCache>
                <c:ptCount val="1"/>
                <c:pt idx="0">
                  <c:v>Direct emissions</c:v>
                </c:pt>
              </c:strCache>
            </c:strRef>
          </c:tx>
          <c:spPr>
            <a:solidFill>
              <a:schemeClr val="accent5">
                <a:lumMod val="80000"/>
              </a:schemeClr>
            </a:solidFill>
            <a:ln>
              <a:noFill/>
            </a:ln>
            <a:effectLst/>
          </c:spPr>
          <c:invertIfNegative val="0"/>
          <c:cat>
            <c:strRef>
              <c:f>'Results (2)'!$D$1:$X$1</c:f>
              <c:strCache>
                <c:ptCount val="5"/>
                <c:pt idx="3">
                  <c:v>carbon footprint</c:v>
                </c:pt>
                <c:pt idx="4">
                  <c:v>primary energy consumption</c:v>
                </c:pt>
              </c:strCache>
            </c:strRef>
          </c:cat>
          <c:val>
            <c:numRef>
              <c:f>'Results (2)'!$D$24:$X$24</c:f>
              <c:numCache>
                <c:formatCode>General</c:formatCode>
                <c:ptCount val="21"/>
                <c:pt idx="3">
                  <c:v>0</c:v>
                </c:pt>
                <c:pt idx="4">
                  <c:v>0</c:v>
                </c:pt>
              </c:numCache>
            </c:numRef>
          </c:val>
          <c:extLst>
            <c:ext xmlns:c16="http://schemas.microsoft.com/office/drawing/2014/chart" uri="{C3380CC4-5D6E-409C-BE32-E72D297353CC}">
              <c16:uniqueId val="{00000016-8894-4CF1-9702-03CA73AE35C2}"/>
            </c:ext>
          </c:extLst>
        </c:ser>
        <c:ser>
          <c:idx val="23"/>
          <c:order val="23"/>
          <c:tx>
            <c:strRef>
              <c:f>'Results (2)'!$A$25</c:f>
              <c:strCache>
                <c:ptCount val="1"/>
                <c:pt idx="0">
                  <c:v>Treatment</c:v>
                </c:pt>
              </c:strCache>
            </c:strRef>
          </c:tx>
          <c:spPr>
            <a:solidFill>
              <a:schemeClr val="accent6">
                <a:lumMod val="80000"/>
              </a:schemeClr>
            </a:solidFill>
            <a:ln>
              <a:noFill/>
            </a:ln>
            <a:effectLst/>
          </c:spPr>
          <c:invertIfNegative val="0"/>
          <c:cat>
            <c:strRef>
              <c:f>'Results (2)'!$D$1:$X$1</c:f>
              <c:strCache>
                <c:ptCount val="5"/>
                <c:pt idx="3">
                  <c:v>carbon footprint</c:v>
                </c:pt>
                <c:pt idx="4">
                  <c:v>primary energy consumption</c:v>
                </c:pt>
              </c:strCache>
            </c:strRef>
          </c:cat>
          <c:val>
            <c:numRef>
              <c:f>'Results (2)'!$D$25:$X$25</c:f>
              <c:numCache>
                <c:formatCode>General</c:formatCode>
                <c:ptCount val="21"/>
                <c:pt idx="3">
                  <c:v>0</c:v>
                </c:pt>
                <c:pt idx="4">
                  <c:v>0</c:v>
                </c:pt>
              </c:numCache>
            </c:numRef>
          </c:val>
          <c:extLst>
            <c:ext xmlns:c16="http://schemas.microsoft.com/office/drawing/2014/chart" uri="{C3380CC4-5D6E-409C-BE32-E72D297353CC}">
              <c16:uniqueId val="{00000017-8894-4CF1-9702-03CA73AE35C2}"/>
            </c:ext>
          </c:extLst>
        </c:ser>
        <c:ser>
          <c:idx val="24"/>
          <c:order val="24"/>
          <c:tx>
            <c:strRef>
              <c:f>'Results (2)'!$A$26</c:f>
              <c:strCache>
                <c:ptCount val="1"/>
                <c:pt idx="0">
                  <c:v>End of life</c:v>
                </c:pt>
              </c:strCache>
            </c:strRef>
          </c:tx>
          <c:spPr>
            <a:solidFill>
              <a:schemeClr val="accent1">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(2)'!$D$26:$X$26</c:f>
              <c:numCache>
                <c:formatCode>General</c:formatCode>
                <c:ptCount val="21"/>
                <c:pt idx="3">
                  <c:v>0.15919871392941176</c:v>
                </c:pt>
                <c:pt idx="4">
                  <c:v>2.7862059562039212</c:v>
                </c:pt>
              </c:numCache>
            </c:numRef>
          </c:val>
          <c:extLst>
            <c:ext xmlns:c16="http://schemas.microsoft.com/office/drawing/2014/chart" uri="{C3380CC4-5D6E-409C-BE32-E72D297353CC}">
              <c16:uniqueId val="{00000018-8894-4CF1-9702-03CA73AE35C2}"/>
            </c:ext>
          </c:extLst>
        </c:ser>
        <c:dLbls>
          <c:showLegendKey val="0"/>
          <c:showVal val="0"/>
          <c:showCatName val="0"/>
          <c:showSerName val="0"/>
          <c:showPercent val="0"/>
          <c:showBubbleSize val="0"/>
        </c:dLbls>
        <c:gapWidth val="150"/>
        <c:overlap val="100"/>
        <c:axId val="558631024"/>
        <c:axId val="589440176"/>
      </c:barChart>
      <c:catAx>
        <c:axId val="5586310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89440176"/>
        <c:crossesAt val="0"/>
        <c:auto val="1"/>
        <c:lblAlgn val="ctr"/>
        <c:lblOffset val="100"/>
        <c:noMultiLvlLbl val="0"/>
      </c:catAx>
      <c:valAx>
        <c:axId val="58944017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5863102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716230555736779"/>
          <c:y val="9.1237605715952158E-2"/>
          <c:w val="0.5624389915892446"/>
          <c:h val="0.8229111986001750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E8-40EC-9BB7-918C1DB0EB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E8-40EC-9BB7-918C1DB0EB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E8-40EC-9BB7-918C1DB0EB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E8-40EC-9BB7-918C1DB0EB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E8-40EC-9BB7-918C1DB0EB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E8-40EC-9BB7-918C1DB0EB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2E8-40EC-9BB7-918C1DB0EB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2E8-40EC-9BB7-918C1DB0EB3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2E8-40EC-9BB7-918C1DB0EB3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(2)'!$A$15:$A$23</c:f>
              <c:strCache>
                <c:ptCount val="9"/>
                <c:pt idx="0">
                  <c:v>UV/O₃ cleaning</c:v>
                </c:pt>
                <c:pt idx="1">
                  <c:v>HTL sputtering</c:v>
                </c:pt>
                <c:pt idx="2">
                  <c:v>Inert gas purging</c:v>
                </c:pt>
                <c:pt idx="3">
                  <c:v>PL 1st-step spin coating</c:v>
                </c:pt>
                <c:pt idx="4">
                  <c:v>PL 2nd-step spin coating</c:v>
                </c:pt>
                <c:pt idx="5">
                  <c:v>PL treatment</c:v>
                </c:pt>
                <c:pt idx="6">
                  <c:v>ETL 1st-step spin coating</c:v>
                </c:pt>
                <c:pt idx="7">
                  <c:v>ETL 2nd-step spin coating</c:v>
                </c:pt>
                <c:pt idx="8">
                  <c:v>Electrode sputtering</c:v>
                </c:pt>
              </c:strCache>
            </c:strRef>
          </c:cat>
          <c:val>
            <c:numRef>
              <c:f>'Results (2)'!$C$15:$C$23</c:f>
              <c:numCache>
                <c:formatCode>General</c:formatCode>
                <c:ptCount val="9"/>
                <c:pt idx="0">
                  <c:v>0.57461372577289094</c:v>
                </c:pt>
                <c:pt idx="1">
                  <c:v>91.867957145325505</c:v>
                </c:pt>
                <c:pt idx="2">
                  <c:v>34.351907519031528</c:v>
                </c:pt>
                <c:pt idx="3">
                  <c:v>120.54309059218431</c:v>
                </c:pt>
                <c:pt idx="4">
                  <c:v>214.29882771943875</c:v>
                </c:pt>
                <c:pt idx="5">
                  <c:v>2.9979846562063877</c:v>
                </c:pt>
                <c:pt idx="6">
                  <c:v>4.3752677326052076</c:v>
                </c:pt>
                <c:pt idx="7">
                  <c:v>4.4645589108216415</c:v>
                </c:pt>
                <c:pt idx="8">
                  <c:v>136.10168979027861</c:v>
                </c:pt>
              </c:numCache>
            </c:numRef>
          </c:val>
          <c:extLst>
            <c:ext xmlns:c16="http://schemas.microsoft.com/office/drawing/2014/chart" uri="{C3380CC4-5D6E-409C-BE32-E72D297353CC}">
              <c16:uniqueId val="{00000012-F2E8-40EC-9BB7-918C1DB0EB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0"/>
          <c:y val="0.10185185185185185"/>
          <c:w val="0.43623091569421918"/>
          <c:h val="0.7870370370370370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1771650</xdr:colOff>
      <xdr:row>28</xdr:row>
      <xdr:rowOff>180975</xdr:rowOff>
    </xdr:from>
    <xdr:to>
      <xdr:col>12</xdr:col>
      <xdr:colOff>238125</xdr:colOff>
      <xdr:row>54</xdr:row>
      <xdr:rowOff>114300</xdr:rowOff>
    </xdr:to>
    <xdr:graphicFrame macro="">
      <xdr:nvGraphicFramePr>
        <xdr:cNvPr id="2" name="Chart 1">
          <a:extLst>
            <a:ext uri="{FF2B5EF4-FFF2-40B4-BE49-F238E27FC236}">
              <a16:creationId xmlns:a16="http://schemas.microsoft.com/office/drawing/2014/main" id="{D3E7419C-A35B-4150-A527-E3AA85BCC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47</xdr:row>
      <xdr:rowOff>47328</xdr:rowOff>
    </xdr:from>
    <xdr:to>
      <xdr:col>21</xdr:col>
      <xdr:colOff>342873</xdr:colOff>
      <xdr:row>61</xdr:row>
      <xdr:rowOff>123528</xdr:rowOff>
    </xdr:to>
    <xdr:graphicFrame macro="">
      <xdr:nvGraphicFramePr>
        <xdr:cNvPr id="7" name="Chart 6">
          <a:extLst>
            <a:ext uri="{FF2B5EF4-FFF2-40B4-BE49-F238E27FC236}">
              <a16:creationId xmlns:a16="http://schemas.microsoft.com/office/drawing/2014/main" id="{7749D521-1AE4-426A-A73F-476718696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32</xdr:row>
      <xdr:rowOff>0</xdr:rowOff>
    </xdr:from>
    <xdr:to>
      <xdr:col>21</xdr:col>
      <xdr:colOff>342874</xdr:colOff>
      <xdr:row>46</xdr:row>
      <xdr:rowOff>76200</xdr:rowOff>
    </xdr:to>
    <xdr:graphicFrame macro="">
      <xdr:nvGraphicFramePr>
        <xdr:cNvPr id="8" name="Chart 7">
          <a:extLst>
            <a:ext uri="{FF2B5EF4-FFF2-40B4-BE49-F238E27FC236}">
              <a16:creationId xmlns:a16="http://schemas.microsoft.com/office/drawing/2014/main" id="{066310C4-5076-487A-B7C0-D7D8CA473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19</xdr:row>
      <xdr:rowOff>40283</xdr:rowOff>
    </xdr:from>
    <xdr:to>
      <xdr:col>13</xdr:col>
      <xdr:colOff>329553</xdr:colOff>
      <xdr:row>33</xdr:row>
      <xdr:rowOff>116483</xdr:rowOff>
    </xdr:to>
    <xdr:graphicFrame macro="">
      <xdr:nvGraphicFramePr>
        <xdr:cNvPr id="4" name="Chart 3">
          <a:extLst>
            <a:ext uri="{FF2B5EF4-FFF2-40B4-BE49-F238E27FC236}">
              <a16:creationId xmlns:a16="http://schemas.microsoft.com/office/drawing/2014/main" id="{E2EF5361-FC40-43BE-B821-8C028D8B0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13</xdr:col>
      <xdr:colOff>329553</xdr:colOff>
      <xdr:row>18</xdr:row>
      <xdr:rowOff>76200</xdr:rowOff>
    </xdr:to>
    <xdr:graphicFrame macro="">
      <xdr:nvGraphicFramePr>
        <xdr:cNvPr id="5" name="Chart 4">
          <a:extLst>
            <a:ext uri="{FF2B5EF4-FFF2-40B4-BE49-F238E27FC236}">
              <a16:creationId xmlns:a16="http://schemas.microsoft.com/office/drawing/2014/main" id="{628D720B-B042-41D6-8BB8-8F26F7B88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514350</xdr:colOff>
      <xdr:row>1</xdr:row>
      <xdr:rowOff>9525</xdr:rowOff>
    </xdr:from>
    <xdr:to>
      <xdr:col>29</xdr:col>
      <xdr:colOff>135834</xdr:colOff>
      <xdr:row>15</xdr:row>
      <xdr:rowOff>85725</xdr:rowOff>
    </xdr:to>
    <xdr:graphicFrame macro="">
      <xdr:nvGraphicFramePr>
        <xdr:cNvPr id="2" name="Chart 1">
          <a:extLst>
            <a:ext uri="{FF2B5EF4-FFF2-40B4-BE49-F238E27FC236}">
              <a16:creationId xmlns:a16="http://schemas.microsoft.com/office/drawing/2014/main" id="{337E3E37-E185-4CE0-AB1E-649276623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128587</xdr:colOff>
      <xdr:row>18</xdr:row>
      <xdr:rowOff>9525</xdr:rowOff>
    </xdr:from>
    <xdr:to>
      <xdr:col>29</xdr:col>
      <xdr:colOff>384519</xdr:colOff>
      <xdr:row>32</xdr:row>
      <xdr:rowOff>85725</xdr:rowOff>
    </xdr:to>
    <xdr:graphicFrame macro="">
      <xdr:nvGraphicFramePr>
        <xdr:cNvPr id="3" name="Chart 2">
          <a:extLst>
            <a:ext uri="{FF2B5EF4-FFF2-40B4-BE49-F238E27FC236}">
              <a16:creationId xmlns:a16="http://schemas.microsoft.com/office/drawing/2014/main" id="{66137CE2-85F5-42A0-B138-07973C3AC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13</xdr:row>
      <xdr:rowOff>0</xdr:rowOff>
    </xdr:from>
    <xdr:to>
      <xdr:col>10</xdr:col>
      <xdr:colOff>494476</xdr:colOff>
      <xdr:row>34</xdr:row>
      <xdr:rowOff>47119</xdr:rowOff>
    </xdr:to>
    <xdr:pic>
      <xdr:nvPicPr>
        <xdr:cNvPr id="4" name="Picture 3">
          <a:extLst>
            <a:ext uri="{FF2B5EF4-FFF2-40B4-BE49-F238E27FC236}">
              <a16:creationId xmlns:a16="http://schemas.microsoft.com/office/drawing/2014/main" id="{A44FE4AD-DD37-4847-B15E-0ED4BFBB803C}"/>
            </a:ext>
          </a:extLst>
        </xdr:cNvPr>
        <xdr:cNvPicPr>
          <a:picLocks noChangeAspect="1"/>
        </xdr:cNvPicPr>
      </xdr:nvPicPr>
      <xdr:blipFill>
        <a:blip xmlns:r="http://schemas.openxmlformats.org/officeDocument/2006/relationships" r:embed="rId3"/>
        <a:stretch>
          <a:fillRect/>
        </a:stretch>
      </xdr:blipFill>
      <xdr:spPr>
        <a:xfrm>
          <a:off x="0" y="2476500"/>
          <a:ext cx="6590476" cy="4047619"/>
        </a:xfrm>
        <a:prstGeom prst="rect">
          <a:avLst/>
        </a:prstGeom>
      </xdr:spPr>
    </xdr:pic>
    <xdr:clientData/>
  </xdr:twoCellAnchor>
  <xdr:twoCellAnchor editAs="oneCell">
    <xdr:from>
      <xdr:col>11</xdr:col>
      <xdr:colOff>0</xdr:colOff>
      <xdr:row>13</xdr:row>
      <xdr:rowOff>0</xdr:rowOff>
    </xdr:from>
    <xdr:to>
      <xdr:col>21</xdr:col>
      <xdr:colOff>494476</xdr:colOff>
      <xdr:row>34</xdr:row>
      <xdr:rowOff>47119</xdr:rowOff>
    </xdr:to>
    <xdr:pic>
      <xdr:nvPicPr>
        <xdr:cNvPr id="5" name="Picture 4">
          <a:extLst>
            <a:ext uri="{FF2B5EF4-FFF2-40B4-BE49-F238E27FC236}">
              <a16:creationId xmlns:a16="http://schemas.microsoft.com/office/drawing/2014/main" id="{6AB4CEDB-EB23-45C6-A8E7-CC61F298729B}"/>
            </a:ext>
          </a:extLst>
        </xdr:cNvPr>
        <xdr:cNvPicPr>
          <a:picLocks noChangeAspect="1"/>
        </xdr:cNvPicPr>
      </xdr:nvPicPr>
      <xdr:blipFill>
        <a:blip xmlns:r="http://schemas.openxmlformats.org/officeDocument/2006/relationships" r:embed="rId4"/>
        <a:stretch>
          <a:fillRect/>
        </a:stretch>
      </xdr:blipFill>
      <xdr:spPr>
        <a:xfrm>
          <a:off x="6705600" y="2476500"/>
          <a:ext cx="6590476" cy="40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1771650</xdr:colOff>
      <xdr:row>28</xdr:row>
      <xdr:rowOff>180975</xdr:rowOff>
    </xdr:from>
    <xdr:to>
      <xdr:col>12</xdr:col>
      <xdr:colOff>238125</xdr:colOff>
      <xdr:row>54</xdr:row>
      <xdr:rowOff>114300</xdr:rowOff>
    </xdr:to>
    <xdr:graphicFrame macro="">
      <xdr:nvGraphicFramePr>
        <xdr:cNvPr id="2" name="Chart 1">
          <a:extLst>
            <a:ext uri="{FF2B5EF4-FFF2-40B4-BE49-F238E27FC236}">
              <a16:creationId xmlns:a16="http://schemas.microsoft.com/office/drawing/2014/main" id="{8F2EE735-42FB-4BB1-946A-B311DD161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47</xdr:row>
      <xdr:rowOff>47328</xdr:rowOff>
    </xdr:from>
    <xdr:to>
      <xdr:col>21</xdr:col>
      <xdr:colOff>342873</xdr:colOff>
      <xdr:row>61</xdr:row>
      <xdr:rowOff>123528</xdr:rowOff>
    </xdr:to>
    <xdr:graphicFrame macro="">
      <xdr:nvGraphicFramePr>
        <xdr:cNvPr id="3" name="Chart 2">
          <a:extLst>
            <a:ext uri="{FF2B5EF4-FFF2-40B4-BE49-F238E27FC236}">
              <a16:creationId xmlns:a16="http://schemas.microsoft.com/office/drawing/2014/main" id="{5AC32182-B832-4665-B15B-AC725EE47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32</xdr:row>
      <xdr:rowOff>0</xdr:rowOff>
    </xdr:from>
    <xdr:to>
      <xdr:col>21</xdr:col>
      <xdr:colOff>342874</xdr:colOff>
      <xdr:row>46</xdr:row>
      <xdr:rowOff>76200</xdr:rowOff>
    </xdr:to>
    <xdr:graphicFrame macro="">
      <xdr:nvGraphicFramePr>
        <xdr:cNvPr id="4" name="Chart 3">
          <a:extLst>
            <a:ext uri="{FF2B5EF4-FFF2-40B4-BE49-F238E27FC236}">
              <a16:creationId xmlns:a16="http://schemas.microsoft.com/office/drawing/2014/main" id="{92E2746F-4286-4975-985A-7B3FDB52A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ther%20invento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_Raw%20materials-updat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_Raw%20material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cycling/Macro-enable/Module_7_Semi-transparent_recycl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I2"/>
      <sheetName val="CH3NH3I"/>
      <sheetName val="FTO glass"/>
      <sheetName val="ITO glass"/>
      <sheetName val="BL-TiO2 ink"/>
      <sheetName val="spiro-OMeTAD"/>
      <sheetName val="C60"/>
      <sheetName val="PCBM_old"/>
      <sheetName val="PCBM_new"/>
      <sheetName val="PCBM"/>
      <sheetName val="Thiophene"/>
      <sheetName val="PEDOT PSS"/>
    </sheetNames>
    <sheetDataSet>
      <sheetData sheetId="0">
        <row r="18">
          <cell r="D18">
            <v>4.5641478346943822</v>
          </cell>
          <cell r="M18">
            <v>54.273073573167295</v>
          </cell>
          <cell r="N18">
            <v>1.0468647769178421</v>
          </cell>
          <cell r="O18">
            <v>3.8979307535263539</v>
          </cell>
          <cell r="P18">
            <v>1.0346162212323682</v>
          </cell>
          <cell r="Q18">
            <v>7.1263336550358825E-2</v>
          </cell>
          <cell r="R18">
            <v>1.9784839253897545E-3</v>
          </cell>
          <cell r="S18">
            <v>155.93446269487751</v>
          </cell>
          <cell r="T18">
            <v>0.19160131588715665</v>
          </cell>
          <cell r="U18">
            <v>78.202403056174219</v>
          </cell>
          <cell r="V18">
            <v>5.15849037985647E-3</v>
          </cell>
          <cell r="W18">
            <v>0.63220118225686706</v>
          </cell>
          <cell r="X18">
            <v>6.6310885300668149E-4</v>
          </cell>
          <cell r="Y18">
            <v>4.462579856471171E-7</v>
          </cell>
          <cell r="Z18">
            <v>1.1047205555555552E-2</v>
          </cell>
          <cell r="AA18">
            <v>1.554942625587726E-2</v>
          </cell>
          <cell r="AB18">
            <v>3.125296795347686E-2</v>
          </cell>
          <cell r="AC18">
            <v>5.3766239785944065E-3</v>
          </cell>
          <cell r="AD18">
            <v>4.0204006328878987E-2</v>
          </cell>
          <cell r="AE18">
            <v>1.1739803605543183E-2</v>
          </cell>
          <cell r="AF18">
            <v>0.19118482430091563</v>
          </cell>
          <cell r="AG18">
            <v>1.2205381316505814</v>
          </cell>
          <cell r="AH18">
            <v>0.15340474263796092</v>
          </cell>
        </row>
      </sheetData>
      <sheetData sheetId="1">
        <row r="17">
          <cell r="D17">
            <v>161.5361359123435</v>
          </cell>
          <cell r="M17">
            <v>3431.2608150330084</v>
          </cell>
          <cell r="N17">
            <v>16.135752796779965</v>
          </cell>
          <cell r="O17">
            <v>147.82446722719141</v>
          </cell>
          <cell r="P17">
            <v>68.175556314847952</v>
          </cell>
          <cell r="Q17">
            <v>5.572385187119858</v>
          </cell>
          <cell r="R17">
            <v>0.13118079564400717</v>
          </cell>
          <cell r="S17">
            <v>6537.4459293381042</v>
          </cell>
          <cell r="T17">
            <v>15.803840549194994</v>
          </cell>
          <cell r="U17">
            <v>4972.9006245080509</v>
          </cell>
          <cell r="V17">
            <v>0.2099851833631485</v>
          </cell>
          <cell r="W17">
            <v>11.809114722719142</v>
          </cell>
          <cell r="X17">
            <v>3.1179799194991059E-2</v>
          </cell>
          <cell r="Y17">
            <v>5.3447523288014325E-5</v>
          </cell>
          <cell r="Z17">
            <v>0.48246033041144909</v>
          </cell>
          <cell r="AA17">
            <v>0.64966431082289811</v>
          </cell>
          <cell r="AB17">
            <v>1.2243395606440073</v>
          </cell>
          <cell r="AC17">
            <v>0.23228549325581402</v>
          </cell>
          <cell r="AD17">
            <v>2.2316178839892671</v>
          </cell>
          <cell r="AE17">
            <v>2.8985800698926663</v>
          </cell>
          <cell r="AF17">
            <v>9.2571725205724515</v>
          </cell>
          <cell r="AG17">
            <v>51.018806940966016</v>
          </cell>
          <cell r="AH17">
            <v>8.7229145447227197</v>
          </cell>
        </row>
      </sheetData>
      <sheetData sheetId="2">
        <row r="41">
          <cell r="D41">
            <v>0.6900927939999999</v>
          </cell>
        </row>
      </sheetData>
      <sheetData sheetId="3">
        <row r="14">
          <cell r="D14">
            <v>16.837863429999999</v>
          </cell>
          <cell r="M14">
            <v>292.22870408888105</v>
          </cell>
          <cell r="N14">
            <v>5.4035999599999995E-2</v>
          </cell>
          <cell r="O14">
            <v>15.863857979999999</v>
          </cell>
          <cell r="P14">
            <v>6.8711502629999996</v>
          </cell>
          <cell r="Q14">
            <v>8.2522552700000001E-2</v>
          </cell>
          <cell r="R14">
            <v>1.0550032339999998E-3</v>
          </cell>
          <cell r="S14">
            <v>165.51815009999999</v>
          </cell>
          <cell r="T14">
            <v>0.16734019</v>
          </cell>
          <cell r="U14">
            <v>66.525372399999995</v>
          </cell>
          <cell r="V14">
            <v>1.5045233709999998E-2</v>
          </cell>
          <cell r="W14">
            <v>0.64124742970000004</v>
          </cell>
          <cell r="X14">
            <v>2.6055490222000001E-3</v>
          </cell>
          <cell r="Y14">
            <v>1.3754312987000001E-6</v>
          </cell>
          <cell r="Z14">
            <v>1.994535221E-2</v>
          </cell>
          <cell r="AA14">
            <v>4.8864307230000001E-2</v>
          </cell>
          <cell r="AB14">
            <v>7.2168691110000002E-2</v>
          </cell>
          <cell r="AC14">
            <v>7.877002793E-3</v>
          </cell>
          <cell r="AD14">
            <v>1.5844954200000001E-2</v>
          </cell>
          <cell r="AE14">
            <v>1.0150023860000001E-2</v>
          </cell>
          <cell r="AF14">
            <v>0.48907124690000003</v>
          </cell>
          <cell r="AG14">
            <v>1.723918898</v>
          </cell>
          <cell r="AH14">
            <v>0.8537033906</v>
          </cell>
        </row>
      </sheetData>
      <sheetData sheetId="4">
        <row r="14">
          <cell r="D14">
            <v>1.816623717028</v>
          </cell>
        </row>
      </sheetData>
      <sheetData sheetId="5">
        <row r="33">
          <cell r="D33">
            <v>121.5468471027569</v>
          </cell>
        </row>
      </sheetData>
      <sheetData sheetId="6"/>
      <sheetData sheetId="7"/>
      <sheetData sheetId="8">
        <row r="16">
          <cell r="D16">
            <v>681.91697298744145</v>
          </cell>
          <cell r="M16">
            <v>20963.550633835541</v>
          </cell>
          <cell r="N16">
            <v>763.99552434711529</v>
          </cell>
          <cell r="O16">
            <v>597.06772602486365</v>
          </cell>
          <cell r="P16">
            <v>348.06289101984487</v>
          </cell>
          <cell r="Q16">
            <v>5.3775961105543297</v>
          </cell>
          <cell r="R16">
            <v>0.13271588828861239</v>
          </cell>
          <cell r="S16">
            <v>7165.0173510440027</v>
          </cell>
          <cell r="T16">
            <v>25.374355056999235</v>
          </cell>
          <cell r="U16">
            <v>4742.3459329305997</v>
          </cell>
          <cell r="V16">
            <v>1.1953303231434604</v>
          </cell>
          <cell r="W16">
            <v>12.616109833757365</v>
          </cell>
          <cell r="X16">
            <v>8.9207254500477479E-2</v>
          </cell>
          <cell r="Y16">
            <v>4.1859545047078204E-5</v>
          </cell>
          <cell r="Z16">
            <v>2.3364182419567134</v>
          </cell>
          <cell r="AA16">
            <v>4.1986226704285547</v>
          </cell>
          <cell r="AB16">
            <v>3.9109659041271785</v>
          </cell>
          <cell r="AC16">
            <v>0.59999899116636124</v>
          </cell>
          <cell r="AD16">
            <v>12.705158632673276</v>
          </cell>
          <cell r="AE16">
            <v>1.4390130773760741</v>
          </cell>
          <cell r="AF16">
            <v>41.714776626245644</v>
          </cell>
          <cell r="AG16">
            <v>73.165210516319974</v>
          </cell>
          <cell r="AH16">
            <v>42.322515920880583</v>
          </cell>
        </row>
      </sheetData>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row>
        <row r="46">
          <cell r="D46">
            <v>2.6876000000000002</v>
          </cell>
          <cell r="M46">
            <v>40.380196750000003</v>
          </cell>
          <cell r="N46">
            <v>0.14061999999999999</v>
          </cell>
          <cell r="O46">
            <v>2.4859</v>
          </cell>
          <cell r="P46">
            <v>0.71387</v>
          </cell>
          <cell r="Q46">
            <v>3.5333999999999997E-2</v>
          </cell>
          <cell r="R46">
            <v>1.4566E-3</v>
          </cell>
          <cell r="S46">
            <v>46.789000000000001</v>
          </cell>
          <cell r="T46">
            <v>0.41410999999999998</v>
          </cell>
          <cell r="U46">
            <v>40.326999999999998</v>
          </cell>
          <cell r="V46">
            <v>2.4256999999999998E-3</v>
          </cell>
          <cell r="W46">
            <v>3.2414999999999999E-2</v>
          </cell>
          <cell r="X46">
            <v>2.9548999999999998E-4</v>
          </cell>
          <cell r="Y46">
            <v>1.4875000000000001E-7</v>
          </cell>
          <cell r="Z46">
            <v>8.3315000000000004E-3</v>
          </cell>
          <cell r="AA46">
            <v>6.6281999999999999E-3</v>
          </cell>
          <cell r="AB46">
            <v>1.3127E-2</v>
          </cell>
          <cell r="AC46">
            <v>8.9937000000000003E-4</v>
          </cell>
          <cell r="AD46">
            <v>1.5989E-2</v>
          </cell>
          <cell r="AE46">
            <v>1.0525E-2</v>
          </cell>
          <cell r="AF46">
            <v>0.10639</v>
          </cell>
          <cell r="AG46">
            <v>0.42542000000000002</v>
          </cell>
          <cell r="AH46">
            <v>8.7106000000000003E-2</v>
          </cell>
        </row>
        <row r="69">
          <cell r="D69">
            <v>0.46997</v>
          </cell>
          <cell r="M69">
            <v>6.4030815109999999</v>
          </cell>
          <cell r="N69">
            <v>1.8482999999999999E-2</v>
          </cell>
          <cell r="O69">
            <v>0.43381999999999998</v>
          </cell>
          <cell r="P69">
            <v>0.12280000000000001</v>
          </cell>
          <cell r="Q69">
            <v>5.6743999999999996E-3</v>
          </cell>
          <cell r="R69">
            <v>2.3049E-4</v>
          </cell>
          <cell r="S69">
            <v>7.6722999999999999</v>
          </cell>
          <cell r="T69">
            <v>4.7706999999999999E-2</v>
          </cell>
          <cell r="U69">
            <v>6.5601000000000003</v>
          </cell>
          <cell r="V69">
            <v>4.2883999999999999E-4</v>
          </cell>
          <cell r="W69">
            <v>4.7990999999999997E-3</v>
          </cell>
          <cell r="X69">
            <v>5.0970999999999997E-5</v>
          </cell>
          <cell r="Y69">
            <v>2.131E-8</v>
          </cell>
          <cell r="Z69">
            <v>1.5837E-3</v>
          </cell>
          <cell r="AA69">
            <v>1.1862999999999999E-3</v>
          </cell>
          <cell r="AB69">
            <v>2.3213999999999999E-3</v>
          </cell>
          <cell r="AC69">
            <v>1.4876000000000001E-4</v>
          </cell>
          <cell r="AD69">
            <v>2.8249999999999998E-3</v>
          </cell>
          <cell r="AE69">
            <v>1.7237000000000001E-3</v>
          </cell>
          <cell r="AF69">
            <v>1.7965999999999999E-2</v>
          </cell>
          <cell r="AG69">
            <v>7.1259000000000003E-2</v>
          </cell>
          <cell r="AH69">
            <v>1.4947999999999999E-2</v>
          </cell>
        </row>
        <row r="91">
          <cell r="D91">
            <v>1.1845000000000001</v>
          </cell>
          <cell r="M91">
            <v>16.137803399999999</v>
          </cell>
          <cell r="N91">
            <v>4.6581999999999998E-2</v>
          </cell>
          <cell r="O91">
            <v>1.0933999999999999</v>
          </cell>
          <cell r="P91">
            <v>0.30948999999999999</v>
          </cell>
          <cell r="Q91">
            <v>1.4300999999999999E-2</v>
          </cell>
          <cell r="R91">
            <v>5.8091999999999996E-4</v>
          </cell>
          <cell r="S91">
            <v>19.337</v>
          </cell>
          <cell r="T91">
            <v>0.12024</v>
          </cell>
          <cell r="U91">
            <v>16.533999999999999</v>
          </cell>
          <cell r="V91">
            <v>1.0808E-3</v>
          </cell>
          <cell r="W91">
            <v>1.2095E-2</v>
          </cell>
          <cell r="X91">
            <v>1.2846E-4</v>
          </cell>
          <cell r="Y91">
            <v>5.3706999999999999E-8</v>
          </cell>
          <cell r="Z91">
            <v>3.9915000000000003E-3</v>
          </cell>
          <cell r="AA91">
            <v>2.9899000000000002E-3</v>
          </cell>
          <cell r="AB91">
            <v>5.8507000000000003E-3</v>
          </cell>
          <cell r="AC91">
            <v>3.7492999999999999E-4</v>
          </cell>
          <cell r="AD91">
            <v>7.1199999999999996E-3</v>
          </cell>
          <cell r="AE91">
            <v>4.3444E-3</v>
          </cell>
          <cell r="AF91">
            <v>4.5281000000000002E-2</v>
          </cell>
          <cell r="AG91">
            <v>0.17960000000000001</v>
          </cell>
          <cell r="AH91">
            <v>3.7673999999999999E-2</v>
          </cell>
        </row>
        <row r="134">
          <cell r="D134">
            <v>13.891</v>
          </cell>
          <cell r="M134">
            <v>194.32411869999999</v>
          </cell>
          <cell r="N134">
            <v>0.57881000000000005</v>
          </cell>
          <cell r="O134">
            <v>13.111000000000001</v>
          </cell>
          <cell r="P134">
            <v>3.7694999999999999</v>
          </cell>
          <cell r="Q134">
            <v>1.4311</v>
          </cell>
          <cell r="R134">
            <v>2.2005E-2</v>
          </cell>
          <cell r="S134">
            <v>1643.6</v>
          </cell>
          <cell r="T134">
            <v>0.86177000000000004</v>
          </cell>
          <cell r="U134">
            <v>1648</v>
          </cell>
          <cell r="V134">
            <v>3.7101000000000002E-2</v>
          </cell>
          <cell r="W134">
            <v>0.28599999999999998</v>
          </cell>
          <cell r="X134">
            <v>4.8180999999999996E-3</v>
          </cell>
          <cell r="Y134">
            <v>1.2787999999999999E-6</v>
          </cell>
          <cell r="Z134">
            <v>0.29781000000000002</v>
          </cell>
          <cell r="AA134">
            <v>0.20660000000000001</v>
          </cell>
          <cell r="AB134">
            <v>1.3729</v>
          </cell>
          <cell r="AC134">
            <v>1.8852000000000001E-2</v>
          </cell>
          <cell r="AD134">
            <v>0.42607</v>
          </cell>
          <cell r="AE134">
            <v>5.9415000000000003E-2</v>
          </cell>
          <cell r="AF134">
            <v>1.6820999999999999</v>
          </cell>
          <cell r="AG134">
            <v>12.398999999999999</v>
          </cell>
          <cell r="AH134">
            <v>0.46515000000000001</v>
          </cell>
        </row>
      </sheetData>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row>
        <row r="7">
          <cell r="D7">
            <v>0.70992</v>
          </cell>
          <cell r="M7">
            <v>12.491602724200002</v>
          </cell>
          <cell r="N7">
            <v>8.1276999999999999E-4</v>
          </cell>
          <cell r="O7">
            <v>0.66998999999999997</v>
          </cell>
          <cell r="P7">
            <v>0.2959</v>
          </cell>
          <cell r="Q7">
            <v>2.5509999999999999E-3</v>
          </cell>
          <cell r="R7">
            <v>1.2449000000000001E-5</v>
          </cell>
          <cell r="S7">
            <v>5.2184999999999997</v>
          </cell>
          <cell r="T7">
            <v>4.2230000000000002E-3</v>
          </cell>
          <cell r="U7">
            <v>1.5693999999999999</v>
          </cell>
          <cell r="V7">
            <v>6.1474999999999995E-4</v>
          </cell>
          <cell r="W7">
            <v>2.9989999999999999E-3</v>
          </cell>
          <cell r="X7">
            <v>1.1035E-4</v>
          </cell>
          <cell r="Y7">
            <v>5.9294000000000001E-8</v>
          </cell>
          <cell r="Z7">
            <v>7.4861999999999997E-4</v>
          </cell>
          <cell r="AA7">
            <v>2.0135999999999999E-3</v>
          </cell>
          <cell r="AB7">
            <v>2.8999999999999998E-3</v>
          </cell>
          <cell r="AC7">
            <v>5.1903000000000001E-5</v>
          </cell>
          <cell r="AD7">
            <v>3.2011000000000002E-4</v>
          </cell>
          <cell r="AE7">
            <v>8.0185999999999994E-5</v>
          </cell>
          <cell r="AF7">
            <v>1.9613999999999999E-2</v>
          </cell>
          <cell r="AG7">
            <v>6.0482000000000001E-2</v>
          </cell>
          <cell r="AH7">
            <v>3.5621E-2</v>
          </cell>
        </row>
        <row r="54">
          <cell r="D54">
            <v>1.3996</v>
          </cell>
          <cell r="M54">
            <v>41.582470999999998</v>
          </cell>
          <cell r="N54">
            <v>1.1153999999999999</v>
          </cell>
          <cell r="O54">
            <v>1.2186999999999999</v>
          </cell>
          <cell r="P54">
            <v>0.34281</v>
          </cell>
          <cell r="Q54">
            <v>3.4125999999999997E-2</v>
          </cell>
          <cell r="R54">
            <v>5.6773000000000001E-4</v>
          </cell>
          <cell r="S54">
            <v>16.718</v>
          </cell>
          <cell r="T54">
            <v>8.7052000000000004E-2</v>
          </cell>
          <cell r="U54">
            <v>13.432</v>
          </cell>
          <cell r="V54">
            <v>6.2411999999999997E-3</v>
          </cell>
          <cell r="W54">
            <v>5.4462000000000003E-2</v>
          </cell>
          <cell r="X54">
            <v>1.0508E-3</v>
          </cell>
          <cell r="Y54">
            <v>8.8975000000000001E-8</v>
          </cell>
          <cell r="Z54">
            <v>3.9167000000000004E-3</v>
          </cell>
          <cell r="AA54">
            <v>4.1108999999999998E-3</v>
          </cell>
          <cell r="AB54">
            <v>1.2865E-2</v>
          </cell>
          <cell r="AC54">
            <v>8.2140000000000008E-3</v>
          </cell>
          <cell r="AD54">
            <v>5.9778999999999999E-2</v>
          </cell>
          <cell r="AE54">
            <v>0.37369000000000002</v>
          </cell>
          <cell r="AF54">
            <v>0.34144999999999998</v>
          </cell>
          <cell r="AG54">
            <v>0.16486999999999999</v>
          </cell>
          <cell r="AH54">
            <v>4.3631999999999997E-2</v>
          </cell>
        </row>
        <row r="75">
          <cell r="D75">
            <v>2.8612000000000002</v>
          </cell>
          <cell r="M75">
            <v>77.822580110000004</v>
          </cell>
          <cell r="N75">
            <v>0.11645</v>
          </cell>
          <cell r="O75">
            <v>2.5897999999999999</v>
          </cell>
          <cell r="P75">
            <v>1.7415</v>
          </cell>
          <cell r="Q75">
            <v>3.6441000000000001E-2</v>
          </cell>
          <cell r="R75">
            <v>9.8305000000000007E-4</v>
          </cell>
          <cell r="S75">
            <v>59.360999999999997</v>
          </cell>
          <cell r="T75">
            <v>0.25631999999999999</v>
          </cell>
          <cell r="U75">
            <v>38.563000000000002</v>
          </cell>
          <cell r="V75">
            <v>1.2496999999999999E-2</v>
          </cell>
          <cell r="W75">
            <v>0.16675999999999999</v>
          </cell>
          <cell r="X75">
            <v>1.0935000000000001E-3</v>
          </cell>
          <cell r="Y75">
            <v>5.2045000000000003E-7</v>
          </cell>
          <cell r="Z75">
            <v>7.2179000000000002E-3</v>
          </cell>
          <cell r="AA75">
            <v>8.7553000000000006E-3</v>
          </cell>
          <cell r="AB75">
            <v>1.839E-2</v>
          </cell>
          <cell r="AC75">
            <v>1.839E-2</v>
          </cell>
          <cell r="AD75">
            <v>2.2100999999999999E-2</v>
          </cell>
          <cell r="AE75">
            <v>7.7352999999999996E-3</v>
          </cell>
          <cell r="AF75">
            <v>0.11523</v>
          </cell>
          <cell r="AG75">
            <v>0.51175000000000004</v>
          </cell>
          <cell r="AH75">
            <v>0.21654000000000001</v>
          </cell>
        </row>
        <row r="86">
          <cell r="D86">
            <v>1.2645999999999999</v>
          </cell>
          <cell r="M86">
            <v>15.434422170000001</v>
          </cell>
          <cell r="N86">
            <v>2.0381E-2</v>
          </cell>
          <cell r="O86">
            <v>1.1857</v>
          </cell>
          <cell r="P86">
            <v>0.34519</v>
          </cell>
          <cell r="Q86">
            <v>4.0217999999999997E-2</v>
          </cell>
          <cell r="R86">
            <v>5.4253999999999999E-4</v>
          </cell>
          <cell r="S86">
            <v>42.197000000000003</v>
          </cell>
          <cell r="T86">
            <v>5.8255000000000001E-2</v>
          </cell>
          <cell r="U86">
            <v>62.276000000000003</v>
          </cell>
          <cell r="V86">
            <v>1.3056999999999999E-3</v>
          </cell>
          <cell r="W86">
            <v>6.9872000000000004E-2</v>
          </cell>
          <cell r="X86">
            <v>1.5105000000000001E-4</v>
          </cell>
          <cell r="Y86">
            <v>1.4922000000000001E-7</v>
          </cell>
          <cell r="Z86">
            <v>3.0906000000000002E-3</v>
          </cell>
          <cell r="AA86">
            <v>4.1773000000000001E-3</v>
          </cell>
          <cell r="AB86">
            <v>4.1773000000000001E-3</v>
          </cell>
          <cell r="AC86">
            <v>1.1643999999999999E-3</v>
          </cell>
          <cell r="AD86">
            <v>1.1643999999999999E-3</v>
          </cell>
          <cell r="AE86">
            <v>1.9116999999999999E-3</v>
          </cell>
          <cell r="AF86">
            <v>5.9662E-2</v>
          </cell>
          <cell r="AG86">
            <v>0.33512999999999998</v>
          </cell>
          <cell r="AH86">
            <v>4.4637000000000003E-2</v>
          </cell>
        </row>
        <row r="103">
          <cell r="D103">
            <v>5.4259E-3</v>
          </cell>
          <cell r="M103">
            <v>0.17365606929999999</v>
          </cell>
          <cell r="N103">
            <v>2.8051999999999998E-4</v>
          </cell>
          <cell r="O103">
            <v>5.1062E-3</v>
          </cell>
          <cell r="P103">
            <v>4.0477000000000004E-3</v>
          </cell>
          <cell r="Q103">
            <v>2.4984999999999999E-5</v>
          </cell>
          <cell r="R103">
            <v>6.018E-7</v>
          </cell>
          <cell r="S103">
            <v>3.8490000000000003E-2</v>
          </cell>
          <cell r="T103">
            <v>7.4255000000000002E-4</v>
          </cell>
          <cell r="U103">
            <v>2.7300999999999999E-2</v>
          </cell>
          <cell r="V103">
            <v>1.7286999999999999E-5</v>
          </cell>
          <cell r="W103">
            <v>2.1064E-4</v>
          </cell>
          <cell r="X103">
            <v>-3.9805999999999998E-5</v>
          </cell>
          <cell r="Y103">
            <v>1.908E-9</v>
          </cell>
          <cell r="Z103">
            <v>1.8263000000000001E-5</v>
          </cell>
          <cell r="AA103">
            <v>5.5226000000000003E-5</v>
          </cell>
          <cell r="AB103">
            <v>4.6202000000000003E-5</v>
          </cell>
          <cell r="AC103">
            <v>5.57E-6</v>
          </cell>
          <cell r="AD103">
            <v>1.0223000000000001E-3</v>
          </cell>
          <cell r="AE103">
            <v>7.3827999999999999E-6</v>
          </cell>
          <cell r="AF103">
            <v>4.1576999999999999E-4</v>
          </cell>
          <cell r="AG103">
            <v>4.8026999999999998E-4</v>
          </cell>
          <cell r="AH103">
            <v>4.9516000000000002E-4</v>
          </cell>
        </row>
        <row r="115">
          <cell r="D115">
            <v>0.80154000000000003</v>
          </cell>
          <cell r="M115">
            <v>12.575862069999998</v>
          </cell>
          <cell r="N115">
            <v>2.9536E-2</v>
          </cell>
          <cell r="O115">
            <v>0.74443999999999999</v>
          </cell>
          <cell r="P115">
            <v>0.26512999999999998</v>
          </cell>
          <cell r="Q115">
            <v>1.9755000000000002E-2</v>
          </cell>
          <cell r="R115">
            <v>3.4016999999999999E-4</v>
          </cell>
          <cell r="S115">
            <v>19.242000000000001</v>
          </cell>
          <cell r="T115">
            <v>5.4441000000000003E-2</v>
          </cell>
          <cell r="U115">
            <v>17.335999999999999</v>
          </cell>
          <cell r="V115">
            <v>7.1546000000000001E-4</v>
          </cell>
          <cell r="W115">
            <v>8.6176000000000003E-2</v>
          </cell>
          <cell r="X115">
            <v>1.5542999999999999E-4</v>
          </cell>
          <cell r="Y115">
            <v>6.0777000000000002E-8</v>
          </cell>
          <cell r="Z115">
            <v>1.5740999999999999E-3</v>
          </cell>
          <cell r="AA115">
            <v>2.1741E-3</v>
          </cell>
          <cell r="AB115">
            <v>2.9742000000000002E-3</v>
          </cell>
          <cell r="AC115">
            <v>2.5177999999999999E-2</v>
          </cell>
          <cell r="AD115">
            <v>9.7198000000000007E-3</v>
          </cell>
          <cell r="AE115">
            <v>2.6665999999999999E-3</v>
          </cell>
          <cell r="AF115">
            <v>4.4498999999999997E-2</v>
          </cell>
          <cell r="AG115">
            <v>0.15937999999999999</v>
          </cell>
          <cell r="AH115">
            <v>3.5762000000000002E-2</v>
          </cell>
        </row>
        <row r="116">
          <cell r="D116">
            <v>29.731000000000002</v>
          </cell>
          <cell r="M116">
            <v>390.41273720000004</v>
          </cell>
          <cell r="N116">
            <v>0.86484000000000005</v>
          </cell>
          <cell r="O116">
            <v>27.587</v>
          </cell>
          <cell r="P116">
            <v>7.9557000000000002</v>
          </cell>
          <cell r="Q116">
            <v>0.96638000000000002</v>
          </cell>
          <cell r="R116">
            <v>2.9080999999999999E-2</v>
          </cell>
          <cell r="S116">
            <v>1977.5</v>
          </cell>
          <cell r="T116">
            <v>1.7395</v>
          </cell>
          <cell r="U116">
            <v>1190.5</v>
          </cell>
          <cell r="V116">
            <v>4.6462999999999997E-2</v>
          </cell>
          <cell r="W116">
            <v>26.738</v>
          </cell>
          <cell r="X116">
            <v>4.7511999999999997E-3</v>
          </cell>
          <cell r="Y116">
            <v>1.8187000000000001E-6</v>
          </cell>
          <cell r="Z116">
            <v>9.9134E-2</v>
          </cell>
          <cell r="AA116">
            <v>0.15209</v>
          </cell>
          <cell r="AB116">
            <v>0.24771000000000001</v>
          </cell>
          <cell r="AC116">
            <v>0.29025000000000001</v>
          </cell>
          <cell r="AD116">
            <v>0.33433000000000002</v>
          </cell>
          <cell r="AE116">
            <v>0.38036999999999999</v>
          </cell>
          <cell r="AF116">
            <v>1.7601</v>
          </cell>
          <cell r="AG116">
            <v>14.596</v>
          </cell>
          <cell r="AH116">
            <v>2.1949000000000001</v>
          </cell>
        </row>
      </sheetData>
      <sheetData sheetId="1"/>
      <sheetData sheetId="2"/>
      <sheetData sheetId="3"/>
      <sheetData sheetId="4">
        <row r="15">
          <cell r="D15">
            <v>0</v>
          </cell>
          <cell r="M15">
            <v>0</v>
          </cell>
          <cell r="N15"/>
          <cell r="O15"/>
          <cell r="P15"/>
          <cell r="Q15">
            <v>1.0511520897095683E-5</v>
          </cell>
          <cell r="R15"/>
          <cell r="S15">
            <v>1.4366951661669828E-2</v>
          </cell>
          <cell r="T15"/>
          <cell r="U15">
            <v>1.7867815068253627E-5</v>
          </cell>
          <cell r="V15"/>
          <cell r="W15"/>
          <cell r="X15"/>
          <cell r="Y15"/>
          <cell r="Z15"/>
          <cell r="AA15">
            <v>0.67398648648648651</v>
          </cell>
          <cell r="AB15"/>
          <cell r="AC15">
            <v>3.7179897031113646E-5</v>
          </cell>
          <cell r="AD15"/>
          <cell r="AE15"/>
          <cell r="AF15">
            <v>8.1614583487299999E-6</v>
          </cell>
          <cell r="AG15">
            <v>3.5455940620700001E-4</v>
          </cell>
          <cell r="AH15"/>
        </row>
        <row r="28">
          <cell r="D28">
            <v>0</v>
          </cell>
          <cell r="M28">
            <v>0</v>
          </cell>
          <cell r="N28"/>
          <cell r="O28"/>
          <cell r="P28"/>
          <cell r="Q28"/>
          <cell r="R28"/>
          <cell r="S28"/>
          <cell r="T28"/>
          <cell r="U28"/>
          <cell r="V28"/>
          <cell r="W28"/>
          <cell r="X28"/>
          <cell r="Y28"/>
          <cell r="Z28"/>
          <cell r="AA28"/>
          <cell r="AB28"/>
          <cell r="AC28"/>
          <cell r="AD28"/>
          <cell r="AE28"/>
          <cell r="AF28"/>
          <cell r="AG28"/>
          <cell r="AH28"/>
        </row>
      </sheetData>
      <sheetData sheetId="5">
        <row r="4">
          <cell r="D4">
            <v>4.5641478346943822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iral inventory"/>
      <sheetName val="SA"/>
      <sheetName val="energy inventory"/>
      <sheetName val="Results"/>
      <sheetName val="CB_DATA_"/>
      <sheetName val="uncertainty"/>
    </sheetNames>
    <sheetDataSet>
      <sheetData sheetId="0">
        <row r="13">
          <cell r="L13" t="str">
            <v>ITO glass</v>
          </cell>
          <cell r="M13">
            <v>1.6837863429999995</v>
          </cell>
          <cell r="N13">
            <v>29.222870408888099</v>
          </cell>
        </row>
        <row r="14">
          <cell r="L14" t="str">
            <v>Ni</v>
          </cell>
          <cell r="M14">
            <v>8.8120058880000011E-3</v>
          </cell>
          <cell r="N14">
            <v>0.1232730025314816</v>
          </cell>
        </row>
        <row r="15">
          <cell r="L15" t="str">
            <v>PbI₂</v>
          </cell>
          <cell r="M15">
            <v>3.7615529770640022E-3</v>
          </cell>
          <cell r="N15">
            <v>4.472927890759943E-2</v>
          </cell>
        </row>
        <row r="16">
          <cell r="L16" t="str">
            <v>DMF</v>
          </cell>
          <cell r="M16">
            <v>5.5650324248804721E-3</v>
          </cell>
          <cell r="N16">
            <v>0.15136487547183283</v>
          </cell>
        </row>
        <row r="17">
          <cell r="L17" t="str">
            <v>MAI</v>
          </cell>
          <cell r="M17">
            <v>4.0852260795166184E-2</v>
          </cell>
          <cell r="N17">
            <v>0.86776101755973556</v>
          </cell>
        </row>
        <row r="18">
          <cell r="L18" t="str">
            <v>MACl</v>
          </cell>
          <cell r="M18">
            <v>6.0750870841095503E-5</v>
          </cell>
          <cell r="N18">
            <v>7.223991426678969E-4</v>
          </cell>
        </row>
        <row r="19">
          <cell r="L19" t="str">
            <v>Ethanol</v>
          </cell>
          <cell r="M19">
            <v>5.8794098163324465E-3</v>
          </cell>
          <cell r="N19">
            <v>0.17467875691966225</v>
          </cell>
        </row>
        <row r="20">
          <cell r="L20" t="str">
            <v>Nitrogen</v>
          </cell>
          <cell r="M20">
            <v>0.85753647703738045</v>
          </cell>
          <cell r="N20">
            <v>11.683460563708593</v>
          </cell>
        </row>
        <row r="21">
          <cell r="L21" t="str">
            <v>PCBM</v>
          </cell>
          <cell r="M21">
            <v>6.819169729874415E-2</v>
          </cell>
          <cell r="N21">
            <v>2.0963550633835544</v>
          </cell>
        </row>
        <row r="22">
          <cell r="L22" t="str">
            <v>AZO</v>
          </cell>
          <cell r="M22">
            <v>3.0227406682730926E-4</v>
          </cell>
          <cell r="N22">
            <v>4.6933677216494775E-3</v>
          </cell>
        </row>
        <row r="23">
          <cell r="L23" t="str">
            <v>ITO</v>
          </cell>
          <cell r="M23">
            <v>5.0437571184000017E-2</v>
          </cell>
          <cell r="N23">
            <v>0.662321153801261</v>
          </cell>
        </row>
        <row r="24">
          <cell r="L24" t="str">
            <v>Ar</v>
          </cell>
          <cell r="M24">
            <v>0.98799433696969696</v>
          </cell>
          <cell r="N24">
            <v>14.844249782230303</v>
          </cell>
        </row>
        <row r="25">
          <cell r="L25" t="str">
            <v>O₂</v>
          </cell>
          <cell r="M25">
            <v>5.9453010977304082E-4</v>
          </cell>
          <cell r="N25">
            <v>8.0999662531850997E-3</v>
          </cell>
        </row>
        <row r="26">
          <cell r="L26" t="str">
            <v>Direct emissions</v>
          </cell>
          <cell r="M26">
            <v>0</v>
          </cell>
          <cell r="N26">
            <v>0</v>
          </cell>
        </row>
        <row r="44">
          <cell r="M44">
            <v>8.4370316282724334E-4</v>
          </cell>
          <cell r="N44">
            <v>2.7002741464560154E-2</v>
          </cell>
        </row>
      </sheetData>
      <sheetData sheetId="1"/>
      <sheetData sheetId="2">
        <row r="5">
          <cell r="I5" t="str">
            <v>UV/O₃ cleaning</v>
          </cell>
          <cell r="J5">
            <v>3.2656320026125049E-2</v>
          </cell>
          <cell r="K5">
            <v>0.57461372577289094</v>
          </cell>
        </row>
        <row r="6">
          <cell r="I6" t="str">
            <v>HTL sputtering</v>
          </cell>
          <cell r="J6">
            <v>5.2210193981162085</v>
          </cell>
          <cell r="K6">
            <v>91.867957145325505</v>
          </cell>
        </row>
        <row r="7">
          <cell r="I7" t="str">
            <v>Inert gas purging</v>
          </cell>
          <cell r="J7">
            <v>1.9522800015618238</v>
          </cell>
          <cell r="K7">
            <v>34.351907519031528</v>
          </cell>
        </row>
        <row r="8">
          <cell r="I8" t="str">
            <v>PL 1st-step spin coating</v>
          </cell>
          <cell r="J8">
            <v>6.8506782326191873</v>
          </cell>
          <cell r="K8">
            <v>120.54309059218431</v>
          </cell>
        </row>
        <row r="9">
          <cell r="I9" t="str">
            <v>PL 2nd-step spin coating</v>
          </cell>
          <cell r="J9">
            <v>12.178983524656331</v>
          </cell>
          <cell r="K9">
            <v>214.29882771943875</v>
          </cell>
        </row>
        <row r="10">
          <cell r="I10" t="str">
            <v>PL treatment</v>
          </cell>
          <cell r="J10">
            <v>0.17038080013630461</v>
          </cell>
          <cell r="K10">
            <v>2.9979846562063877</v>
          </cell>
        </row>
        <row r="11">
          <cell r="I11" t="str">
            <v>ETL 1st-step spin coating</v>
          </cell>
          <cell r="J11">
            <v>0.24865424696173338</v>
          </cell>
          <cell r="K11">
            <v>4.3752677326052076</v>
          </cell>
        </row>
        <row r="12">
          <cell r="I12" t="str">
            <v>ETL 2nd-step spin coating</v>
          </cell>
          <cell r="J12">
            <v>0.25372882343034026</v>
          </cell>
          <cell r="K12">
            <v>4.4645589108216415</v>
          </cell>
        </row>
        <row r="13">
          <cell r="I13" t="str">
            <v>Electrode sputtering</v>
          </cell>
          <cell r="J13">
            <v>7.7349010970970102</v>
          </cell>
          <cell r="K13">
            <v>136.10168979027861</v>
          </cell>
        </row>
      </sheetData>
      <sheetData sheetId="3">
        <row r="1">
          <cell r="G1" t="str">
            <v>carbon footprint</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2"/>
  <sheetViews>
    <sheetView workbookViewId="0">
      <selection activeCell="A5" sqref="A5"/>
    </sheetView>
  </sheetViews>
  <sheetFormatPr defaultRowHeight="15" x14ac:dyDescent="0.25"/>
  <cols>
    <col min="1" max="1" width="18.85546875" customWidth="1"/>
    <col min="2" max="2" width="18" style="41" customWidth="1"/>
    <col min="3" max="6" width="18" customWidth="1"/>
    <col min="7" max="7" width="13.140625" customWidth="1"/>
    <col min="12" max="12" width="18.140625" customWidth="1"/>
    <col min="13" max="14" width="17.140625" customWidth="1"/>
    <col min="15" max="15" width="14.42578125" customWidth="1"/>
  </cols>
  <sheetData>
    <row r="1" spans="1:36" ht="34.5" customHeight="1" x14ac:dyDescent="0.25">
      <c r="A1" s="3" t="s">
        <v>0</v>
      </c>
      <c r="B1" s="38" t="s">
        <v>1</v>
      </c>
      <c r="C1" s="1" t="s">
        <v>2</v>
      </c>
      <c r="D1" s="1" t="s">
        <v>3</v>
      </c>
      <c r="E1" s="1" t="s">
        <v>4</v>
      </c>
      <c r="F1" s="2" t="s">
        <v>5</v>
      </c>
      <c r="L1" s="33"/>
      <c r="M1" s="37"/>
      <c r="N1" s="37"/>
      <c r="O1" s="80" t="s">
        <v>39</v>
      </c>
      <c r="P1" s="80"/>
      <c r="Q1" s="80"/>
      <c r="R1" s="80"/>
      <c r="S1" s="80"/>
      <c r="T1" s="80"/>
      <c r="U1" s="80"/>
      <c r="V1" s="80"/>
      <c r="W1" s="80"/>
      <c r="X1" s="80"/>
      <c r="Y1" s="80"/>
      <c r="Z1" s="80"/>
      <c r="AA1" s="80"/>
      <c r="AB1" s="80"/>
      <c r="AC1" s="80"/>
      <c r="AD1" s="80"/>
      <c r="AE1" s="80"/>
      <c r="AF1" s="80"/>
      <c r="AG1" s="81" t="s">
        <v>40</v>
      </c>
      <c r="AH1" s="81"/>
      <c r="AI1" s="81"/>
    </row>
    <row r="2" spans="1:36" x14ac:dyDescent="0.25">
      <c r="A2" s="42" t="s">
        <v>6</v>
      </c>
      <c r="B2" s="39"/>
      <c r="C2" s="3"/>
      <c r="D2" s="3"/>
      <c r="E2" s="3"/>
      <c r="F2" s="3"/>
      <c r="L2" s="29"/>
      <c r="M2" s="30" t="s">
        <v>68</v>
      </c>
      <c r="N2" s="30" t="s">
        <v>69</v>
      </c>
      <c r="O2" s="31" t="s">
        <v>41</v>
      </c>
      <c r="P2" s="31" t="s">
        <v>42</v>
      </c>
      <c r="Q2" s="31" t="s">
        <v>43</v>
      </c>
      <c r="R2" s="31" t="s">
        <v>44</v>
      </c>
      <c r="S2" s="31" t="s">
        <v>45</v>
      </c>
      <c r="T2" s="31" t="s">
        <v>46</v>
      </c>
      <c r="U2" s="31" t="s">
        <v>47</v>
      </c>
      <c r="V2" s="31" t="s">
        <v>48</v>
      </c>
      <c r="W2" s="31" t="s">
        <v>49</v>
      </c>
      <c r="X2" s="31" t="s">
        <v>50</v>
      </c>
      <c r="Y2" s="31" t="s">
        <v>51</v>
      </c>
      <c r="Z2" s="31" t="s">
        <v>52</v>
      </c>
      <c r="AA2" s="31" t="s">
        <v>53</v>
      </c>
      <c r="AB2" s="31" t="s">
        <v>54</v>
      </c>
      <c r="AC2" s="31" t="s">
        <v>55</v>
      </c>
      <c r="AD2" s="31" t="s">
        <v>56</v>
      </c>
      <c r="AE2" s="31" t="s">
        <v>57</v>
      </c>
      <c r="AF2" s="31" t="s">
        <v>58</v>
      </c>
      <c r="AG2" s="32" t="s">
        <v>59</v>
      </c>
      <c r="AH2" s="32" t="s">
        <v>60</v>
      </c>
      <c r="AI2" s="32" t="s">
        <v>61</v>
      </c>
    </row>
    <row r="3" spans="1:36" x14ac:dyDescent="0.25">
      <c r="A3" s="6" t="s">
        <v>7</v>
      </c>
      <c r="B3" s="39" t="s">
        <v>18</v>
      </c>
      <c r="C3" s="3">
        <v>1</v>
      </c>
      <c r="D3" s="3" t="s">
        <v>18</v>
      </c>
      <c r="E3" s="3">
        <v>1</v>
      </c>
      <c r="F3" s="8">
        <v>1.54</v>
      </c>
      <c r="G3" s="3" t="s">
        <v>19</v>
      </c>
      <c r="H3" s="3"/>
      <c r="I3" s="3"/>
      <c r="J3" s="3"/>
      <c r="K3" s="3"/>
      <c r="L3" s="6" t="s">
        <v>7</v>
      </c>
      <c r="M3" s="15">
        <f>1*'[1]ITO glass'!$D$14</f>
        <v>16.837863429999999</v>
      </c>
      <c r="N3" s="15">
        <f>1*'[1]ITO glass'!M14</f>
        <v>292.22870408888105</v>
      </c>
      <c r="O3" s="15">
        <f>1*'[1]ITO glass'!N14</f>
        <v>5.4035999599999995E-2</v>
      </c>
      <c r="P3" s="15">
        <f>1*'[1]ITO glass'!O14</f>
        <v>15.863857979999999</v>
      </c>
      <c r="Q3" s="15">
        <f>1*'[1]ITO glass'!P14</f>
        <v>6.8711502629999996</v>
      </c>
      <c r="R3" s="15">
        <f>1*'[1]ITO glass'!Q14</f>
        <v>8.2522552700000001E-2</v>
      </c>
      <c r="S3" s="15">
        <f>1*'[1]ITO glass'!R14</f>
        <v>1.0550032339999998E-3</v>
      </c>
      <c r="T3" s="15">
        <f>1*'[1]ITO glass'!S14</f>
        <v>165.51815009999999</v>
      </c>
      <c r="U3" s="15">
        <f>1*'[1]ITO glass'!T14</f>
        <v>0.16734019</v>
      </c>
      <c r="V3" s="15">
        <f>1*'[1]ITO glass'!U14</f>
        <v>66.525372399999995</v>
      </c>
      <c r="W3" s="15">
        <f>1*'[1]ITO glass'!V14</f>
        <v>1.5045233709999998E-2</v>
      </c>
      <c r="X3" s="15">
        <f>1*'[1]ITO glass'!W14</f>
        <v>0.64124742970000004</v>
      </c>
      <c r="Y3" s="15">
        <f>1*'[1]ITO glass'!X14</f>
        <v>2.6055490222000001E-3</v>
      </c>
      <c r="Z3" s="15">
        <f>1*'[1]ITO glass'!Y14</f>
        <v>1.3754312987000001E-6</v>
      </c>
      <c r="AA3" s="15">
        <f>1*'[1]ITO glass'!Z14</f>
        <v>1.994535221E-2</v>
      </c>
      <c r="AB3" s="15">
        <f>1*'[1]ITO glass'!AA14</f>
        <v>4.8864307230000001E-2</v>
      </c>
      <c r="AC3" s="15">
        <f>1*'[1]ITO glass'!AB14</f>
        <v>7.2168691110000002E-2</v>
      </c>
      <c r="AD3" s="15">
        <f>1*'[1]ITO glass'!AC14</f>
        <v>7.877002793E-3</v>
      </c>
      <c r="AE3" s="15">
        <f>1*'[1]ITO glass'!AD14</f>
        <v>1.5844954200000001E-2</v>
      </c>
      <c r="AF3" s="15">
        <f>1*'[1]ITO glass'!AE14</f>
        <v>1.0150023860000001E-2</v>
      </c>
      <c r="AG3" s="15">
        <f>1*'[1]ITO glass'!AF14</f>
        <v>0.48907124690000003</v>
      </c>
      <c r="AH3" s="15">
        <f>1*'[1]ITO glass'!AG14</f>
        <v>1.723918898</v>
      </c>
      <c r="AI3" s="15">
        <f>1*'[1]ITO glass'!AH14</f>
        <v>0.8537033906</v>
      </c>
      <c r="AJ3" s="15"/>
    </row>
    <row r="4" spans="1:36" x14ac:dyDescent="0.25">
      <c r="A4" s="42" t="s">
        <v>8</v>
      </c>
      <c r="B4" s="39"/>
      <c r="C4" s="3"/>
      <c r="D4" s="3"/>
      <c r="E4" s="3"/>
      <c r="F4" s="8"/>
      <c r="G4" s="3"/>
      <c r="H4" s="3"/>
      <c r="I4" s="3"/>
      <c r="J4" s="3"/>
      <c r="K4" s="3"/>
      <c r="L4" s="6" t="s">
        <v>70</v>
      </c>
      <c r="M4" s="15">
        <f>$F$5*[2]production!D134</f>
        <v>8.8120058880000011E-3</v>
      </c>
      <c r="N4" s="15">
        <f>$F$5*[2]production!M134</f>
        <v>0.1232730025314816</v>
      </c>
      <c r="O4" s="15">
        <f>$F$5*[2]production!N134</f>
        <v>3.6717854208000004E-4</v>
      </c>
      <c r="P4" s="15">
        <f>$F$5*[2]production!O134</f>
        <v>8.3171988480000014E-3</v>
      </c>
      <c r="Q4" s="15">
        <f>$F$5*[2]production!P134</f>
        <v>2.3912501760000003E-3</v>
      </c>
      <c r="R4" s="15">
        <f>$F$5*[2]production!Q134</f>
        <v>9.0784404480000007E-4</v>
      </c>
      <c r="S4" s="15">
        <f>$F$5*[2]production!R134</f>
        <v>1.3959267840000002E-5</v>
      </c>
      <c r="T4" s="15">
        <f>$F$5*[2]production!S134</f>
        <v>1.0426472448000002</v>
      </c>
      <c r="U4" s="15">
        <f>$F$5*[2]production!T134</f>
        <v>5.4667931136000007E-4</v>
      </c>
      <c r="V4" s="15">
        <f>$F$5*[2]production!U134</f>
        <v>1.0454384640000001</v>
      </c>
      <c r="W4" s="15">
        <f>$F$5*[2]production!V134</f>
        <v>2.3535687168000003E-5</v>
      </c>
      <c r="X4" s="15">
        <f>$F$5*[2]production!W134</f>
        <v>1.81429248E-4</v>
      </c>
      <c r="Y4" s="15">
        <f>$F$5*[2]production!X134</f>
        <v>3.0564484608000003E-6</v>
      </c>
      <c r="Z4" s="15">
        <f>$F$5*[2]production!Y134</f>
        <v>8.1122979840000009E-10</v>
      </c>
      <c r="AA4" s="15">
        <f>$F$5*[2]production!Z134</f>
        <v>1.8892113408000002E-4</v>
      </c>
      <c r="AB4" s="15">
        <f>$F$5*[2]production!AA134</f>
        <v>1.3106042880000002E-4</v>
      </c>
      <c r="AC4" s="15">
        <f>$F$5*[2]production!AB134</f>
        <v>8.7092382720000013E-4</v>
      </c>
      <c r="AD4" s="15">
        <f>$F$5*[2]production!AC134</f>
        <v>1.1959105536000002E-5</v>
      </c>
      <c r="AE4" s="15">
        <f>$F$5*[2]production!AD134</f>
        <v>2.7028517376000003E-4</v>
      </c>
      <c r="AF4" s="15">
        <f>$F$5*[2]production!AE134</f>
        <v>3.7690974720000005E-5</v>
      </c>
      <c r="AG4" s="15">
        <f>$F$5*[2]production!AF134</f>
        <v>1.0670704128E-3</v>
      </c>
      <c r="AH4" s="15">
        <f>$F$5*[2]production!AG134</f>
        <v>7.8655288320000002E-3</v>
      </c>
      <c r="AI4" s="15">
        <f>$F$5*[2]production!AH134</f>
        <v>2.9507627520000001E-4</v>
      </c>
    </row>
    <row r="5" spans="1:36" x14ac:dyDescent="0.25">
      <c r="A5" s="6" t="s">
        <v>70</v>
      </c>
      <c r="B5" s="39">
        <v>70</v>
      </c>
      <c r="C5" s="3">
        <v>0.8</v>
      </c>
      <c r="D5" s="3">
        <v>6840</v>
      </c>
      <c r="E5" s="3">
        <v>0.5</v>
      </c>
      <c r="F5" s="8">
        <f>B5/1000000000*C5*D5/E5/75*59/0.95</f>
        <v>6.3436800000000006E-4</v>
      </c>
      <c r="G5" s="3" t="s">
        <v>22</v>
      </c>
      <c r="H5" s="3"/>
      <c r="I5" s="3"/>
      <c r="J5" s="3"/>
      <c r="K5" s="3"/>
      <c r="L5" s="6" t="s">
        <v>66</v>
      </c>
      <c r="M5" s="15">
        <f>$F$9*[1]PbI2!D18</f>
        <v>3.7615529770640022E-3</v>
      </c>
      <c r="N5" s="15">
        <f>$F$9*[1]PbI2!M18</f>
        <v>4.472927890759943E-2</v>
      </c>
      <c r="O5" s="15">
        <f>$F$9*[1]PbI2!N18</f>
        <v>8.627760232184571E-4</v>
      </c>
      <c r="P5" s="15">
        <f>$F$9*[1]PbI2!O18</f>
        <v>3.2124886312535884E-3</v>
      </c>
      <c r="Q5" s="15">
        <f>$F$9*[1]PbI2!P18</f>
        <v>8.5268134776706177E-4</v>
      </c>
      <c r="R5" s="15">
        <f>$F$9*[1]PbI2!Q18</f>
        <v>5.8731843372568069E-5</v>
      </c>
      <c r="S5" s="15">
        <f>$F$9*[1]PbI2!R18</f>
        <v>1.6305720956388424E-6</v>
      </c>
      <c r="T5" s="15">
        <f>$F$9*[1]PbI2!S18</f>
        <v>0.12851374749916886</v>
      </c>
      <c r="U5" s="15">
        <f>$F$9*[1]PbI2!T18</f>
        <v>1.5790866691612631E-4</v>
      </c>
      <c r="V5" s="15">
        <f>$F$9*[1]PbI2!U18</f>
        <v>6.4450691056375131E-2</v>
      </c>
      <c r="W5" s="15">
        <f>$F$9*[1]PbI2!V18</f>
        <v>4.2513817580592057E-6</v>
      </c>
      <c r="X5" s="15">
        <f>$F$9*[1]PbI2!W18</f>
        <v>5.2103006417646765E-4</v>
      </c>
      <c r="Y5" s="15">
        <f>$F$9*[1]PbI2!X18</f>
        <v>5.4650269239401167E-7</v>
      </c>
      <c r="Z5" s="15">
        <f>$F$9*[1]PbI2!Y18</f>
        <v>3.6778454932801263E-10</v>
      </c>
      <c r="AA5" s="15">
        <f>$F$9*[1]PbI2!Z18</f>
        <v>9.1045799677784732E-6</v>
      </c>
      <c r="AB5" s="15">
        <f>$F$9*[1]PbI2!AA18</f>
        <v>1.2815095554052926E-5</v>
      </c>
      <c r="AC5" s="15">
        <f>$F$9*[1]PbI2!AB18</f>
        <v>2.5757205705270191E-5</v>
      </c>
      <c r="AD5" s="15">
        <f>$F$9*[1]PbI2!AC18</f>
        <v>4.4311570671526525E-6</v>
      </c>
      <c r="AE5" s="15">
        <f>$F$9*[1]PbI2!AD18</f>
        <v>3.3134224651253246E-5</v>
      </c>
      <c r="AF5" s="15">
        <f>$F$9*[1]PbI2!AE18</f>
        <v>9.6753862499580139E-6</v>
      </c>
      <c r="AG5" s="15">
        <f>$F$9*[1]PbI2!AF18</f>
        <v>1.5756541441360261E-4</v>
      </c>
      <c r="AH5" s="15">
        <f>$F$9*[1]PbI2!AG18</f>
        <v>1.0059093195516099E-3</v>
      </c>
      <c r="AI5" s="15">
        <f>$F$9*[1]PbI2!AH18</f>
        <v>1.2642887287286957E-4</v>
      </c>
      <c r="AJ5" s="15"/>
    </row>
    <row r="6" spans="1:36" x14ac:dyDescent="0.25">
      <c r="A6" s="44" t="s">
        <v>119</v>
      </c>
      <c r="B6" s="45"/>
      <c r="C6" s="44"/>
      <c r="D6" s="44"/>
      <c r="E6" s="44"/>
      <c r="F6" s="46">
        <f>20/10*10000/1000*1.784/1000*'energy inventory'!D7/60</f>
        <v>7.568484848484848E-2</v>
      </c>
      <c r="G6" s="44"/>
      <c r="H6" s="35"/>
      <c r="I6" s="35"/>
      <c r="J6" s="35"/>
      <c r="K6" s="35"/>
      <c r="L6" s="6" t="s">
        <v>20</v>
      </c>
      <c r="M6" s="15">
        <f>$F$10*[3]production!D75</f>
        <v>5.5650324248804721E-3</v>
      </c>
      <c r="N6" s="15">
        <f>$F$10*[3]production!M75</f>
        <v>0.15136487547183283</v>
      </c>
      <c r="O6" s="15">
        <f>$F$10*[3]production!N75</f>
        <v>2.2649518589309763E-4</v>
      </c>
      <c r="P6" s="15">
        <f>$F$10*[3]production!O75</f>
        <v>5.0371595742889153E-3</v>
      </c>
      <c r="Q6" s="15">
        <f>$F$10*[3]production!P75</f>
        <v>3.3872165412866429E-3</v>
      </c>
      <c r="R6" s="15">
        <f>$F$10*[3]production!Q75</f>
        <v>7.0877724938861063E-5</v>
      </c>
      <c r="S6" s="15">
        <f>$F$10*[3]production!R75</f>
        <v>1.9120317088210361E-6</v>
      </c>
      <c r="T6" s="15">
        <f>$F$10*[3]production!S75</f>
        <v>0.11545711232116933</v>
      </c>
      <c r="U6" s="15">
        <f>$F$10*[3]production!T75</f>
        <v>4.9854225889324846E-4</v>
      </c>
      <c r="V6" s="15">
        <f>$F$10*[3]production!U75</f>
        <v>7.5005013770678614E-2</v>
      </c>
      <c r="W6" s="15">
        <f>$F$10*[3]production!V75</f>
        <v>2.4306658120275149E-5</v>
      </c>
      <c r="X6" s="15">
        <f>$F$10*[3]production!W75</f>
        <v>3.2434810819693396E-4</v>
      </c>
      <c r="Y6" s="15">
        <f>$F$10*[3]production!X75</f>
        <v>2.1268568980171944E-6</v>
      </c>
      <c r="Z6" s="15">
        <f>$F$10*[3]production!Y75</f>
        <v>1.012274963487013E-9</v>
      </c>
      <c r="AA6" s="15">
        <f>$F$10*[3]production!Z75</f>
        <v>1.4038811526473075E-5</v>
      </c>
      <c r="AB6" s="15">
        <f>$F$10*[3]production!AA75</f>
        <v>1.7029053680118831E-5</v>
      </c>
      <c r="AC6" s="15">
        <f>$F$10*[3]production!AB75</f>
        <v>3.5768539876119071E-5</v>
      </c>
      <c r="AD6" s="15">
        <f>$F$10*[3]production!AC75</f>
        <v>3.5768539876119071E-5</v>
      </c>
      <c r="AE6" s="15">
        <f>$F$10*[3]production!AD75</f>
        <v>4.2986432833176044E-5</v>
      </c>
      <c r="AF6" s="15">
        <f>$F$10*[3]production!AE75</f>
        <v>1.5045154241639142E-5</v>
      </c>
      <c r="AG6" s="15">
        <f>$F$10*[3]production!AF75</f>
        <v>2.2412228656471997E-4</v>
      </c>
      <c r="AH6" s="15">
        <f>$F$10*[3]production!AG75</f>
        <v>9.9535346827645107E-4</v>
      </c>
      <c r="AI6" s="15">
        <f>$F$10*[3]production!AH75</f>
        <v>4.2117018079254072E-4</v>
      </c>
      <c r="AJ6" s="15"/>
    </row>
    <row r="7" spans="1:36" x14ac:dyDescent="0.25">
      <c r="A7" s="44" t="s">
        <v>120</v>
      </c>
      <c r="B7" s="45"/>
      <c r="C7" s="44"/>
      <c r="D7" s="44"/>
      <c r="E7" s="44"/>
      <c r="F7" s="46">
        <f>H7*1.2</f>
        <v>2.0999768275862071E-4</v>
      </c>
      <c r="G7" s="44"/>
      <c r="H7" s="8">
        <f>F5/58*16</f>
        <v>1.7499806896551726E-4</v>
      </c>
      <c r="I7" s="35"/>
      <c r="J7" s="35"/>
      <c r="K7" s="35"/>
      <c r="L7" s="6" t="s">
        <v>11</v>
      </c>
      <c r="M7" s="15">
        <f>$F$11*[1]CH3NH3I!D17</f>
        <v>4.0852260795166184E-2</v>
      </c>
      <c r="N7" s="15">
        <f>$F$11*[1]CH3NH3I!M17</f>
        <v>0.86776101755973556</v>
      </c>
      <c r="O7" s="15">
        <f>$F$11*[1]CH3NH3I!N17</f>
        <v>4.0807091098061668E-3</v>
      </c>
      <c r="P7" s="15">
        <f>$F$11*[1]CH3NH3I!O17</f>
        <v>3.738459913606404E-2</v>
      </c>
      <c r="Q7" s="15">
        <f>$F$11*[1]CH3NH3I!P17</f>
        <v>1.7241501975391049E-2</v>
      </c>
      <c r="R7" s="15">
        <f>$F$11*[1]CH3NH3I!Q17</f>
        <v>1.4092483494768696E-3</v>
      </c>
      <c r="S7" s="15">
        <f>$F$11*[1]CH3NH3I!R17</f>
        <v>3.3175438082005527E-5</v>
      </c>
      <c r="T7" s="15">
        <f>$F$11*[1]CH3NH3I!S17</f>
        <v>1.6533108491869659</v>
      </c>
      <c r="U7" s="15">
        <f>$F$11*[1]CH3NH3I!T17</f>
        <v>3.9967689708219779E-3</v>
      </c>
      <c r="V7" s="15">
        <f>$F$11*[1]CH3NH3I!U17</f>
        <v>1.2576395496490516</v>
      </c>
      <c r="W7" s="15">
        <f>$F$11*[1]CH3NH3I!V17</f>
        <v>5.3104956518999123E-5</v>
      </c>
      <c r="X7" s="15">
        <f>$F$11*[1]CH3NH3I!W17</f>
        <v>2.9865084470904139E-3</v>
      </c>
      <c r="Y7" s="15">
        <f>$F$11*[1]CH3NH3I!X17</f>
        <v>7.8853272121470548E-6</v>
      </c>
      <c r="Z7" s="15">
        <f>$F$11*[1]CH3NH3I!Y17</f>
        <v>1.3516803208679665E-8</v>
      </c>
      <c r="AA7" s="15">
        <f>$F$11*[1]CH3NH3I!Z17</f>
        <v>1.220135366614554E-4</v>
      </c>
      <c r="AB7" s="15">
        <f>$F$11*[1]CH3NH3I!AA17</f>
        <v>1.6429918733137724E-4</v>
      </c>
      <c r="AC7" s="15">
        <f>$F$11*[1]CH3NH3I!AB17</f>
        <v>3.0963374696798234E-4</v>
      </c>
      <c r="AD7" s="15">
        <f>$F$11*[1]CH3NH3I!AC17</f>
        <v>5.8744673418272689E-5</v>
      </c>
      <c r="AE7" s="15">
        <f>$F$11*[1]CH3NH3I!AD17</f>
        <v>5.643730133631364E-4</v>
      </c>
      <c r="AF7" s="15">
        <f>$F$11*[1]CH3NH3I!AE17</f>
        <v>7.330468088897616E-4</v>
      </c>
      <c r="AG7" s="15">
        <f>$F$11*[1]CH3NH3I!AF17</f>
        <v>2.34112586574119E-3</v>
      </c>
      <c r="AH7" s="15">
        <f>$F$11*[1]CH3NH3I!AG17</f>
        <v>1.290258427217532E-2</v>
      </c>
      <c r="AI7" s="15">
        <f>$F$11*[1]CH3NH3I!AH17</f>
        <v>2.2060127776507678E-3</v>
      </c>
      <c r="AJ7" s="15"/>
    </row>
    <row r="8" spans="1:36" x14ac:dyDescent="0.25">
      <c r="A8" s="42" t="s">
        <v>9</v>
      </c>
      <c r="B8" s="39"/>
      <c r="C8" s="3"/>
      <c r="D8" s="3"/>
      <c r="E8" s="3"/>
      <c r="F8" s="8"/>
      <c r="G8" s="3"/>
      <c r="H8" s="3"/>
      <c r="I8" s="3"/>
      <c r="J8" s="3"/>
      <c r="K8" s="3"/>
      <c r="L8" s="6" t="s">
        <v>12</v>
      </c>
      <c r="M8" s="15">
        <f>$F$12*[1]PbI2!D18</f>
        <v>6.0750870841095503E-5</v>
      </c>
      <c r="N8" s="15">
        <f>$F$12*[1]PbI2!M18</f>
        <v>7.223991426678969E-4</v>
      </c>
      <c r="O8" s="15">
        <f>$F$12*[1]PbI2!N18</f>
        <v>1.3934243401843408E-5</v>
      </c>
      <c r="P8" s="15">
        <f>$F$12*[1]PbI2!O18</f>
        <v>5.1883220336325944E-5</v>
      </c>
      <c r="Q8" s="15">
        <f>$F$12*[1]PbI2!P18</f>
        <v>1.3771209588875776E-5</v>
      </c>
      <c r="R8" s="15">
        <f>$F$12*[1]PbI2!Q18</f>
        <v>9.4854722311295639E-7</v>
      </c>
      <c r="S8" s="15">
        <f>$F$12*[1]PbI2!R18</f>
        <v>2.6334515393843482E-8</v>
      </c>
      <c r="T8" s="15">
        <f>$F$12*[1]PbI2!S18</f>
        <v>2.0755581865341695E-3</v>
      </c>
      <c r="U8" s="15">
        <f>$F$12*[1]PbI2!T18</f>
        <v>2.5503001252421111E-6</v>
      </c>
      <c r="V8" s="15">
        <f>$F$12*[1]PbI2!U18</f>
        <v>1.0409093350165447E-3</v>
      </c>
      <c r="W8" s="15">
        <f>$F$12*[1]PbI2!V18</f>
        <v>6.866183878171386E-8</v>
      </c>
      <c r="X8" s="15">
        <f>$F$12*[1]PbI2!W18</f>
        <v>8.4148835138348546E-6</v>
      </c>
      <c r="Y8" s="15">
        <f>$F$12*[1]PbI2!X18</f>
        <v>8.8262785829095207E-9</v>
      </c>
      <c r="Z8" s="15">
        <f>$F$12*[1]PbI2!Y18</f>
        <v>5.9398955138513385E-12</v>
      </c>
      <c r="AA8" s="15">
        <f>$F$12*[1]PbI2!Z18</f>
        <v>1.470432996843379E-7</v>
      </c>
      <c r="AB8" s="15">
        <f>$F$12*[1]PbI2!AA18</f>
        <v>2.0696989237360938E-7</v>
      </c>
      <c r="AC8" s="15">
        <f>$F$12*[1]PbI2!AB18</f>
        <v>4.1599113094234462E-7</v>
      </c>
      <c r="AD8" s="15">
        <f>$F$12*[1]PbI2!AC18</f>
        <v>7.156529558525955E-8</v>
      </c>
      <c r="AE8" s="15">
        <f>$F$12*[1]PbI2!AD18</f>
        <v>5.3513349791481055E-7</v>
      </c>
      <c r="AF8" s="15">
        <f>$F$12*[1]PbI2!AE18</f>
        <v>1.5626209280925662E-7</v>
      </c>
      <c r="AG8" s="15">
        <f>$F$12*[1]PbI2!AF18</f>
        <v>2.5447564339598531E-6</v>
      </c>
      <c r="AH8" s="15">
        <f>$F$12*[1]PbI2!AG18</f>
        <v>1.6245914260027803E-5</v>
      </c>
      <c r="AI8" s="15">
        <f>$F$12*[1]PbI2!AH18</f>
        <v>2.0418864690508641E-6</v>
      </c>
      <c r="AJ8" s="15"/>
    </row>
    <row r="9" spans="1:36" x14ac:dyDescent="0.25">
      <c r="A9" s="6" t="s">
        <v>10</v>
      </c>
      <c r="B9" s="39">
        <f>300/H11*H9</f>
        <v>100.34321945282694</v>
      </c>
      <c r="C9" s="3">
        <v>0.8</v>
      </c>
      <c r="D9" s="3">
        <v>6160</v>
      </c>
      <c r="E9" s="3">
        <v>0.6</v>
      </c>
      <c r="F9" s="8">
        <f>B9/1000000000*C9*D9/E9</f>
        <v>8.241523091058854E-4</v>
      </c>
      <c r="G9" s="3" t="s">
        <v>23</v>
      </c>
      <c r="H9" s="3">
        <f>(19/159+1/67.5)*461/6160/0.8</f>
        <v>1.2564464274369934E-2</v>
      </c>
      <c r="I9" s="3"/>
      <c r="J9" s="3"/>
      <c r="K9" s="3"/>
      <c r="L9" s="6" t="s">
        <v>21</v>
      </c>
      <c r="M9" s="15">
        <f>$F$13*[3]production!D54</f>
        <v>5.8794098163324465E-3</v>
      </c>
      <c r="N9" s="15">
        <f>$F$13*[3]production!M54</f>
        <v>0.17467875691966225</v>
      </c>
      <c r="O9" s="15">
        <f>$F$13*[3]production!N54</f>
        <v>4.6855485203895477E-3</v>
      </c>
      <c r="P9" s="15">
        <f>$F$13*[3]production!O54</f>
        <v>5.1194889562477504E-3</v>
      </c>
      <c r="Q9" s="15">
        <f>$F$13*[3]production!P54</f>
        <v>1.4400689333644797E-3</v>
      </c>
      <c r="R9" s="15">
        <f>$F$13*[3]production!Q54</f>
        <v>1.4335577264372752E-4</v>
      </c>
      <c r="S9" s="15">
        <f>$F$13*[3]production!R54</f>
        <v>2.3849080701817805E-6</v>
      </c>
      <c r="T9" s="15">
        <f>$F$13*[3]production!S54</f>
        <v>7.0228617683227954E-2</v>
      </c>
      <c r="U9" s="15">
        <f>$F$13*[3]production!T54</f>
        <v>3.6568618414645052E-4</v>
      </c>
      <c r="V9" s="15">
        <f>$F$13*[3]production!U54</f>
        <v>5.6424858997554603E-2</v>
      </c>
      <c r="W9" s="15">
        <f>$F$13*[3]production!V54</f>
        <v>2.6217899789721393E-5</v>
      </c>
      <c r="X9" s="15">
        <f>$F$13*[3]production!W54</f>
        <v>2.2878280752864941E-4</v>
      </c>
      <c r="Y9" s="15">
        <f>$F$13*[3]production!X54</f>
        <v>4.4141782187783187E-6</v>
      </c>
      <c r="Z9" s="15">
        <f>$F$13*[3]production!Y54</f>
        <v>3.7376428151484672E-10</v>
      </c>
      <c r="AA9" s="15">
        <f>$F$13*[3]production!Z54</f>
        <v>1.645318978824614E-5</v>
      </c>
      <c r="AB9" s="15">
        <f>$F$13*[3]production!AA54</f>
        <v>1.7268981004544909E-5</v>
      </c>
      <c r="AC9" s="15">
        <f>$F$13*[3]production!AB54</f>
        <v>5.4043017495796598E-5</v>
      </c>
      <c r="AD9" s="15">
        <f>$F$13*[3]production!AC54</f>
        <v>3.4505195935520666E-5</v>
      </c>
      <c r="AE9" s="15">
        <f>$F$13*[3]production!AD54</f>
        <v>2.5111834767829185E-4</v>
      </c>
      <c r="AF9" s="15">
        <f>$F$13*[3]production!AE54</f>
        <v>1.5697889784690427E-3</v>
      </c>
      <c r="AG9" s="15">
        <f>$F$13*[3]production!AF54</f>
        <v>1.4343558743831906E-3</v>
      </c>
      <c r="AH9" s="15">
        <f>$F$13*[3]production!AG54</f>
        <v>6.9258237812141359E-4</v>
      </c>
      <c r="AI9" s="15">
        <f>$F$13*[3]production!AH54</f>
        <v>1.8328837461147277E-4</v>
      </c>
      <c r="AJ9" s="15"/>
    </row>
    <row r="10" spans="1:36" x14ac:dyDescent="0.25">
      <c r="A10" s="6" t="s">
        <v>20</v>
      </c>
      <c r="B10" s="39"/>
      <c r="C10" s="3"/>
      <c r="D10" s="3">
        <v>944</v>
      </c>
      <c r="E10" s="3"/>
      <c r="F10" s="8">
        <f>F9/400*D10</f>
        <v>1.9449994494898895E-3</v>
      </c>
      <c r="G10" s="19" t="s">
        <v>23</v>
      </c>
      <c r="H10" s="3">
        <f>(19/1000+1/1000)/0.8</f>
        <v>2.4999999999999998E-2</v>
      </c>
      <c r="I10" s="3">
        <f>19/1000/0.8</f>
        <v>2.3749999999999997E-2</v>
      </c>
      <c r="J10" s="3"/>
      <c r="K10" s="3"/>
      <c r="L10" s="65" t="s">
        <v>125</v>
      </c>
      <c r="M10" s="69">
        <f>$F$14*[2]production!D69</f>
        <v>0.85753647703738045</v>
      </c>
      <c r="N10" s="69">
        <f>$F$14*[2]production!M69</f>
        <v>11.683460563708593</v>
      </c>
      <c r="O10" s="69">
        <f>$F$14*[2]production!N69</f>
        <v>3.3725230770223429E-2</v>
      </c>
      <c r="P10" s="69">
        <f>$F$14*[2]production!O69</f>
        <v>0.79157493982244909</v>
      </c>
      <c r="Q10" s="69">
        <f>$F$14*[2]production!P69</f>
        <v>0.22406851369276834</v>
      </c>
      <c r="R10" s="69">
        <f>$F$14*[2]production!Q69</f>
        <v>1.0353862981256063E-2</v>
      </c>
      <c r="S10" s="69">
        <f>$F$14*[2]production!R69</f>
        <v>4.2056638209320987E-4</v>
      </c>
      <c r="T10" s="69">
        <f>$F$14*[2]production!S69</f>
        <v>13.999355517956241</v>
      </c>
      <c r="U10" s="69">
        <f>$F$14*[2]production!T69</f>
        <v>8.7049157839909588E-2</v>
      </c>
      <c r="V10" s="69">
        <f>$F$14*[2]production!U69</f>
        <v>11.969966259575973</v>
      </c>
      <c r="W10" s="69">
        <f>$F$14*[2]production!V69</f>
        <v>7.8248812224761212E-4</v>
      </c>
      <c r="X10" s="69">
        <f>$F$14*[2]production!W69</f>
        <v>8.7567361894378207E-3</v>
      </c>
      <c r="Y10" s="69">
        <f>$F$14*[2]production!X69</f>
        <v>9.3004855141971441E-5</v>
      </c>
      <c r="Z10" s="69">
        <f>$F$14*[2]production!Y69</f>
        <v>3.8883550706782517E-8</v>
      </c>
      <c r="AA10" s="69">
        <f>$F$14*[2]production!Z69</f>
        <v>2.8897174685279898E-3</v>
      </c>
      <c r="AB10" s="69">
        <f>$F$14*[2]production!AA69</f>
        <v>2.16459672470465E-3</v>
      </c>
      <c r="AC10" s="69">
        <f>$F$14*[2]production!AB69</f>
        <v>4.2357707466318594E-3</v>
      </c>
      <c r="AD10" s="69">
        <f>$F$14*[2]production!AC69</f>
        <v>2.7143674346039265E-4</v>
      </c>
      <c r="AE10" s="69">
        <f>$F$14*[2]production!AD69</f>
        <v>5.1546706122318443E-3</v>
      </c>
      <c r="AF10" s="69">
        <f>$F$14*[2]production!AE69</f>
        <v>3.145170171435055E-3</v>
      </c>
      <c r="AG10" s="69">
        <f>$F$14*[2]production!AF69</f>
        <v>3.2781880431630904E-2</v>
      </c>
      <c r="AH10" s="69">
        <f>$F$14*[2]production!AG69</f>
        <v>0.13002360111753239</v>
      </c>
      <c r="AI10" s="69">
        <f>$F$14*[2]production!AH69</f>
        <v>2.7275050021820037E-2</v>
      </c>
    </row>
    <row r="11" spans="1:36" x14ac:dyDescent="0.25">
      <c r="A11" s="6" t="s">
        <v>11</v>
      </c>
      <c r="B11" s="39">
        <f>300/H11*I10</f>
        <v>189.67394151981438</v>
      </c>
      <c r="C11" s="3">
        <v>0.8</v>
      </c>
      <c r="D11" s="3">
        <v>1000</v>
      </c>
      <c r="E11" s="3">
        <v>0.6</v>
      </c>
      <c r="F11" s="8">
        <f>B11/1000000000*C11*D11/E11</f>
        <v>2.5289858869308591E-4</v>
      </c>
      <c r="G11" s="19" t="s">
        <v>23</v>
      </c>
      <c r="H11" s="3">
        <f>SUM(H9:H10)</f>
        <v>3.7564464274369935E-2</v>
      </c>
      <c r="I11" s="3"/>
      <c r="J11" s="3"/>
      <c r="K11" s="3"/>
      <c r="L11" s="6" t="s">
        <v>14</v>
      </c>
      <c r="M11" s="15">
        <f>$F$16*[1]PCBM_new!D16</f>
        <v>6.819169729874415E-2</v>
      </c>
      <c r="N11" s="15">
        <f>$F$16*[1]PCBM_new!M16</f>
        <v>2.0963550633835544</v>
      </c>
      <c r="O11" s="15">
        <f>$F$16*[1]PCBM_new!N16</f>
        <v>7.6399552434711526E-2</v>
      </c>
      <c r="P11" s="15">
        <f>$F$16*[1]PCBM_new!O16</f>
        <v>5.9706772602486365E-2</v>
      </c>
      <c r="Q11" s="15">
        <f>$F$16*[1]PCBM_new!P16</f>
        <v>3.4806289101984487E-2</v>
      </c>
      <c r="R11" s="15">
        <f>$F$16*[1]PCBM_new!Q16</f>
        <v>5.3775961105543299E-4</v>
      </c>
      <c r="S11" s="15">
        <f>$F$16*[1]PCBM_new!R16</f>
        <v>1.327158882886124E-5</v>
      </c>
      <c r="T11" s="15">
        <f>$F$16*[1]PCBM_new!S16</f>
        <v>0.71650173510440029</v>
      </c>
      <c r="U11" s="15">
        <f>$F$16*[1]PCBM_new!T16</f>
        <v>2.5374355056999236E-3</v>
      </c>
      <c r="V11" s="15">
        <f>$F$16*[1]PCBM_new!U16</f>
        <v>0.47423459329306</v>
      </c>
      <c r="W11" s="15">
        <f>$F$16*[1]PCBM_new!V16</f>
        <v>1.1953303231434605E-4</v>
      </c>
      <c r="X11" s="15">
        <f>$F$16*[1]PCBM_new!W16</f>
        <v>1.2616109833757366E-3</v>
      </c>
      <c r="Y11" s="15">
        <f>$F$16*[1]PCBM_new!X16</f>
        <v>8.9207254500477487E-6</v>
      </c>
      <c r="Z11" s="15">
        <f>$F$16*[1]PCBM_new!Y16</f>
        <v>4.1859545047078205E-9</v>
      </c>
      <c r="AA11" s="15">
        <f>$F$16*[1]PCBM_new!Z16</f>
        <v>2.3364182419567136E-4</v>
      </c>
      <c r="AB11" s="15">
        <f>$F$16*[1]PCBM_new!AA16</f>
        <v>4.1986226704285551E-4</v>
      </c>
      <c r="AC11" s="15">
        <f>$F$16*[1]PCBM_new!AB16</f>
        <v>3.9109659041271786E-4</v>
      </c>
      <c r="AD11" s="15">
        <f>$F$16*[1]PCBM_new!AC16</f>
        <v>5.9999899116636124E-5</v>
      </c>
      <c r="AE11" s="15">
        <f>$F$16*[1]PCBM_new!AD16</f>
        <v>1.2705158632673277E-3</v>
      </c>
      <c r="AF11" s="15">
        <f>$F$16*[1]PCBM_new!AE16</f>
        <v>1.4390130773760741E-4</v>
      </c>
      <c r="AG11" s="15">
        <f>$F$16*[1]PCBM_new!AF16</f>
        <v>4.1714776626245644E-3</v>
      </c>
      <c r="AH11" s="15">
        <f>$F$16*[1]PCBM_new!AG16</f>
        <v>7.3165210516319976E-3</v>
      </c>
      <c r="AI11" s="15">
        <f>$F$16*[1]PCBM_new!AH16</f>
        <v>4.2322515920880585E-3</v>
      </c>
      <c r="AJ11" s="15"/>
    </row>
    <row r="12" spans="1:36" x14ac:dyDescent="0.25">
      <c r="A12" s="6" t="s">
        <v>12</v>
      </c>
      <c r="B12" s="39">
        <f>300/H11*H10-B11</f>
        <v>9.9828390273586649</v>
      </c>
      <c r="C12" s="3">
        <v>0.8</v>
      </c>
      <c r="D12" s="3">
        <v>1000</v>
      </c>
      <c r="E12" s="3">
        <v>0.6</v>
      </c>
      <c r="F12" s="8">
        <f>B12/1000000000*C12*D12/E12</f>
        <v>1.331045203647822E-5</v>
      </c>
      <c r="G12" s="19" t="s">
        <v>23</v>
      </c>
      <c r="H12" s="3"/>
      <c r="I12" s="3"/>
      <c r="J12" s="3"/>
      <c r="K12" s="3"/>
      <c r="L12" s="6" t="s">
        <v>15</v>
      </c>
      <c r="M12" s="15">
        <f>M41+M42</f>
        <v>3.0227406682730926E-4</v>
      </c>
      <c r="N12" s="15">
        <f t="shared" ref="N12:AI12" si="0">N41+N42</f>
        <v>4.6933677216494775E-3</v>
      </c>
      <c r="O12" s="15">
        <f t="shared" si="0"/>
        <v>1.0845798216867472E-5</v>
      </c>
      <c r="P12" s="15">
        <f t="shared" si="0"/>
        <v>2.8086561060240971E-4</v>
      </c>
      <c r="Q12" s="15">
        <f t="shared" si="0"/>
        <v>9.9168695903614461E-5</v>
      </c>
      <c r="R12" s="15">
        <f t="shared" si="0"/>
        <v>7.5509824096385555E-6</v>
      </c>
      <c r="S12" s="15">
        <f t="shared" si="0"/>
        <v>1.2834907196787149E-7</v>
      </c>
      <c r="T12" s="15">
        <f t="shared" si="0"/>
        <v>7.3886527389558244E-3</v>
      </c>
      <c r="U12" s="15">
        <f t="shared" si="0"/>
        <v>2.0222046008032132E-5</v>
      </c>
      <c r="V12" s="15">
        <f t="shared" si="0"/>
        <v>6.927617092369478E-3</v>
      </c>
      <c r="W12" s="15">
        <f t="shared" si="0"/>
        <v>2.7178700144578317E-7</v>
      </c>
      <c r="X12" s="15">
        <f t="shared" si="0"/>
        <v>3.1760542072289163E-5</v>
      </c>
      <c r="Y12" s="15">
        <f t="shared" si="0"/>
        <v>5.7563818795180727E-8</v>
      </c>
      <c r="Z12" s="15">
        <f t="shared" si="0"/>
        <v>2.3515443903614459E-11</v>
      </c>
      <c r="AA12" s="15">
        <f t="shared" si="0"/>
        <v>6.0039760481927715E-7</v>
      </c>
      <c r="AB12" s="15">
        <f t="shared" si="0"/>
        <v>8.2823144417670684E-7</v>
      </c>
      <c r="AC12" s="15">
        <f t="shared" si="0"/>
        <v>1.1158690008032129E-6</v>
      </c>
      <c r="AD12" s="15">
        <f t="shared" si="0"/>
        <v>9.0645416867469882E-6</v>
      </c>
      <c r="AE12" s="15">
        <f t="shared" si="0"/>
        <v>3.5072877461847397E-6</v>
      </c>
      <c r="AF12" s="15">
        <f t="shared" si="0"/>
        <v>9.7999153253012036E-7</v>
      </c>
      <c r="AG12" s="15">
        <f t="shared" si="0"/>
        <v>1.6663585718875503E-5</v>
      </c>
      <c r="AH12" s="15">
        <f t="shared" si="0"/>
        <v>6.1039042088353415E-5</v>
      </c>
      <c r="AI12" s="15">
        <f t="shared" si="0"/>
        <v>1.3354867678714862E-5</v>
      </c>
      <c r="AJ12" s="15"/>
    </row>
    <row r="13" spans="1:36" x14ac:dyDescent="0.25">
      <c r="A13" s="6" t="s">
        <v>21</v>
      </c>
      <c r="B13" s="39"/>
      <c r="C13" s="3"/>
      <c r="D13" s="3">
        <v>789</v>
      </c>
      <c r="E13" s="3"/>
      <c r="F13" s="8">
        <f>(F11+F12)/50*D13</f>
        <v>4.2007786627125225E-3</v>
      </c>
      <c r="G13" s="19" t="s">
        <v>23</v>
      </c>
      <c r="H13" s="3"/>
      <c r="I13" s="3"/>
      <c r="J13" s="3"/>
      <c r="K13" s="3"/>
      <c r="L13" s="6" t="s">
        <v>17</v>
      </c>
      <c r="M13" s="15">
        <f>$F$20*[3]production!D116</f>
        <v>9.1704674880000017E-2</v>
      </c>
      <c r="N13" s="15">
        <f>$F$20*[3]production!M116</f>
        <v>1.2042202796386563</v>
      </c>
      <c r="O13" s="15">
        <f>$F$20*[3]production!N116</f>
        <v>2.6675816832000005E-3</v>
      </c>
      <c r="P13" s="15">
        <f>$F$20*[3]production!O116</f>
        <v>8.509154976000001E-2</v>
      </c>
      <c r="Q13" s="15">
        <f>$F$20*[3]production!P116</f>
        <v>2.4539197536000004E-2</v>
      </c>
      <c r="R13" s="15">
        <f>$F$20*[3]production!Q116</f>
        <v>2.9807797824000005E-3</v>
      </c>
      <c r="S13" s="15">
        <f>$F$20*[3]production!R116</f>
        <v>8.9699762880000012E-5</v>
      </c>
      <c r="T13" s="15">
        <f>$F$20*[3]production!S116</f>
        <v>6.0995592000000007</v>
      </c>
      <c r="U13" s="15">
        <f>$F$20*[3]production!T116</f>
        <v>5.3654529600000011E-3</v>
      </c>
      <c r="V13" s="15">
        <f>$F$20*[3]production!U116</f>
        <v>3.6720734400000006</v>
      </c>
      <c r="W13" s="15">
        <f>$F$20*[3]production!V116</f>
        <v>1.4331419424000002E-4</v>
      </c>
      <c r="X13" s="15">
        <f>$F$20*[3]production!W116</f>
        <v>8.2472826240000019E-2</v>
      </c>
      <c r="Y13" s="15">
        <f>$F$20*[3]production!X116</f>
        <v>1.4654981376000001E-5</v>
      </c>
      <c r="Z13" s="15">
        <f>$F$20*[3]production!Y116</f>
        <v>5.609743776000001E-9</v>
      </c>
      <c r="AA13" s="15">
        <f>$F$20*[3]production!Z116</f>
        <v>3.0577684032000006E-4</v>
      </c>
      <c r="AB13" s="15">
        <f>$F$20*[3]production!AA116</f>
        <v>4.6911856320000007E-4</v>
      </c>
      <c r="AC13" s="15">
        <f>$F$20*[3]production!AB116</f>
        <v>7.640565408000002E-4</v>
      </c>
      <c r="AD13" s="15">
        <f>$F$20*[3]production!AC116</f>
        <v>8.9527032000000022E-4</v>
      </c>
      <c r="AE13" s="15">
        <f>$F$20*[3]production!AD116</f>
        <v>1.0312341984000002E-3</v>
      </c>
      <c r="AF13" s="15">
        <f>$F$20*[3]production!AE116</f>
        <v>1.1732436576000001E-3</v>
      </c>
      <c r="AG13" s="15">
        <f>$F$20*[3]production!AF116</f>
        <v>5.4289932480000008E-3</v>
      </c>
      <c r="AH13" s="15">
        <f>$F$20*[3]production!AG116</f>
        <v>4.502107008000001E-2</v>
      </c>
      <c r="AI13" s="15">
        <f>$F$20*[3]production!AH116</f>
        <v>6.7701251520000012E-3</v>
      </c>
      <c r="AJ13" s="15"/>
    </row>
    <row r="14" spans="1:36" x14ac:dyDescent="0.25">
      <c r="A14" s="65" t="s">
        <v>125</v>
      </c>
      <c r="B14" s="66"/>
      <c r="C14" s="65"/>
      <c r="D14" s="65"/>
      <c r="E14" s="65"/>
      <c r="F14" s="67">
        <f>'energy inventory'!F9*1000/7.4*4.91/1000</f>
        <v>1.8246621636218918</v>
      </c>
      <c r="G14" s="65"/>
      <c r="H14" s="64"/>
      <c r="I14" s="64"/>
      <c r="J14" s="64"/>
      <c r="K14" s="64"/>
      <c r="L14" s="44" t="s">
        <v>119</v>
      </c>
      <c r="M14" s="47">
        <f>($F$6+$F$21)*[2]production!D46</f>
        <v>0.98799433696969696</v>
      </c>
      <c r="N14" s="47">
        <f>($F$6+$F$21)*[2]production!M46</f>
        <v>14.844249782230303</v>
      </c>
      <c r="O14" s="47">
        <f>($F$6+$F$21)*[2]production!N46</f>
        <v>5.1693616484848479E-2</v>
      </c>
      <c r="P14" s="47">
        <f>($F$6+$F$21)*[2]production!O46</f>
        <v>0.91384697212121202</v>
      </c>
      <c r="Q14" s="47">
        <f>($F$6+$F$21)*[2]production!P46</f>
        <v>0.26242726496969693</v>
      </c>
      <c r="R14" s="47">
        <f>($F$6+$F$21)*[2]production!Q46</f>
        <v>1.2989206690909088E-2</v>
      </c>
      <c r="S14" s="47">
        <f>($F$6+$F$21)*[2]production!R46</f>
        <v>5.3546381575757566E-4</v>
      </c>
      <c r="T14" s="47">
        <f>($F$6+$F$21)*[2]production!S46</f>
        <v>17.200203539393939</v>
      </c>
      <c r="U14" s="47">
        <f>($F$6+$F$21)*[2]production!T46</f>
        <v>0.15223185551515148</v>
      </c>
      <c r="V14" s="47">
        <f>($F$6+$F$21)*[2]production!U46</f>
        <v>14.82469401212121</v>
      </c>
      <c r="W14" s="47">
        <f>($F$6+$F$21)*[2]production!V46</f>
        <v>8.9171672242424225E-4</v>
      </c>
      <c r="X14" s="47">
        <f>($F$6+$F$21)*[2]production!W46</f>
        <v>1.1916146909090907E-2</v>
      </c>
      <c r="Y14" s="47">
        <f>($F$6+$F$21)*[2]production!X46</f>
        <v>1.0862570569696968E-4</v>
      </c>
      <c r="Z14" s="47">
        <f>($F$6+$F$21)*[2]production!Y46</f>
        <v>5.4682303030303027E-8</v>
      </c>
      <c r="AA14" s="47">
        <f>($F$6+$F$21)*[2]production!Z46</f>
        <v>3.0627603878787876E-3</v>
      </c>
      <c r="AB14" s="47">
        <f>($F$6+$F$21)*[2]production!AA46</f>
        <v>2.4366066618181814E-3</v>
      </c>
      <c r="AC14" s="47">
        <f>($F$6+$F$21)*[2]production!AB46</f>
        <v>4.8256443151515147E-3</v>
      </c>
      <c r="AD14" s="47">
        <f>($F$6+$F$21)*[2]production!AC46</f>
        <v>3.306193134545454E-4</v>
      </c>
      <c r="AE14" s="47">
        <f>($F$6+$F$21)*[2]production!AD46</f>
        <v>5.8777502060606054E-3</v>
      </c>
      <c r="AF14" s="47">
        <f>($F$6+$F$21)*[2]production!AE46</f>
        <v>3.8691175757575753E-3</v>
      </c>
      <c r="AG14" s="47">
        <f>($F$6+$F$21)*[2]production!AF46</f>
        <v>3.9110253575757571E-2</v>
      </c>
      <c r="AH14" s="47">
        <f>($F$6+$F$21)*[2]production!AG46</f>
        <v>0.15638954860606061</v>
      </c>
      <c r="AI14" s="47">
        <f>($F$6+$F$21)*[2]production!AH46</f>
        <v>3.2021221430303025E-2</v>
      </c>
      <c r="AJ14" s="15"/>
    </row>
    <row r="15" spans="1:36" x14ac:dyDescent="0.25">
      <c r="A15" s="63" t="s">
        <v>13</v>
      </c>
      <c r="B15" s="39"/>
      <c r="C15" s="3"/>
      <c r="D15" s="3"/>
      <c r="E15" s="3"/>
      <c r="F15" s="8"/>
      <c r="G15" s="3"/>
      <c r="H15" s="3"/>
      <c r="I15" s="3"/>
      <c r="J15" s="3"/>
      <c r="K15" s="3"/>
      <c r="L15" s="44" t="s">
        <v>121</v>
      </c>
      <c r="M15" s="47">
        <f>($F$7+$F$22)*[2]production!D91</f>
        <v>5.9453010977304082E-4</v>
      </c>
      <c r="N15" s="47">
        <f>($F$7+$F$22)*[2]production!M91</f>
        <v>8.0999662531850997E-3</v>
      </c>
      <c r="O15" s="47">
        <f>($F$7+$F$22)*[2]production!N91</f>
        <v>2.338066827644389E-5</v>
      </c>
      <c r="P15" s="47">
        <f>($F$7+$F$22)*[2]production!O91</f>
        <v>5.4880474632827594E-4</v>
      </c>
      <c r="Q15" s="47">
        <f>($F$7+$F$22)*[2]production!P91</f>
        <v>1.5534075447332918E-4</v>
      </c>
      <c r="R15" s="47">
        <f>($F$7+$F$22)*[2]production!Q91</f>
        <v>7.1780287884037624E-6</v>
      </c>
      <c r="S15" s="47">
        <f>($F$7+$F$22)*[2]production!R91</f>
        <v>2.9157824514086524E-7</v>
      </c>
      <c r="T15" s="47">
        <f>($F$7+$F$22)*[2]production!S91</f>
        <v>9.7057228642307217E-3</v>
      </c>
      <c r="U15" s="47">
        <f>($F$7+$F$22)*[2]production!T91</f>
        <v>6.0351456647623834E-5</v>
      </c>
      <c r="V15" s="47">
        <f>($F$7+$F$22)*[2]production!U91</f>
        <v>8.2988272140037626E-3</v>
      </c>
      <c r="W15" s="47">
        <f>($F$7+$F$22)*[2]production!V91</f>
        <v>5.4248049188915373E-7</v>
      </c>
      <c r="X15" s="47">
        <f>($F$7+$F$22)*[2]production!W91</f>
        <v>6.0707823366018811E-6</v>
      </c>
      <c r="Y15" s="47">
        <f>($F$7+$F$22)*[2]production!X91</f>
        <v>6.4477279781717875E-8</v>
      </c>
      <c r="Z15" s="47">
        <f>($F$7+$F$22)*[2]production!Y91</f>
        <v>2.6956883584280881E-11</v>
      </c>
      <c r="AA15" s="47">
        <f>($F$7+$F$22)*[2]production!Z91</f>
        <v>2.0034334598219439E-6</v>
      </c>
      <c r="AB15" s="47">
        <f>($F$7+$F$22)*[2]production!AA91</f>
        <v>1.500705424407273E-6</v>
      </c>
      <c r="AC15" s="47">
        <f>($F$7+$F$22)*[2]production!AB91</f>
        <v>2.9366123370613173E-6</v>
      </c>
      <c r="AD15" s="47">
        <f>($F$7+$F$22)*[2]production!AC91</f>
        <v>1.8818672356032602E-7</v>
      </c>
      <c r="AE15" s="47">
        <f>($F$7+$F$22)*[2]production!AD91</f>
        <v>3.5737056830595614E-6</v>
      </c>
      <c r="AF15" s="47">
        <f>($F$7+$F$22)*[2]production!AE91</f>
        <v>2.1805627766129156E-6</v>
      </c>
      <c r="AG15" s="47">
        <f>($F$7+$F$22)*[2]production!AF91</f>
        <v>2.2727663909356742E-5</v>
      </c>
      <c r="AH15" s="47">
        <f>($F$7+$F$22)*[2]production!AG91</f>
        <v>9.0145722005266471E-5</v>
      </c>
      <c r="AI15" s="47">
        <f>($F$7+$F$22)*[2]production!AH91</f>
        <v>1.8909520772975549E-5</v>
      </c>
      <c r="AJ15" s="15"/>
    </row>
    <row r="16" spans="1:36" x14ac:dyDescent="0.25">
      <c r="A16" s="6" t="s">
        <v>14</v>
      </c>
      <c r="B16" s="39">
        <v>50</v>
      </c>
      <c r="C16" s="3">
        <v>0.8</v>
      </c>
      <c r="D16" s="3">
        <v>1500</v>
      </c>
      <c r="E16" s="3">
        <v>0.6</v>
      </c>
      <c r="F16" s="8">
        <f>B16/1000000000*C16*D16/E16</f>
        <v>1E-4</v>
      </c>
      <c r="G16" s="3" t="s">
        <v>23</v>
      </c>
      <c r="H16" s="3"/>
      <c r="I16" s="3"/>
      <c r="J16" s="3"/>
      <c r="K16" s="3"/>
      <c r="L16" s="42" t="s">
        <v>24</v>
      </c>
      <c r="M16" s="18">
        <f>SUM(M17:M27)</f>
        <v>0</v>
      </c>
      <c r="N16" s="18">
        <f t="shared" ref="N16:AI16" si="1">SUM(N17:N27)</f>
        <v>0</v>
      </c>
      <c r="O16" s="18">
        <f t="shared" si="1"/>
        <v>0</v>
      </c>
      <c r="P16" s="18">
        <f t="shared" si="1"/>
        <v>0</v>
      </c>
      <c r="Q16" s="18">
        <f t="shared" si="1"/>
        <v>0</v>
      </c>
      <c r="R16" s="18">
        <f t="shared" si="1"/>
        <v>4.415657269717634E-8</v>
      </c>
      <c r="S16" s="18">
        <f t="shared" si="1"/>
        <v>0</v>
      </c>
      <c r="T16" s="18">
        <f t="shared" si="1"/>
        <v>6.035238398856483E-5</v>
      </c>
      <c r="U16" s="18">
        <f t="shared" si="1"/>
        <v>0</v>
      </c>
      <c r="V16" s="18">
        <f t="shared" si="1"/>
        <v>7.5058736288013125E-8</v>
      </c>
      <c r="W16" s="18">
        <f t="shared" si="1"/>
        <v>0</v>
      </c>
      <c r="X16" s="18">
        <f t="shared" si="1"/>
        <v>0</v>
      </c>
      <c r="Y16" s="18">
        <f t="shared" si="1"/>
        <v>0</v>
      </c>
      <c r="Z16" s="18">
        <f t="shared" si="1"/>
        <v>0</v>
      </c>
      <c r="AA16" s="18">
        <f t="shared" si="1"/>
        <v>0</v>
      </c>
      <c r="AB16" s="18">
        <f t="shared" si="1"/>
        <v>2.8312680513890146E-3</v>
      </c>
      <c r="AC16" s="18">
        <f t="shared" si="1"/>
        <v>0</v>
      </c>
      <c r="AD16" s="18">
        <f t="shared" si="1"/>
        <v>1.5618451813015086E-7</v>
      </c>
      <c r="AE16" s="18">
        <f t="shared" si="1"/>
        <v>0</v>
      </c>
      <c r="AF16" s="18">
        <f t="shared" si="1"/>
        <v>0</v>
      </c>
      <c r="AG16" s="18">
        <f t="shared" si="1"/>
        <v>3.4284480087961961E-8</v>
      </c>
      <c r="AH16" s="18">
        <f t="shared" si="1"/>
        <v>1.4894255882583876E-6</v>
      </c>
      <c r="AI16" s="18">
        <f t="shared" si="1"/>
        <v>0</v>
      </c>
    </row>
    <row r="17" spans="1:35" x14ac:dyDescent="0.25">
      <c r="A17" s="6" t="s">
        <v>25</v>
      </c>
      <c r="B17" s="79">
        <v>50</v>
      </c>
      <c r="C17" s="3">
        <v>0.8</v>
      </c>
      <c r="D17" s="3">
        <v>3950</v>
      </c>
      <c r="E17" s="3">
        <v>0.6</v>
      </c>
      <c r="F17" s="8">
        <f>J18/K18*50</f>
        <v>1.1164658634538154E-5</v>
      </c>
      <c r="G17" s="19" t="s">
        <v>23</v>
      </c>
      <c r="H17" s="3"/>
      <c r="I17" s="3"/>
      <c r="J17" s="3"/>
      <c r="K17" s="3"/>
      <c r="L17" s="48" t="s">
        <v>122</v>
      </c>
      <c r="M17" s="34"/>
      <c r="N17" s="34"/>
      <c r="O17" s="34"/>
      <c r="P17" s="34"/>
      <c r="Q17" s="34"/>
      <c r="R17" s="34"/>
      <c r="S17" s="34"/>
      <c r="T17" s="34"/>
      <c r="U17" s="34"/>
      <c r="V17" s="34"/>
      <c r="W17" s="34"/>
      <c r="X17" s="34"/>
      <c r="Y17" s="34"/>
      <c r="Z17" s="34"/>
      <c r="AA17" s="34"/>
      <c r="AB17" s="34"/>
      <c r="AC17" s="34"/>
      <c r="AD17" s="34"/>
      <c r="AE17" s="34"/>
      <c r="AF17" s="34"/>
      <c r="AG17" s="34"/>
      <c r="AH17" s="34"/>
      <c r="AI17" s="34"/>
    </row>
    <row r="18" spans="1:35" x14ac:dyDescent="0.25">
      <c r="A18" s="6" t="s">
        <v>26</v>
      </c>
      <c r="B18" s="79"/>
      <c r="C18" s="3">
        <v>0.8</v>
      </c>
      <c r="D18" s="3">
        <v>5610</v>
      </c>
      <c r="E18" s="3">
        <v>0.6</v>
      </c>
      <c r="F18" s="8">
        <f>J18-F17</f>
        <v>3.5950200803212855E-4</v>
      </c>
      <c r="G18" s="19" t="s">
        <v>23</v>
      </c>
      <c r="H18" s="3" t="s">
        <v>15</v>
      </c>
      <c r="I18" s="3">
        <v>5560</v>
      </c>
      <c r="J18" s="3">
        <f>B17/1000000000*C18*I18/E18</f>
        <v>3.7066666666666671E-4</v>
      </c>
      <c r="K18" s="3">
        <f>50+1610</f>
        <v>1660</v>
      </c>
      <c r="L18" s="6" t="s">
        <v>66</v>
      </c>
    </row>
    <row r="19" spans="1:35" x14ac:dyDescent="0.25">
      <c r="A19" s="63" t="s">
        <v>16</v>
      </c>
      <c r="B19" s="39"/>
      <c r="C19" s="3"/>
      <c r="D19" s="3"/>
      <c r="E19" s="3"/>
      <c r="F19" s="8"/>
      <c r="G19" s="3"/>
      <c r="H19" s="3"/>
      <c r="I19" s="3"/>
      <c r="J19" s="3"/>
      <c r="K19" s="3"/>
      <c r="L19" s="6" t="s">
        <v>20</v>
      </c>
      <c r="M19" s="15">
        <f>$F$26*'[3]direct emissions'!D28</f>
        <v>0</v>
      </c>
      <c r="N19" s="15">
        <f>$F$26*'[3]direct emissions'!M28</f>
        <v>0</v>
      </c>
      <c r="O19" s="15">
        <f>$F$26*'[3]direct emissions'!N28</f>
        <v>0</v>
      </c>
      <c r="P19" s="15">
        <f>$F$26*'[3]direct emissions'!O28</f>
        <v>0</v>
      </c>
      <c r="Q19" s="15">
        <f>$F$26*'[3]direct emissions'!P28</f>
        <v>0</v>
      </c>
      <c r="R19" s="15">
        <f>$F$26*'[3]direct emissions'!Q28</f>
        <v>0</v>
      </c>
      <c r="S19" s="15">
        <f>$F$26*'[3]direct emissions'!R28</f>
        <v>0</v>
      </c>
      <c r="T19" s="15">
        <f>$F$26*'[3]direct emissions'!S28</f>
        <v>0</v>
      </c>
      <c r="U19" s="15">
        <f>$F$26*'[3]direct emissions'!T28</f>
        <v>0</v>
      </c>
      <c r="V19" s="15">
        <f>$F$26*'[3]direct emissions'!U28</f>
        <v>0</v>
      </c>
      <c r="W19" s="15">
        <f>$F$26*'[3]direct emissions'!V28</f>
        <v>0</v>
      </c>
      <c r="X19" s="15">
        <f>$F$26*'[3]direct emissions'!W28</f>
        <v>0</v>
      </c>
      <c r="Y19" s="15">
        <f>$F$26*'[3]direct emissions'!X28</f>
        <v>0</v>
      </c>
      <c r="Z19" s="15">
        <f>$F$26*'[3]direct emissions'!Y28</f>
        <v>0</v>
      </c>
      <c r="AA19" s="15">
        <f>$F$26*'[3]direct emissions'!Z28</f>
        <v>0</v>
      </c>
      <c r="AB19" s="15">
        <f>$F$26*'[3]direct emissions'!AA28</f>
        <v>0</v>
      </c>
      <c r="AC19" s="15">
        <f>$F$26*'[3]direct emissions'!AB28</f>
        <v>0</v>
      </c>
      <c r="AD19" s="15">
        <f>$F$26*'[3]direct emissions'!AC28</f>
        <v>0</v>
      </c>
      <c r="AE19" s="15">
        <f>$F$26*'[3]direct emissions'!AD28</f>
        <v>0</v>
      </c>
      <c r="AF19" s="15">
        <f>$F$26*'[3]direct emissions'!AE28</f>
        <v>0</v>
      </c>
      <c r="AG19" s="15">
        <f>$F$26*'[3]direct emissions'!AF28</f>
        <v>0</v>
      </c>
      <c r="AH19" s="15">
        <f>$F$26*'[3]direct emissions'!AG28</f>
        <v>0</v>
      </c>
      <c r="AI19" s="15">
        <f>$F$26*'[3]direct emissions'!AH28</f>
        <v>0</v>
      </c>
    </row>
    <row r="20" spans="1:35" x14ac:dyDescent="0.25">
      <c r="A20" s="6" t="s">
        <v>17</v>
      </c>
      <c r="B20" s="39">
        <v>270</v>
      </c>
      <c r="C20" s="3">
        <v>0.8</v>
      </c>
      <c r="D20" s="3">
        <v>7140</v>
      </c>
      <c r="E20" s="3">
        <v>0.5</v>
      </c>
      <c r="F20" s="8">
        <f>B20/1000000000*C20*D20/E20</f>
        <v>3.0844800000000006E-3</v>
      </c>
      <c r="G20" s="3" t="s">
        <v>22</v>
      </c>
      <c r="H20" s="3"/>
      <c r="I20" s="3"/>
      <c r="J20" s="3"/>
      <c r="K20" s="3"/>
      <c r="L20" s="6" t="s">
        <v>11</v>
      </c>
    </row>
    <row r="21" spans="1:35" x14ac:dyDescent="0.25">
      <c r="A21" s="44" t="s">
        <v>119</v>
      </c>
      <c r="B21" s="45"/>
      <c r="C21" s="44"/>
      <c r="D21" s="44"/>
      <c r="E21" s="44"/>
      <c r="F21" s="46">
        <f>20/10*10000/1000*1.784/1000*'energy inventory'!D17/60</f>
        <v>0.2919272727272727</v>
      </c>
      <c r="G21" s="44"/>
      <c r="L21" s="6" t="s">
        <v>12</v>
      </c>
    </row>
    <row r="22" spans="1:35" x14ac:dyDescent="0.25">
      <c r="A22" s="44" t="s">
        <v>120</v>
      </c>
      <c r="B22" s="45"/>
      <c r="C22" s="44"/>
      <c r="D22" s="44"/>
      <c r="E22" s="44"/>
      <c r="F22" s="46">
        <f>F21*0.1/100</f>
        <v>2.9192727272727272E-4</v>
      </c>
      <c r="G22" s="44"/>
      <c r="L22" s="6" t="s">
        <v>21</v>
      </c>
      <c r="M22" s="15">
        <f>$F$29*'[3]direct emissions'!D15</f>
        <v>0</v>
      </c>
      <c r="N22" s="15">
        <f>$F$29*'[3]direct emissions'!M15</f>
        <v>0</v>
      </c>
      <c r="O22" s="15">
        <f>$F$29*'[3]direct emissions'!N15</f>
        <v>0</v>
      </c>
      <c r="P22" s="15">
        <f>$F$29*'[3]direct emissions'!O15</f>
        <v>0</v>
      </c>
      <c r="Q22" s="15">
        <f>$F$29*'[3]direct emissions'!P15</f>
        <v>0</v>
      </c>
      <c r="R22" s="15">
        <f>$F$29*'[3]direct emissions'!Q15</f>
        <v>4.415657269717634E-8</v>
      </c>
      <c r="S22" s="15">
        <f>$F$29*'[3]direct emissions'!R15</f>
        <v>0</v>
      </c>
      <c r="T22" s="15">
        <f>$F$29*'[3]direct emissions'!S15</f>
        <v>6.035238398856483E-5</v>
      </c>
      <c r="U22" s="15">
        <f>$F$29*'[3]direct emissions'!T15</f>
        <v>0</v>
      </c>
      <c r="V22" s="15">
        <f>$F$29*'[3]direct emissions'!U15</f>
        <v>7.5058736288013125E-8</v>
      </c>
      <c r="W22" s="15">
        <f>$F$29*'[3]direct emissions'!V15</f>
        <v>0</v>
      </c>
      <c r="X22" s="15">
        <f>$F$29*'[3]direct emissions'!W15</f>
        <v>0</v>
      </c>
      <c r="Y22" s="15">
        <f>$F$29*'[3]direct emissions'!X15</f>
        <v>0</v>
      </c>
      <c r="Z22" s="15">
        <f>$F$29*'[3]direct emissions'!Y15</f>
        <v>0</v>
      </c>
      <c r="AA22" s="15">
        <f>$F$29*'[3]direct emissions'!Z15</f>
        <v>0</v>
      </c>
      <c r="AB22" s="15">
        <f>$F$29*'[3]direct emissions'!AA15</f>
        <v>2.8312680513890146E-3</v>
      </c>
      <c r="AC22" s="15">
        <f>$F$29*'[3]direct emissions'!AB15</f>
        <v>0</v>
      </c>
      <c r="AD22" s="15">
        <f>$F$29*'[3]direct emissions'!AC15</f>
        <v>1.5618451813015086E-7</v>
      </c>
      <c r="AE22" s="15">
        <f>$F$29*'[3]direct emissions'!AD15</f>
        <v>0</v>
      </c>
      <c r="AF22" s="15">
        <f>$F$29*'[3]direct emissions'!AE15</f>
        <v>0</v>
      </c>
      <c r="AG22" s="15">
        <f>$F$29*'[3]direct emissions'!AF15</f>
        <v>3.4284480087961961E-8</v>
      </c>
      <c r="AH22" s="15">
        <f>$F$29*'[3]direct emissions'!AG15</f>
        <v>1.4894255882583876E-6</v>
      </c>
      <c r="AI22" s="15">
        <f>$F$29*'[3]direct emissions'!AH15</f>
        <v>0</v>
      </c>
    </row>
    <row r="23" spans="1:35" x14ac:dyDescent="0.25">
      <c r="A23" s="42" t="s">
        <v>24</v>
      </c>
      <c r="B23" s="39"/>
      <c r="C23" s="3"/>
      <c r="D23" s="3"/>
      <c r="E23" s="3"/>
      <c r="F23" s="8"/>
      <c r="L23" s="6" t="s">
        <v>14</v>
      </c>
    </row>
    <row r="24" spans="1:35" x14ac:dyDescent="0.25">
      <c r="A24" s="6" t="s">
        <v>122</v>
      </c>
      <c r="B24" s="39"/>
      <c r="C24" s="35"/>
      <c r="D24" s="35"/>
      <c r="E24" s="35"/>
      <c r="F24" s="8">
        <f>F5*(1-E5)/58*74</f>
        <v>4.0468303448275869E-4</v>
      </c>
      <c r="L24" s="6" t="s">
        <v>15</v>
      </c>
    </row>
    <row r="25" spans="1:35" x14ac:dyDescent="0.25">
      <c r="A25" s="6" t="s">
        <v>10</v>
      </c>
      <c r="B25" s="39"/>
      <c r="C25" s="3"/>
      <c r="D25" s="3"/>
      <c r="E25" s="3"/>
      <c r="F25" s="8">
        <f>F9*(1-E9)</f>
        <v>3.2966092364235418E-4</v>
      </c>
      <c r="L25" s="44" t="s">
        <v>119</v>
      </c>
      <c r="M25" s="33"/>
      <c r="N25" s="33"/>
      <c r="O25" s="33"/>
      <c r="P25" s="33"/>
      <c r="Q25" s="33"/>
      <c r="R25" s="33"/>
      <c r="S25" s="33"/>
      <c r="T25" s="33"/>
      <c r="U25" s="33"/>
      <c r="V25" s="33"/>
      <c r="W25" s="33"/>
      <c r="X25" s="33"/>
      <c r="Y25" s="33"/>
      <c r="Z25" s="33"/>
      <c r="AA25" s="33"/>
      <c r="AB25" s="33"/>
      <c r="AC25" s="33"/>
      <c r="AD25" s="33"/>
      <c r="AE25" s="33"/>
      <c r="AF25" s="33"/>
      <c r="AG25" s="33"/>
      <c r="AH25" s="33"/>
      <c r="AI25" s="33"/>
    </row>
    <row r="26" spans="1:35" x14ac:dyDescent="0.25">
      <c r="A26" s="6" t="s">
        <v>20</v>
      </c>
      <c r="B26" s="39"/>
      <c r="C26" s="3"/>
      <c r="D26" s="3"/>
      <c r="E26" s="3"/>
      <c r="F26" s="8">
        <f>F10</f>
        <v>1.9449994494898895E-3</v>
      </c>
      <c r="L26" s="44" t="s">
        <v>121</v>
      </c>
      <c r="M26" s="33"/>
      <c r="N26" s="33"/>
      <c r="O26" s="33"/>
      <c r="P26" s="33"/>
      <c r="Q26" s="33"/>
      <c r="R26" s="33"/>
      <c r="S26" s="33"/>
      <c r="T26" s="33"/>
      <c r="U26" s="33"/>
      <c r="V26" s="33"/>
      <c r="W26" s="33"/>
      <c r="X26" s="33"/>
      <c r="Y26" s="33"/>
      <c r="Z26" s="33"/>
      <c r="AA26" s="33"/>
      <c r="AB26" s="33"/>
      <c r="AC26" s="33"/>
      <c r="AD26" s="33"/>
      <c r="AE26" s="33"/>
      <c r="AF26" s="33"/>
      <c r="AG26" s="33"/>
      <c r="AH26" s="33"/>
      <c r="AI26" s="33"/>
    </row>
    <row r="27" spans="1:35" x14ac:dyDescent="0.25">
      <c r="A27" s="6" t="s">
        <v>11</v>
      </c>
      <c r="B27" s="39"/>
      <c r="C27" s="3"/>
      <c r="D27" s="3"/>
      <c r="E27" s="3"/>
      <c r="F27" s="8">
        <f>F11*(1-E11)</f>
        <v>1.0115943547723438E-4</v>
      </c>
      <c r="L27" s="65" t="s">
        <v>125</v>
      </c>
      <c r="M27" s="68"/>
      <c r="N27" s="68"/>
      <c r="O27" s="68"/>
      <c r="P27" s="68"/>
      <c r="Q27" s="68"/>
      <c r="R27" s="68"/>
      <c r="S27" s="68"/>
      <c r="T27" s="68"/>
      <c r="U27" s="68"/>
      <c r="V27" s="68"/>
      <c r="W27" s="68"/>
      <c r="X27" s="68"/>
      <c r="Y27" s="68"/>
      <c r="Z27" s="68"/>
      <c r="AA27" s="68"/>
      <c r="AB27" s="68"/>
      <c r="AC27" s="68"/>
      <c r="AD27" s="68"/>
      <c r="AE27" s="68"/>
      <c r="AF27" s="68"/>
      <c r="AG27" s="68"/>
      <c r="AH27" s="68"/>
      <c r="AI27" s="68"/>
    </row>
    <row r="28" spans="1:35" x14ac:dyDescent="0.25">
      <c r="A28" s="6" t="s">
        <v>12</v>
      </c>
      <c r="B28" s="39"/>
      <c r="C28" s="3"/>
      <c r="D28" s="3"/>
      <c r="E28" s="3"/>
      <c r="F28" s="8">
        <f>F12*(1-E12)</f>
        <v>5.3241808145912881E-6</v>
      </c>
      <c r="L28" s="36" t="s">
        <v>32</v>
      </c>
      <c r="M28" s="43">
        <f t="shared" ref="M28:AI28" si="2">SUM(M3:M16)</f>
        <v>18.909118433134701</v>
      </c>
      <c r="N28" s="43">
        <f t="shared" si="2"/>
        <v>323.43231244235</v>
      </c>
      <c r="O28" s="43">
        <f t="shared" si="2"/>
        <v>0.22879284906426584</v>
      </c>
      <c r="P28" s="43">
        <f t="shared" si="2"/>
        <v>17.774030703029268</v>
      </c>
      <c r="Q28" s="43">
        <f t="shared" si="2"/>
        <v>7.4425725279342236</v>
      </c>
      <c r="R28" s="43">
        <f t="shared" si="2"/>
        <v>0.11198994121584645</v>
      </c>
      <c r="S28" s="43">
        <f t="shared" si="2"/>
        <v>2.1675132631887961E-3</v>
      </c>
      <c r="T28" s="43">
        <f t="shared" si="2"/>
        <v>206.56315795011884</v>
      </c>
      <c r="U28" s="43">
        <f t="shared" si="2"/>
        <v>0.42017280101567966</v>
      </c>
      <c r="V28" s="43">
        <f t="shared" si="2"/>
        <v>99.981566711164049</v>
      </c>
      <c r="W28" s="43">
        <f t="shared" si="2"/>
        <v>1.7114585293913374E-2</v>
      </c>
      <c r="X28" s="43">
        <f t="shared" si="2"/>
        <v>0.74994309490481981</v>
      </c>
      <c r="Y28" s="43">
        <f t="shared" si="2"/>
        <v>2.8489154707242855E-3</v>
      </c>
      <c r="Z28" s="43">
        <f t="shared" si="2"/>
        <v>1.4949311197422046E-6</v>
      </c>
      <c r="AA28" s="43">
        <f t="shared" si="2"/>
        <v>2.6790530857310726E-2</v>
      </c>
      <c r="AB28" s="43">
        <f t="shared" si="2"/>
        <v>5.7530768151285744E-2</v>
      </c>
      <c r="AC28" s="43">
        <f t="shared" si="2"/>
        <v>8.3685854112710067E-2</v>
      </c>
      <c r="AD28" s="43">
        <f t="shared" si="2"/>
        <v>9.5892182190886622E-3</v>
      </c>
      <c r="AE28" s="43">
        <f t="shared" si="2"/>
        <v>3.0348638399172796E-2</v>
      </c>
      <c r="AF28" s="43">
        <f t="shared" si="2"/>
        <v>2.0850020691502595E-2</v>
      </c>
      <c r="AG28" s="43">
        <f t="shared" si="2"/>
        <v>0.5758300619624579</v>
      </c>
      <c r="AH28" s="43">
        <f t="shared" si="2"/>
        <v>2.0863005172292914</v>
      </c>
      <c r="AI28" s="43">
        <f t="shared" si="2"/>
        <v>0.92726832155225958</v>
      </c>
    </row>
    <row r="29" spans="1:35" x14ac:dyDescent="0.25">
      <c r="A29" s="6" t="s">
        <v>21</v>
      </c>
      <c r="B29" s="39"/>
      <c r="C29" s="3"/>
      <c r="D29" s="3"/>
      <c r="E29" s="3"/>
      <c r="F29" s="8">
        <f>F13</f>
        <v>4.2007786627125225E-3</v>
      </c>
    </row>
    <row r="30" spans="1:35" x14ac:dyDescent="0.25">
      <c r="A30" s="6" t="s">
        <v>14</v>
      </c>
      <c r="B30" s="39"/>
      <c r="C30" s="3"/>
      <c r="D30" s="3"/>
      <c r="E30" s="3"/>
      <c r="F30" s="8">
        <f>F16*(1-E16)</f>
        <v>4.0000000000000003E-5</v>
      </c>
    </row>
    <row r="31" spans="1:35" x14ac:dyDescent="0.25">
      <c r="A31" s="6" t="s">
        <v>15</v>
      </c>
      <c r="B31" s="39"/>
      <c r="C31" s="3"/>
      <c r="D31" s="3"/>
      <c r="E31" s="3"/>
      <c r="F31" s="8">
        <f>(F17+F18)*(1-E17)</f>
        <v>1.482666666666667E-4</v>
      </c>
    </row>
    <row r="32" spans="1:35" x14ac:dyDescent="0.25">
      <c r="A32" s="44" t="s">
        <v>119</v>
      </c>
      <c r="B32" s="45"/>
      <c r="C32" s="44"/>
      <c r="D32" s="44"/>
      <c r="E32" s="44"/>
      <c r="F32" s="46">
        <f>F6+F21</f>
        <v>0.36761212121212117</v>
      </c>
      <c r="G32" s="33"/>
    </row>
    <row r="33" spans="1:35" x14ac:dyDescent="0.25">
      <c r="A33" s="44" t="s">
        <v>120</v>
      </c>
      <c r="B33" s="45"/>
      <c r="C33" s="44"/>
      <c r="D33" s="44"/>
      <c r="E33" s="44"/>
      <c r="F33" s="46">
        <f>F7+F22-H7</f>
        <v>3.2692688652037621E-4</v>
      </c>
      <c r="G33" s="33"/>
      <c r="L33" s="7" t="s">
        <v>63</v>
      </c>
      <c r="M33">
        <f>$F$35*[3]production!D103</f>
        <v>8.3798998388576445E-3</v>
      </c>
      <c r="N33">
        <f>$F$35*[3]production!M103</f>
        <v>0.2681989102533629</v>
      </c>
      <c r="O33">
        <f>$F$35*[3]production!N103</f>
        <v>4.332423197619466E-4</v>
      </c>
      <c r="P33">
        <f>$F$35*[3]production!O103</f>
        <v>7.8861469170413943E-3</v>
      </c>
      <c r="Q33">
        <f>$F$35*[3]production!P103</f>
        <v>6.2513722290761147E-3</v>
      </c>
      <c r="R33">
        <f>$F$35*[3]production!Q103</f>
        <v>3.8587478109411933E-5</v>
      </c>
      <c r="S33">
        <f>$F$35*[3]production!R103</f>
        <v>9.2943543431035038E-7</v>
      </c>
      <c r="T33">
        <f>$F$35*[3]production!S103</f>
        <v>5.944494826621035E-2</v>
      </c>
      <c r="U33">
        <f>$F$35*[3]production!T103</f>
        <v>1.1468133628234475E-3</v>
      </c>
      <c r="V33">
        <f>$F$35*[3]production!U103</f>
        <v>4.2164368215531531E-2</v>
      </c>
      <c r="W33">
        <f>$F$35*[3]production!V103</f>
        <v>2.6698488456169867E-5</v>
      </c>
      <c r="X33">
        <f>$F$35*[3]production!W103</f>
        <v>3.2531784626642108E-4</v>
      </c>
      <c r="Y33">
        <f>$F$35*[3]production!X103</f>
        <v>-6.1477412592485548E-5</v>
      </c>
      <c r="Z33">
        <f>$F$35*[3]production!Y103</f>
        <v>2.9467643879430849E-9</v>
      </c>
      <c r="AA33">
        <f>$F$35*[3]production!Z103</f>
        <v>2.820584801729799E-5</v>
      </c>
      <c r="AB33">
        <f>$F$35*[3]production!AA103</f>
        <v>8.5292458117685967E-5</v>
      </c>
      <c r="AC33">
        <f>$F$35*[3]production!AB103</f>
        <v>7.1355559880370239E-5</v>
      </c>
      <c r="AD33">
        <f>$F$35*[3]production!AC103</f>
        <v>8.60245159373322E-6</v>
      </c>
      <c r="AE33">
        <f>$F$35*[3]production!AD103</f>
        <v>1.5788664747349141E-3</v>
      </c>
      <c r="AF33">
        <f>$F$35*[3]production!AE103</f>
        <v>1.1402186647435119E-5</v>
      </c>
      <c r="AG33">
        <f>$F$35*[3]production!AF103</f>
        <v>6.4212590648589959E-4</v>
      </c>
      <c r="AH33">
        <f>$F$35*[3]production!AG103</f>
        <v>7.4174136928586228E-4</v>
      </c>
      <c r="AI33">
        <f>$F$35*[3]production!AH103</f>
        <v>7.6473786914774524E-4</v>
      </c>
    </row>
    <row r="34" spans="1:35" x14ac:dyDescent="0.25">
      <c r="A34" s="65" t="s">
        <v>125</v>
      </c>
      <c r="B34" s="66"/>
      <c r="C34" s="65"/>
      <c r="D34" s="65"/>
      <c r="E34" s="65"/>
      <c r="F34" s="67">
        <f>F14</f>
        <v>1.8246621636218918</v>
      </c>
      <c r="G34" s="68"/>
    </row>
    <row r="35" spans="1:35" x14ac:dyDescent="0.25">
      <c r="A35" s="16" t="s">
        <v>62</v>
      </c>
      <c r="B35" s="40"/>
      <c r="C35" s="4"/>
      <c r="D35" s="4"/>
      <c r="E35" s="4"/>
      <c r="F35" s="17">
        <f>SUM(F2:F22)-SUM(F24:F34)</f>
        <v>1.5444257798443841</v>
      </c>
    </row>
    <row r="41" spans="1:35" x14ac:dyDescent="0.25">
      <c r="L41" s="6" t="s">
        <v>67</v>
      </c>
      <c r="M41" s="15">
        <f>$F$17*[3]production!D86</f>
        <v>1.411882730923695E-5</v>
      </c>
      <c r="N41" s="15">
        <f>$F$17*[3]production!M86</f>
        <v>1.7232005474939765E-4</v>
      </c>
      <c r="O41" s="15">
        <f>$F$17*[3]production!N86</f>
        <v>2.2754690763052211E-7</v>
      </c>
      <c r="P41" s="15">
        <f>$F$17*[3]production!O86</f>
        <v>1.323793574297189E-5</v>
      </c>
      <c r="Q41" s="15">
        <f>$F$17*[3]production!P86</f>
        <v>3.8539285140562256E-6</v>
      </c>
      <c r="R41" s="15">
        <f>$F$17*[3]production!Q86</f>
        <v>4.4902024096385547E-7</v>
      </c>
      <c r="S41" s="15">
        <f>$F$17*[3]production!R86</f>
        <v>6.05727389558233E-9</v>
      </c>
      <c r="T41" s="15">
        <f>$F$17*[3]production!S86</f>
        <v>4.7111510040160655E-4</v>
      </c>
      <c r="U41" s="15">
        <f>$F$17*[3]production!T86</f>
        <v>6.503971887550202E-7</v>
      </c>
      <c r="V41" s="15">
        <f>$F$17*[3]production!U86</f>
        <v>6.9529028112449813E-4</v>
      </c>
      <c r="W41" s="15">
        <f>$F$17*[3]production!V86</f>
        <v>1.4577694779116467E-8</v>
      </c>
      <c r="X41" s="15">
        <f>$F$17*[3]production!W86</f>
        <v>7.8009702811244995E-7</v>
      </c>
      <c r="Y41" s="15">
        <f>$F$17*[3]production!X86</f>
        <v>1.6864216867469883E-9</v>
      </c>
      <c r="Z41" s="15">
        <f>$F$17*[3]production!Y86</f>
        <v>1.6659903614457834E-12</v>
      </c>
      <c r="AA41" s="15">
        <f>$F$17*[3]production!Z86</f>
        <v>3.4505493975903622E-8</v>
      </c>
      <c r="AB41" s="15">
        <f>$F$17*[3]production!AA86</f>
        <v>4.6638128514056234E-8</v>
      </c>
      <c r="AC41" s="15">
        <f>$F$17*[3]production!AB86</f>
        <v>4.6638128514056234E-8</v>
      </c>
      <c r="AD41" s="15">
        <f>$F$17*[3]production!AC86</f>
        <v>1.3000128514056226E-8</v>
      </c>
      <c r="AE41" s="15">
        <f>$F$17*[3]production!AD86</f>
        <v>1.3000128514056226E-8</v>
      </c>
      <c r="AF41" s="15">
        <f>$F$17*[3]production!AE86</f>
        <v>2.134347791164659E-8</v>
      </c>
      <c r="AG41" s="15">
        <f>$F$17*[3]production!AF86</f>
        <v>6.6610586345381532E-7</v>
      </c>
      <c r="AH41" s="15">
        <f>$F$17*[3]production!AG86</f>
        <v>3.7416120481927715E-6</v>
      </c>
      <c r="AI41" s="15">
        <f>$F$17*[3]production!AH86</f>
        <v>4.9835686746987966E-7</v>
      </c>
    </row>
    <row r="42" spans="1:35" x14ac:dyDescent="0.25">
      <c r="L42" s="6" t="s">
        <v>26</v>
      </c>
      <c r="M42" s="15">
        <f>$F$18*[3]production!D115</f>
        <v>2.8815523951807232E-4</v>
      </c>
      <c r="N42" s="15">
        <f>$F$18*[3]production!M115</f>
        <v>4.5210476669000797E-3</v>
      </c>
      <c r="O42" s="15">
        <f>$F$18*[3]production!N115</f>
        <v>1.0618251309236949E-5</v>
      </c>
      <c r="P42" s="15">
        <f>$F$18*[3]production!O115</f>
        <v>2.676276748594378E-4</v>
      </c>
      <c r="Q42" s="15">
        <f>$F$18*[3]production!P115</f>
        <v>9.5314767389558232E-5</v>
      </c>
      <c r="R42" s="15">
        <f>$F$18*[3]production!Q115</f>
        <v>7.1019621686746998E-6</v>
      </c>
      <c r="S42" s="15">
        <f>$F$18*[3]production!R115</f>
        <v>1.2229179807228916E-7</v>
      </c>
      <c r="T42" s="15">
        <f>$F$18*[3]production!S115</f>
        <v>6.9175376385542178E-3</v>
      </c>
      <c r="U42" s="15">
        <f>$F$18*[3]production!T115</f>
        <v>1.9571648819277113E-5</v>
      </c>
      <c r="V42" s="15">
        <f>$F$18*[3]production!U115</f>
        <v>6.2323268112449799E-3</v>
      </c>
      <c r="W42" s="15">
        <f>$F$18*[3]production!V115</f>
        <v>2.5720930666666669E-7</v>
      </c>
      <c r="X42" s="15">
        <f>$F$18*[3]production!W115</f>
        <v>3.0980445044176714E-5</v>
      </c>
      <c r="Y42" s="15">
        <f>$F$18*[3]production!X115</f>
        <v>5.5877397108433739E-8</v>
      </c>
      <c r="Z42" s="15">
        <f>$F$18*[3]production!Y115</f>
        <v>2.1849453542168678E-11</v>
      </c>
      <c r="AA42" s="15">
        <f>$F$18*[3]production!Z115</f>
        <v>5.6589211084337358E-7</v>
      </c>
      <c r="AB42" s="15">
        <f>$F$18*[3]production!AA115</f>
        <v>7.8159331566265066E-7</v>
      </c>
      <c r="AC42" s="15">
        <f>$F$18*[3]production!AB115</f>
        <v>1.0692308722891568E-6</v>
      </c>
      <c r="AD42" s="15">
        <f>$F$18*[3]production!AC115</f>
        <v>9.0515415582329322E-6</v>
      </c>
      <c r="AE42" s="15">
        <f>$F$18*[3]production!AD115</f>
        <v>3.4942876176706833E-6</v>
      </c>
      <c r="AF42" s="15">
        <f>$F$18*[3]production!AE115</f>
        <v>9.5864805461847387E-7</v>
      </c>
      <c r="AG42" s="15">
        <f>$F$18*[3]production!AF115</f>
        <v>1.5997479855421687E-5</v>
      </c>
      <c r="AH42" s="15">
        <f>$F$18*[3]production!AG115</f>
        <v>5.7297430040160644E-5</v>
      </c>
      <c r="AI42" s="15">
        <f>$F$18*[3]production!AH115</f>
        <v>1.2856510811244982E-5</v>
      </c>
    </row>
  </sheetData>
  <mergeCells count="3">
    <mergeCell ref="B17:B18"/>
    <mergeCell ref="O1:AF1"/>
    <mergeCell ref="AG1:A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E474E-DCC7-4607-90FD-650F41FD5E38}">
  <dimension ref="A3:AF19"/>
  <sheetViews>
    <sheetView workbookViewId="0">
      <selection activeCell="F19" sqref="F19"/>
    </sheetView>
  </sheetViews>
  <sheetFormatPr defaultRowHeight="15" x14ac:dyDescent="0.25"/>
  <cols>
    <col min="1" max="1" width="9.140625" style="19"/>
    <col min="2" max="2" width="25.28515625" customWidth="1"/>
    <col min="3" max="4" width="25.28515625" style="13" customWidth="1"/>
    <col min="5" max="6" width="25.28515625" customWidth="1"/>
    <col min="9" max="9" width="24.7109375" customWidth="1"/>
  </cols>
  <sheetData>
    <row r="3" spans="1:32" ht="15.75" thickBot="1" x14ac:dyDescent="0.3">
      <c r="A3" s="19" t="s">
        <v>123</v>
      </c>
      <c r="B3" s="5"/>
      <c r="C3" s="9" t="s">
        <v>27</v>
      </c>
      <c r="D3" s="9" t="s">
        <v>28</v>
      </c>
      <c r="E3" s="5" t="s">
        <v>29</v>
      </c>
      <c r="J3" s="14"/>
      <c r="K3" s="14"/>
      <c r="L3" s="82" t="s">
        <v>39</v>
      </c>
      <c r="M3" s="82"/>
      <c r="N3" s="82"/>
      <c r="O3" s="82"/>
      <c r="P3" s="82"/>
      <c r="Q3" s="82"/>
      <c r="R3" s="82"/>
      <c r="S3" s="82"/>
      <c r="T3" s="82"/>
      <c r="U3" s="82"/>
      <c r="V3" s="82"/>
      <c r="W3" s="82"/>
      <c r="X3" s="82"/>
      <c r="Y3" s="82"/>
      <c r="Z3" s="82"/>
      <c r="AA3" s="82"/>
      <c r="AB3" s="82"/>
      <c r="AC3" s="82"/>
      <c r="AD3" s="83" t="s">
        <v>40</v>
      </c>
      <c r="AE3" s="83"/>
      <c r="AF3" s="83"/>
    </row>
    <row r="4" spans="1:32" x14ac:dyDescent="0.25">
      <c r="B4" s="75" t="s">
        <v>33</v>
      </c>
      <c r="C4" s="49"/>
      <c r="D4" s="49"/>
      <c r="E4" s="50"/>
      <c r="F4" s="51"/>
      <c r="I4" s="29"/>
      <c r="J4" s="30" t="s">
        <v>68</v>
      </c>
      <c r="K4" s="30" t="s">
        <v>69</v>
      </c>
      <c r="L4" s="31" t="s">
        <v>41</v>
      </c>
      <c r="M4" s="31" t="s">
        <v>42</v>
      </c>
      <c r="N4" s="31" t="s">
        <v>43</v>
      </c>
      <c r="O4" s="31" t="s">
        <v>44</v>
      </c>
      <c r="P4" s="31" t="s">
        <v>45</v>
      </c>
      <c r="Q4" s="31" t="s">
        <v>46</v>
      </c>
      <c r="R4" s="31" t="s">
        <v>47</v>
      </c>
      <c r="S4" s="31" t="s">
        <v>48</v>
      </c>
      <c r="T4" s="31" t="s">
        <v>49</v>
      </c>
      <c r="U4" s="31" t="s">
        <v>50</v>
      </c>
      <c r="V4" s="31" t="s">
        <v>51</v>
      </c>
      <c r="W4" s="31" t="s">
        <v>52</v>
      </c>
      <c r="X4" s="31" t="s">
        <v>53</v>
      </c>
      <c r="Y4" s="31" t="s">
        <v>54</v>
      </c>
      <c r="Z4" s="31" t="s">
        <v>55</v>
      </c>
      <c r="AA4" s="31" t="s">
        <v>56</v>
      </c>
      <c r="AB4" s="31" t="s">
        <v>57</v>
      </c>
      <c r="AC4" s="31" t="s">
        <v>58</v>
      </c>
      <c r="AD4" s="32" t="s">
        <v>59</v>
      </c>
      <c r="AE4" s="32" t="s">
        <v>60</v>
      </c>
      <c r="AF4" s="32" t="s">
        <v>61</v>
      </c>
    </row>
    <row r="5" spans="1:32" ht="15.75" thickBot="1" x14ac:dyDescent="0.3">
      <c r="B5" s="73" t="s">
        <v>34</v>
      </c>
      <c r="C5" s="52">
        <f>230*0.6</f>
        <v>138</v>
      </c>
      <c r="D5" s="53">
        <f>20*60</f>
        <v>1200</v>
      </c>
      <c r="E5" s="54">
        <f>C5*D5/1000000</f>
        <v>0.1656</v>
      </c>
      <c r="F5" s="55">
        <f>E5*0.277777778</f>
        <v>4.6000000036799993E-2</v>
      </c>
      <c r="I5" s="10" t="s">
        <v>65</v>
      </c>
      <c r="J5">
        <f>$F$5*[3]production!D$7</f>
        <v>3.2656320026125049E-2</v>
      </c>
      <c r="K5">
        <f>$F$5*[3]production!M$7</f>
        <v>0.57461372577289094</v>
      </c>
      <c r="L5">
        <f>$F$5*[3]production!N$7</f>
        <v>3.7387420029909928E-5</v>
      </c>
      <c r="M5">
        <f>$F$5*[3]production!O$7</f>
        <v>3.0819540024655628E-2</v>
      </c>
      <c r="N5">
        <f>$F$5*[3]production!P$7</f>
        <v>1.3611400010889117E-2</v>
      </c>
      <c r="O5">
        <f>$F$5*[3]production!Q$7</f>
        <v>1.1734600009387678E-4</v>
      </c>
      <c r="P5">
        <f>$F$5*[3]production!R$7</f>
        <v>5.726540004581231E-7</v>
      </c>
      <c r="Q5">
        <f>$F$5*[3]production!S$7</f>
        <v>0.24005100019204076</v>
      </c>
      <c r="R5">
        <f>$F$5*[3]production!T$7</f>
        <v>1.9425800015540639E-4</v>
      </c>
      <c r="S5">
        <f>$F$5*[3]production!U$7</f>
        <v>7.2192400057753903E-2</v>
      </c>
      <c r="T5">
        <f>$F$5*[3]production!V$7</f>
        <v>2.8278500022622794E-5</v>
      </c>
      <c r="U5">
        <f>$F$5*[3]production!W$7</f>
        <v>1.3795400011036316E-4</v>
      </c>
      <c r="V5">
        <f>$F$5*[3]production!X$7</f>
        <v>5.0761000040608788E-6</v>
      </c>
      <c r="W5">
        <f>$F$5*[3]production!Y$7</f>
        <v>2.7275240021820186E-9</v>
      </c>
      <c r="X5">
        <f>$F$5*[3]production!Z$7</f>
        <v>3.4436520027549207E-5</v>
      </c>
      <c r="Y5">
        <f>$F$5*[3]production!AA$7</f>
        <v>9.2625600074100465E-5</v>
      </c>
      <c r="Z5">
        <f>$F$5*[3]production!AB$7</f>
        <v>1.3340000010671996E-4</v>
      </c>
      <c r="AA5">
        <f>$F$5*[3]production!AC$7</f>
        <v>2.3875380019100299E-6</v>
      </c>
      <c r="AB5">
        <f>$F$5*[3]production!AD$7</f>
        <v>1.4725060011780048E-5</v>
      </c>
      <c r="AC5">
        <f>$F$5*[3]production!AE$7</f>
        <v>3.688556002950844E-6</v>
      </c>
      <c r="AD5">
        <f>$F$5*[3]production!AF$7</f>
        <v>9.0224400072179498E-4</v>
      </c>
      <c r="AE5">
        <f>$F$5*[3]production!AG$7</f>
        <v>2.7821720022257372E-3</v>
      </c>
      <c r="AF5">
        <f>$F$5*[3]production!AH$7</f>
        <v>1.6385660013108526E-3</v>
      </c>
    </row>
    <row r="6" spans="1:32" x14ac:dyDescent="0.25">
      <c r="B6" s="75" t="s">
        <v>8</v>
      </c>
      <c r="C6" s="49"/>
      <c r="D6" s="49"/>
      <c r="E6" s="50"/>
      <c r="F6" s="56"/>
      <c r="I6" s="10" t="s">
        <v>112</v>
      </c>
      <c r="J6">
        <f>$F$7*[3]production!D$7</f>
        <v>5.2210193981162085</v>
      </c>
      <c r="K6">
        <f>$F$7*[3]production!M$7</f>
        <v>91.867957145325505</v>
      </c>
      <c r="L6">
        <f>$F$7*[3]production!N$7</f>
        <v>5.9774170839065116E-3</v>
      </c>
      <c r="M6">
        <f>$F$7*[3]production!O$7</f>
        <v>4.9273591201035023</v>
      </c>
      <c r="N6">
        <f>$F$7*[3]production!P$7</f>
        <v>2.1761601869261127</v>
      </c>
      <c r="O6">
        <f>$F$7*[3]production!Q$7</f>
        <v>1.8761016008274803E-2</v>
      </c>
      <c r="P6">
        <f>$F$7*[3]production!R$7</f>
        <v>9.1554640645634264E-5</v>
      </c>
      <c r="Q6">
        <f>$F$7*[3]production!S$7</f>
        <v>38.378816949894961</v>
      </c>
      <c r="R6">
        <f>$F$7*[3]production!T$7</f>
        <v>3.1057534536630533E-2</v>
      </c>
      <c r="S6">
        <f>$F$7*[3]production!U$7</f>
        <v>11.541959436842992</v>
      </c>
      <c r="T6">
        <f>$F$7*[3]production!V$7</f>
        <v>4.5211033285327065E-3</v>
      </c>
      <c r="U6">
        <f>$F$7*[3]production!W$7</f>
        <v>2.2055776953671554E-2</v>
      </c>
      <c r="V6">
        <f>$F$7*[3]production!X$7</f>
        <v>8.1155551411725771E-4</v>
      </c>
      <c r="W6">
        <f>$F$7*[3]production!Y$7</f>
        <v>4.3607043637579231E-7</v>
      </c>
      <c r="X6">
        <f>$F$7*[3]production!Z$7</f>
        <v>5.5056337922832939E-3</v>
      </c>
      <c r="Y6">
        <f>$F$7*[3]production!AA$7</f>
        <v>1.4808773749220752E-2</v>
      </c>
      <c r="Z6">
        <f>$F$7*[3]production!AB$7</f>
        <v>2.1327693619755752E-2</v>
      </c>
      <c r="AA6">
        <f>$F$7*[3]production!AC$7</f>
        <v>3.8171423515385614E-4</v>
      </c>
      <c r="AB6">
        <f>$F$7*[3]production!AD$7</f>
        <v>2.3542096567655225E-3</v>
      </c>
      <c r="AC6">
        <f>$F$7*[3]production!AE$7</f>
        <v>5.8971808296335681E-4</v>
      </c>
      <c r="AD6">
        <f>$F$7*[3]production!AF$7</f>
        <v>0.14424875264065148</v>
      </c>
      <c r="AE6">
        <f>$F$7*[3]production!AG$7</f>
        <v>0.44480743638278192</v>
      </c>
      <c r="AF6">
        <f>$F$7*[3]production!AH$7</f>
        <v>0.26197026704459297</v>
      </c>
    </row>
    <row r="7" spans="1:32" ht="15.75" thickBot="1" x14ac:dyDescent="0.3">
      <c r="A7" s="19">
        <v>350</v>
      </c>
      <c r="B7" s="73" t="s">
        <v>31</v>
      </c>
      <c r="C7" s="53">
        <f>(2.8*10000*'mateiral inventory'!C5/240*A7+57500)</f>
        <v>90166.666666666657</v>
      </c>
      <c r="D7" s="53">
        <f>'mateiral inventory'!B5/33*60</f>
        <v>127.27272727272727</v>
      </c>
      <c r="E7" s="54">
        <f>(C7*D7+50000*5*60)/1000000</f>
        <v>26.475757575757573</v>
      </c>
      <c r="F7" s="55">
        <f>E7*0.277777778</f>
        <v>7.3543771102606046</v>
      </c>
      <c r="I7" s="10" t="s">
        <v>127</v>
      </c>
      <c r="J7">
        <f>$F$9*[3]production!D$7</f>
        <v>1.9522800015618238</v>
      </c>
      <c r="K7">
        <f>$F$9*[3]production!M$7</f>
        <v>34.351907519031528</v>
      </c>
      <c r="L7">
        <f>$F$9*[3]production!N$7</f>
        <v>2.2351175017880937E-3</v>
      </c>
      <c r="M7">
        <f>$F$9*[3]production!O$7</f>
        <v>1.8424725014739778</v>
      </c>
      <c r="N7">
        <f>$F$9*[3]production!P$7</f>
        <v>0.81372500065097986</v>
      </c>
      <c r="O7">
        <f>$F$9*[3]production!Q$7</f>
        <v>7.0152500056121989E-3</v>
      </c>
      <c r="P7">
        <f>$F$9*[3]production!R$7</f>
        <v>3.4234750027387797E-5</v>
      </c>
      <c r="Q7">
        <f>$F$9*[3]production!S$7</f>
        <v>14.350875011480698</v>
      </c>
      <c r="R7">
        <f>$F$9*[3]production!T$7</f>
        <v>1.16132500092906E-2</v>
      </c>
      <c r="S7">
        <f>$F$9*[3]production!U$7</f>
        <v>4.3158500034526792</v>
      </c>
      <c r="T7">
        <f>$F$9*[3]production!V$7</f>
        <v>1.6905625013524496E-3</v>
      </c>
      <c r="U7">
        <f>$F$9*[3]production!W$7</f>
        <v>8.2472500065977998E-3</v>
      </c>
      <c r="V7">
        <f>$F$9*[3]production!X$7</f>
        <v>3.0346250024276995E-4</v>
      </c>
      <c r="W7">
        <f>$F$9*[3]production!Y$7</f>
        <v>1.630585001304468E-7</v>
      </c>
      <c r="X7">
        <f>$F$9*[3]production!Z$7</f>
        <v>2.0587050016469639E-3</v>
      </c>
      <c r="Y7">
        <f>$F$9*[3]production!AA$7</f>
        <v>5.5374000044299196E-3</v>
      </c>
      <c r="Z7">
        <f>$F$9*[3]production!AB$7</f>
        <v>7.9750000063799984E-3</v>
      </c>
      <c r="AA7">
        <f>$F$9*[3]production!AC$7</f>
        <v>1.4273325011418658E-4</v>
      </c>
      <c r="AB7">
        <f>$F$9*[3]production!AD$7</f>
        <v>8.8030250070424197E-4</v>
      </c>
      <c r="AC7">
        <f>$F$9*[3]production!AE$7</f>
        <v>2.2051150017640916E-4</v>
      </c>
      <c r="AD7">
        <f>$F$9*[3]production!AF$7</f>
        <v>5.3938500043150796E-2</v>
      </c>
      <c r="AE7">
        <f>$F$9*[3]production!AG$7</f>
        <v>0.16632550013306038</v>
      </c>
      <c r="AF7">
        <f>$F$9*[3]production!AH$7</f>
        <v>9.7957750078366185E-2</v>
      </c>
    </row>
    <row r="8" spans="1:32" x14ac:dyDescent="0.25">
      <c r="B8" s="75" t="s">
        <v>30</v>
      </c>
      <c r="C8" s="57"/>
      <c r="D8" s="49"/>
      <c r="E8" s="50"/>
      <c r="F8" s="56"/>
      <c r="I8" s="10" t="s">
        <v>113</v>
      </c>
      <c r="J8">
        <f>$F$10*[3]production!D$7</f>
        <v>6.8506782326191873</v>
      </c>
      <c r="K8">
        <f>$F$10*[3]production!M$7</f>
        <v>120.54309059218431</v>
      </c>
      <c r="L8">
        <f>$F$10*[3]production!N$7</f>
        <v>7.8431735225460569E-3</v>
      </c>
      <c r="M8">
        <f>$F$10*[3]production!O$7</f>
        <v>6.4653565318240496</v>
      </c>
      <c r="N8">
        <f>$F$10*[3]production!P$7</f>
        <v>2.8554142565810476</v>
      </c>
      <c r="O8">
        <f>$F$10*[3]production!Q$7</f>
        <v>2.4616971167753472E-2</v>
      </c>
      <c r="P8">
        <f>$F$10*[3]production!R$7</f>
        <v>1.2013197729022462E-4</v>
      </c>
      <c r="Q8">
        <f>$F$10*[3]production!S$7</f>
        <v>50.358159168530577</v>
      </c>
      <c r="R8">
        <f>$F$10*[3]production!T$7</f>
        <v>4.0751653955869438E-2</v>
      </c>
      <c r="S8">
        <f>$F$10*[3]production!U$7</f>
        <v>15.144599980663386</v>
      </c>
      <c r="T8">
        <f>$F$10*[3]production!V$7</f>
        <v>5.9322944043028016E-3</v>
      </c>
      <c r="U8">
        <f>$F$10*[3]production!W$7</f>
        <v>2.894013976169842E-2</v>
      </c>
      <c r="V8">
        <f>$F$10*[3]production!X$7</f>
        <v>1.0648697641558588E-3</v>
      </c>
      <c r="W8">
        <f>$F$10*[3]production!Y$7</f>
        <v>5.7218294332449024E-7</v>
      </c>
      <c r="X8">
        <f>$F$10*[3]production!Z$7</f>
        <v>7.2241305196407701E-3</v>
      </c>
      <c r="Y8">
        <f>$F$10*[3]production!AA$7</f>
        <v>1.943109884099898E-2</v>
      </c>
      <c r="Z8">
        <f>$F$10*[3]production!AB$7</f>
        <v>2.7984796701875762E-2</v>
      </c>
      <c r="AA8">
        <f>$F$10*[3]production!AC$7</f>
        <v>5.0086031145429584E-4</v>
      </c>
      <c r="AB8">
        <f>$F$10*[3]production!AD$7</f>
        <v>3.0890390593922247E-3</v>
      </c>
      <c r="AC8">
        <f>$F$10*[3]production!AE$7</f>
        <v>7.7378927873676207E-4</v>
      </c>
      <c r="AD8">
        <f>$F$10*[3]production!AF$7</f>
        <v>0.18927372500365217</v>
      </c>
      <c r="AE8">
        <f>$F$10*[3]production!AG$7</f>
        <v>0.58364706004236211</v>
      </c>
      <c r="AF8">
        <f>$F$10*[3]production!AH$7</f>
        <v>0.34374015286810916</v>
      </c>
    </row>
    <row r="9" spans="1:32" x14ac:dyDescent="0.25">
      <c r="B9" s="70" t="s">
        <v>126</v>
      </c>
      <c r="C9" s="71">
        <f>300*100</f>
        <v>30000</v>
      </c>
      <c r="D9" s="72">
        <f>D10+D11+D12+D14+D15</f>
        <v>330</v>
      </c>
      <c r="E9" s="78">
        <f>C9*D9/1000000</f>
        <v>9.9</v>
      </c>
      <c r="F9" s="77">
        <f>E9*0.277777778</f>
        <v>2.7500000021999997</v>
      </c>
      <c r="I9" s="10" t="s">
        <v>114</v>
      </c>
      <c r="J9">
        <f>$F$11*[3]production!D$7</f>
        <v>12.178983524656331</v>
      </c>
      <c r="K9">
        <f>$F$11*[3]production!M$7</f>
        <v>214.29882771943875</v>
      </c>
      <c r="L9">
        <f>$F$11*[3]production!N$7</f>
        <v>1.3943419595637432E-2</v>
      </c>
      <c r="M9">
        <f>$F$11*[3]production!O$7</f>
        <v>11.493967167687197</v>
      </c>
      <c r="N9">
        <f>$F$11*[3]production!P$7</f>
        <v>5.0762920116996399</v>
      </c>
      <c r="O9">
        <f>$F$11*[3]production!Q$7</f>
        <v>4.3763504298228388E-2</v>
      </c>
      <c r="P9">
        <f>$F$11*[3]production!R$7</f>
        <v>2.1356795962706597E-4</v>
      </c>
      <c r="Q9">
        <f>$F$11*[3]production!S$7</f>
        <v>89.525616299609894</v>
      </c>
      <c r="R9">
        <f>$F$11*[3]production!T$7</f>
        <v>7.2447384810434542E-2</v>
      </c>
      <c r="S9">
        <f>$F$11*[3]production!U$7</f>
        <v>26.923733298957128</v>
      </c>
      <c r="T9">
        <f>$F$11*[3]production!V$7</f>
        <v>1.0546301163204978E-2</v>
      </c>
      <c r="U9">
        <f>$F$11*[3]production!W$7</f>
        <v>5.1449137354130516E-2</v>
      </c>
      <c r="V9">
        <f>$F$11*[3]production!X$7</f>
        <v>1.8931018029437487E-3</v>
      </c>
      <c r="W9">
        <f>$F$11*[3]production!Y$7</f>
        <v>1.0172141214657602E-6</v>
      </c>
      <c r="X9">
        <f>$F$11*[3]production!Z$7</f>
        <v>1.284289870158359E-2</v>
      </c>
      <c r="Y9">
        <f>$F$11*[3]production!AA$7</f>
        <v>3.454417571733151E-2</v>
      </c>
      <c r="Z9">
        <f>$F$11*[3]production!AB$7</f>
        <v>4.9750749692223567E-2</v>
      </c>
      <c r="AA9">
        <f>$F$11*[3]production!AC$7</f>
        <v>8.9041833147430354E-4</v>
      </c>
      <c r="AB9">
        <f>$F$11*[3]production!AD$7</f>
        <v>5.4916249944750653E-3</v>
      </c>
      <c r="AC9">
        <f>$F$11*[3]production!AE$7</f>
        <v>1.3756253844209101E-3</v>
      </c>
      <c r="AD9">
        <f>$F$11*[3]production!AF$7</f>
        <v>0.33648662222871489</v>
      </c>
      <c r="AE9">
        <f>$F$11*[3]production!AG$7</f>
        <v>1.0375947734086435</v>
      </c>
      <c r="AF9">
        <f>$F$11*[3]production!AH$7</f>
        <v>0.61109360509886068</v>
      </c>
    </row>
    <row r="10" spans="1:32" x14ac:dyDescent="0.25">
      <c r="B10" s="74" t="s">
        <v>35</v>
      </c>
      <c r="C10" s="58">
        <f>(300+370)*(10000*'mateiral inventory'!$C$9/100)^2*(3000/9999)^2</f>
        <v>385997.19557914388</v>
      </c>
      <c r="D10" s="58">
        <v>90</v>
      </c>
      <c r="E10" s="59">
        <f>C10*D10/1000000</f>
        <v>34.739747602122947</v>
      </c>
      <c r="F10" s="60">
        <f t="shared" ref="F10:F17" si="0">E10*0.277777778</f>
        <v>9.6499298971985397</v>
      </c>
      <c r="I10" s="10" t="s">
        <v>115</v>
      </c>
      <c r="J10">
        <f>$F$12*[3]production!D$7</f>
        <v>0.17038080013630461</v>
      </c>
      <c r="K10">
        <f>$F$12*[3]production!M$7</f>
        <v>2.9979846562063877</v>
      </c>
      <c r="L10">
        <f>$F$12*[3]production!N$7</f>
        <v>1.950648001560518E-4</v>
      </c>
      <c r="M10">
        <f>$F$12*[3]production!O$7</f>
        <v>0.16079760012863806</v>
      </c>
      <c r="N10">
        <f>$F$12*[3]production!P$7</f>
        <v>7.1016000056812786E-2</v>
      </c>
      <c r="O10">
        <f>$F$12*[3]production!Q$7</f>
        <v>6.1224000048979192E-4</v>
      </c>
      <c r="P10">
        <f>$F$12*[3]production!R$7</f>
        <v>2.9877600023902077E-6</v>
      </c>
      <c r="Q10">
        <f>$F$12*[3]production!S$7</f>
        <v>1.2524400010019516</v>
      </c>
      <c r="R10">
        <f>$F$12*[3]production!T$7</f>
        <v>1.0135200008108158E-3</v>
      </c>
      <c r="S10">
        <f>$F$12*[3]production!U$7</f>
        <v>0.37665600030132473</v>
      </c>
      <c r="T10">
        <f>$F$12*[3]production!V$7</f>
        <v>1.4754000011803195E-4</v>
      </c>
      <c r="U10">
        <f>$F$12*[3]production!W$7</f>
        <v>7.1976000057580791E-4</v>
      </c>
      <c r="V10">
        <f>$F$12*[3]production!X$7</f>
        <v>2.6484000021187197E-5</v>
      </c>
      <c r="W10">
        <f>$F$12*[3]production!Y$7</f>
        <v>1.4230560011384446E-8</v>
      </c>
      <c r="X10">
        <f>$F$12*[3]production!Z$7</f>
        <v>1.79668800143735E-4</v>
      </c>
      <c r="Y10">
        <f>$F$12*[3]production!AA$7</f>
        <v>4.8326400038661111E-4</v>
      </c>
      <c r="Z10">
        <f>$F$12*[3]production!AB$7</f>
        <v>6.9600000055679984E-4</v>
      </c>
      <c r="AA10">
        <f>$F$12*[3]production!AC$7</f>
        <v>1.2456720009965375E-5</v>
      </c>
      <c r="AB10">
        <f>$F$12*[3]production!AD$7</f>
        <v>7.6826400061461117E-5</v>
      </c>
      <c r="AC10">
        <f>$F$12*[3]production!AE$7</f>
        <v>1.9244640015395706E-5</v>
      </c>
      <c r="AD10">
        <f>$F$12*[3]production!AF$7</f>
        <v>4.7073600037658868E-3</v>
      </c>
      <c r="AE10">
        <f>$F$12*[3]production!AG$7</f>
        <v>1.4515680011612542E-2</v>
      </c>
      <c r="AF10">
        <f>$F$12*[3]production!AH$7</f>
        <v>8.5490400068392314E-3</v>
      </c>
    </row>
    <row r="11" spans="1:32" x14ac:dyDescent="0.25">
      <c r="A11" s="19">
        <v>100</v>
      </c>
      <c r="B11" s="74" t="s">
        <v>36</v>
      </c>
      <c r="C11" s="58">
        <f>(300+370)*(10000*'mateiral inventory'!$C$9/100)^2*(4000/9999)^2</f>
        <v>686217.23658514454</v>
      </c>
      <c r="D11" s="58">
        <v>90</v>
      </c>
      <c r="E11" s="59">
        <f>C11*D11/1000000</f>
        <v>61.759551292663005</v>
      </c>
      <c r="F11" s="60">
        <f t="shared" si="0"/>
        <v>17.155430928352956</v>
      </c>
      <c r="I11" s="10" t="s">
        <v>116</v>
      </c>
      <c r="J11">
        <f>$F$14*[3]production!D$7</f>
        <v>0.24865424696173338</v>
      </c>
      <c r="K11">
        <f>$F$14*[3]production!M$7</f>
        <v>4.3752677326052076</v>
      </c>
      <c r="L11">
        <f>$F$14*[3]production!N$7</f>
        <v>2.8467815007759755E-4</v>
      </c>
      <c r="M11">
        <f>$F$14*[3]production!O$7</f>
        <v>0.23466849634028025</v>
      </c>
      <c r="N11">
        <f>$F$14*[3]production!P$7</f>
        <v>0.1036409619055343</v>
      </c>
      <c r="O11">
        <f>$F$14*[3]production!Q$7</f>
        <v>8.9350487942216285E-4</v>
      </c>
      <c r="P11">
        <f>$F$14*[3]production!R$7</f>
        <v>4.3603458423859299E-6</v>
      </c>
      <c r="Q11">
        <f>$F$14*[3]production!S$7</f>
        <v>1.8278146661170351</v>
      </c>
      <c r="R11">
        <f>$F$14*[3]production!T$7</f>
        <v>1.4791341065463718E-3</v>
      </c>
      <c r="S11">
        <f>$F$14*[3]production!U$7</f>
        <v>0.54969288818704132</v>
      </c>
      <c r="T11">
        <f>$F$14*[3]production!V$7</f>
        <v>2.1532031541543497E-4</v>
      </c>
      <c r="U11">
        <f>$F$14*[3]production!W$7</f>
        <v>1.0504198876468312E-3</v>
      </c>
      <c r="V11">
        <f>$F$14*[3]production!X$7</f>
        <v>3.8650828476768198E-5</v>
      </c>
      <c r="W11">
        <f>$F$14*[3]production!Y$7</f>
        <v>2.0768121646592602E-8</v>
      </c>
      <c r="X11">
        <f>$F$14*[3]production!Z$7</f>
        <v>2.6220918182399825E-4</v>
      </c>
      <c r="Y11">
        <f>$F$14*[3]production!AA$7</f>
        <v>7.0527692089551828E-4</v>
      </c>
      <c r="Z11">
        <f>$F$14*[3]production!AB$7</f>
        <v>1.0157444728828978E-3</v>
      </c>
      <c r="AA11">
        <f>$F$14*[3]production!AC$7</f>
        <v>1.8179374267600361E-5</v>
      </c>
      <c r="AB11">
        <f>$F$14*[3]production!AD$7</f>
        <v>1.1212067697053257E-4</v>
      </c>
      <c r="AC11">
        <f>$F$14*[3]production!AE$7</f>
        <v>2.808568493192691E-5</v>
      </c>
      <c r="AD11">
        <f>$F$14*[3]production!AF$7</f>
        <v>6.869935203836261E-3</v>
      </c>
      <c r="AE11">
        <f>$F$14*[3]production!AG$7</f>
        <v>2.1184226623759805E-2</v>
      </c>
      <c r="AF11">
        <f>$F$14*[3]production!AH$7</f>
        <v>1.247649443743507E-2</v>
      </c>
    </row>
    <row r="12" spans="1:32" ht="15.75" thickBot="1" x14ac:dyDescent="0.3">
      <c r="B12" s="73" t="s">
        <v>37</v>
      </c>
      <c r="C12" s="52">
        <f>630/350*A11/100*10000*'mateiral inventory'!C12</f>
        <v>14400</v>
      </c>
      <c r="D12" s="52">
        <v>60</v>
      </c>
      <c r="E12" s="54">
        <f>C12*D12/1000000</f>
        <v>0.86399999999999999</v>
      </c>
      <c r="F12" s="55">
        <f t="shared" si="0"/>
        <v>0.24000000019199996</v>
      </c>
      <c r="I12" s="10" t="s">
        <v>117</v>
      </c>
      <c r="J12">
        <f>$F$15*[3]production!D$7</f>
        <v>0.25372882343034026</v>
      </c>
      <c r="K12">
        <f>$F$15*[3]production!M$7</f>
        <v>4.4645589108216415</v>
      </c>
      <c r="L12">
        <f>$F$15*[3]production!N$7</f>
        <v>2.9048790824244655E-4</v>
      </c>
      <c r="M12">
        <f>$F$15*[3]production!O$7</f>
        <v>0.23945764932681665</v>
      </c>
      <c r="N12">
        <f>$F$15*[3]production!P$7</f>
        <v>0.10575608357707585</v>
      </c>
      <c r="O12">
        <f>$F$15*[3]production!Q$7</f>
        <v>9.1173967287975827E-4</v>
      </c>
      <c r="P12">
        <f>$F$15*[3]production!R$7</f>
        <v>4.4493324922305416E-6</v>
      </c>
      <c r="Q12">
        <f>$F$15*[3]production!S$7</f>
        <v>1.8651170062418732</v>
      </c>
      <c r="R12">
        <f>$F$15*[3]production!T$7</f>
        <v>1.5093205168840531E-3</v>
      </c>
      <c r="S12">
        <f>$F$15*[3]production!U$7</f>
        <v>0.56091111039494024</v>
      </c>
      <c r="T12">
        <f>$F$15*[3]production!V$7</f>
        <v>2.1971460756677044E-4</v>
      </c>
      <c r="U12">
        <f>$F$15*[3]production!W$7</f>
        <v>1.0718570282110527E-3</v>
      </c>
      <c r="V12">
        <f>$F$15*[3]production!X$7</f>
        <v>3.9439620894661436E-5</v>
      </c>
      <c r="W12">
        <f>$F$15*[3]production!Y$7</f>
        <v>2.1191960863870009E-8</v>
      </c>
      <c r="X12">
        <f>$F$15*[3]production!Z$7</f>
        <v>2.6756038961632485E-4</v>
      </c>
      <c r="Y12">
        <f>$F$15*[3]production!AA$7</f>
        <v>7.196703274444066E-4</v>
      </c>
      <c r="Z12">
        <f>$F$15*[3]production!AB$7</f>
        <v>1.0364739519213245E-3</v>
      </c>
      <c r="AA12">
        <f>$F$15*[3]production!AC$7</f>
        <v>1.8550381905714661E-5</v>
      </c>
      <c r="AB12">
        <f>$F$15*[3]production!AD$7</f>
        <v>1.1440885405156388E-4</v>
      </c>
      <c r="AC12">
        <f>$F$15*[3]production!AE$7</f>
        <v>2.8658862175435631E-5</v>
      </c>
      <c r="AD12">
        <f>$F$15*[3]production!AF$7</f>
        <v>7.0101379630982284E-3</v>
      </c>
      <c r="AE12">
        <f>$F$15*[3]production!AG$7</f>
        <v>2.1616557779346745E-2</v>
      </c>
      <c r="AF12">
        <f>$F$15*[3]production!AH$7</f>
        <v>1.2731116772892933E-2</v>
      </c>
    </row>
    <row r="13" spans="1:32" x14ac:dyDescent="0.25">
      <c r="B13" s="75" t="s">
        <v>13</v>
      </c>
      <c r="C13" s="57"/>
      <c r="D13" s="49"/>
      <c r="E13" s="50"/>
      <c r="F13" s="56"/>
      <c r="I13" s="10" t="s">
        <v>118</v>
      </c>
      <c r="J13">
        <f>$F$17*[3]production!D$7</f>
        <v>7.7349010970970102</v>
      </c>
      <c r="K13">
        <f>$F$17*[3]production!M$7</f>
        <v>136.10168979027861</v>
      </c>
      <c r="L13">
        <f>$F$17*[3]production!N$7</f>
        <v>8.8554985979934879E-3</v>
      </c>
      <c r="M13">
        <f>$F$17*[3]production!O$7</f>
        <v>7.2998455967489662</v>
      </c>
      <c r="N13">
        <f>$F$17*[3]production!P$7</f>
        <v>3.2239650025791713</v>
      </c>
      <c r="O13">
        <f>$F$17*[3]production!Q$7</f>
        <v>2.7794304567689984E-2</v>
      </c>
      <c r="P13">
        <f>$F$17*[3]production!R$7</f>
        <v>1.3563751374487363E-4</v>
      </c>
      <c r="Q13">
        <f>$F$17*[3]production!S$7</f>
        <v>56.857929590940877</v>
      </c>
      <c r="R13">
        <f>$F$17*[3]production!T$7</f>
        <v>4.6011504582263746E-2</v>
      </c>
      <c r="S13">
        <f>$F$17*[3]production!U$7</f>
        <v>17.099326377315823</v>
      </c>
      <c r="T13">
        <f>$F$17*[3]production!V$7</f>
        <v>6.6979806871765649E-3</v>
      </c>
      <c r="U13">
        <f>$F$17*[3]production!W$7</f>
        <v>3.2675468207958552E-2</v>
      </c>
      <c r="V13">
        <f>$F$17*[3]production!X$7</f>
        <v>1.2023134100527595E-3</v>
      </c>
      <c r="W13">
        <f>$F$17*[3]production!Y$7</f>
        <v>6.4603508233500982E-7</v>
      </c>
      <c r="X13">
        <f>$F$17*[3]production!Z$7</f>
        <v>8.1565551883434236E-3</v>
      </c>
      <c r="Y13">
        <f>$F$17*[3]production!AA$7</f>
        <v>2.1939087290278537E-2</v>
      </c>
      <c r="Z13">
        <f>$F$17*[3]production!AB$7</f>
        <v>3.1596818207095631E-2</v>
      </c>
      <c r="AA13">
        <f>$F$17*[3]production!AC$7</f>
        <v>5.6550677772513258E-4</v>
      </c>
      <c r="AB13">
        <f>$F$17*[3]production!AD$7</f>
        <v>3.4877439573356493E-3</v>
      </c>
      <c r="AC13">
        <f>$F$17*[3]production!AE$7</f>
        <v>8.7366291888074828E-4</v>
      </c>
      <c r="AD13">
        <f>$F$17*[3]production!AF$7</f>
        <v>0.21370344562550816</v>
      </c>
      <c r="AE13">
        <f>$F$17*[3]production!AG$7</f>
        <v>0.65897888234536484</v>
      </c>
      <c r="AF13">
        <f>$F$17*[3]production!AH$7</f>
        <v>0.38810698667412191</v>
      </c>
    </row>
    <row r="14" spans="1:32" x14ac:dyDescent="0.25">
      <c r="B14" s="74" t="s">
        <v>71</v>
      </c>
      <c r="C14" s="58">
        <f>(300+370)*(10000*'mateiral inventory'!$C$9/100)^2*(700/9999)^2</f>
        <v>21015.40287042005</v>
      </c>
      <c r="D14" s="61">
        <v>60</v>
      </c>
      <c r="E14" s="59">
        <f>C14*D14/1000000</f>
        <v>1.2609241722252029</v>
      </c>
      <c r="F14" s="60">
        <f>E14*0.277777778</f>
        <v>0.35025671478720616</v>
      </c>
    </row>
    <row r="15" spans="1:32" ht="15.75" thickBot="1" x14ac:dyDescent="0.3">
      <c r="B15" s="73" t="s">
        <v>38</v>
      </c>
      <c r="C15" s="52">
        <f>(300+370)*(10000*'mateiral inventory'!$C$9/100)^2*(1000/9999)^2</f>
        <v>42888.577286571533</v>
      </c>
      <c r="D15" s="53">
        <v>30</v>
      </c>
      <c r="E15" s="54">
        <f>C15*D15/1000000</f>
        <v>1.2866573185971462</v>
      </c>
      <c r="F15" s="55">
        <f t="shared" si="0"/>
        <v>0.35740481100735333</v>
      </c>
    </row>
    <row r="16" spans="1:32" x14ac:dyDescent="0.25">
      <c r="A16" s="19">
        <v>240</v>
      </c>
      <c r="B16" s="76" t="s">
        <v>16</v>
      </c>
      <c r="C16" s="49"/>
      <c r="D16" s="49"/>
      <c r="E16" s="50"/>
      <c r="F16" s="56"/>
    </row>
    <row r="17" spans="2:6" ht="15.75" thickBot="1" x14ac:dyDescent="0.3">
      <c r="B17" s="73" t="s">
        <v>31</v>
      </c>
      <c r="C17" s="53">
        <f>(2.8*10000*'mateiral inventory'!C20/240*A16+57500)</f>
        <v>79900</v>
      </c>
      <c r="D17" s="53">
        <f>'mateiral inventory'!B20/33*60</f>
        <v>490.90909090909088</v>
      </c>
      <c r="E17" s="54">
        <f>C17*D17/1000000</f>
        <v>39.223636363636359</v>
      </c>
      <c r="F17" s="55">
        <f t="shared" si="0"/>
        <v>10.895454554170907</v>
      </c>
    </row>
    <row r="18" spans="2:6" x14ac:dyDescent="0.25">
      <c r="B18" s="11"/>
      <c r="C18" s="12"/>
      <c r="D18" s="12"/>
      <c r="E18" s="11"/>
    </row>
    <row r="19" spans="2:6" x14ac:dyDescent="0.25">
      <c r="B19" s="11" t="s">
        <v>32</v>
      </c>
      <c r="C19" s="12"/>
      <c r="D19" s="12"/>
      <c r="E19" s="28">
        <f>SUM(E4:E18)*0.277777778</f>
        <v>48.79885401820637</v>
      </c>
      <c r="F19" s="28">
        <f>SUM(F4:F18)</f>
        <v>48.79885401820637</v>
      </c>
    </row>
  </sheetData>
  <mergeCells count="2">
    <mergeCell ref="L3:AC3"/>
    <mergeCell ref="AD3:A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F84E-EB67-412A-98FC-D0C0D341E902}">
  <dimension ref="A1:X28"/>
  <sheetViews>
    <sheetView workbookViewId="0">
      <selection activeCell="X53" sqref="X53"/>
    </sheetView>
  </sheetViews>
  <sheetFormatPr defaultRowHeight="15" x14ac:dyDescent="0.25"/>
  <cols>
    <col min="1" max="1" width="31.28515625" customWidth="1"/>
  </cols>
  <sheetData>
    <row r="1" spans="1:24" s="29" customFormat="1" x14ac:dyDescent="0.25">
      <c r="B1" s="29" t="s">
        <v>68</v>
      </c>
      <c r="C1" s="29" t="s">
        <v>69</v>
      </c>
      <c r="D1" s="29" t="s">
        <v>41</v>
      </c>
      <c r="E1" s="29" t="s">
        <v>42</v>
      </c>
      <c r="F1" s="29" t="s">
        <v>43</v>
      </c>
      <c r="G1" s="29" t="s">
        <v>44</v>
      </c>
      <c r="H1" s="29" t="s">
        <v>45</v>
      </c>
      <c r="I1" s="29" t="s">
        <v>46</v>
      </c>
      <c r="J1" s="29" t="s">
        <v>47</v>
      </c>
      <c r="K1" s="29" t="s">
        <v>48</v>
      </c>
      <c r="L1" s="29" t="s">
        <v>49</v>
      </c>
      <c r="M1" s="29" t="s">
        <v>50</v>
      </c>
      <c r="N1" s="29" t="s">
        <v>51</v>
      </c>
      <c r="O1" s="29" t="s">
        <v>52</v>
      </c>
      <c r="P1" s="29" t="s">
        <v>53</v>
      </c>
      <c r="Q1" s="29" t="s">
        <v>54</v>
      </c>
      <c r="R1" s="29" t="s">
        <v>55</v>
      </c>
      <c r="S1" s="29" t="s">
        <v>56</v>
      </c>
      <c r="T1" s="29" t="s">
        <v>57</v>
      </c>
      <c r="U1" s="29" t="s">
        <v>58</v>
      </c>
      <c r="V1" s="29" t="s">
        <v>59</v>
      </c>
      <c r="W1" s="29" t="s">
        <v>60</v>
      </c>
      <c r="X1" s="29" t="s">
        <v>61</v>
      </c>
    </row>
    <row r="2" spans="1:24" x14ac:dyDescent="0.25">
      <c r="A2" s="33" t="str">
        <f>'mateiral inventory'!L3</f>
        <v>ITO glass</v>
      </c>
      <c r="B2">
        <f>'mateiral inventory'!M3</f>
        <v>16.837863429999999</v>
      </c>
      <c r="C2">
        <f>'mateiral inventory'!N3</f>
        <v>292.22870408888105</v>
      </c>
      <c r="D2">
        <f>'mateiral inventory'!O3</f>
        <v>5.4035999599999995E-2</v>
      </c>
      <c r="E2">
        <f>'mateiral inventory'!P3</f>
        <v>15.863857979999999</v>
      </c>
      <c r="F2">
        <f>'mateiral inventory'!Q3</f>
        <v>6.8711502629999996</v>
      </c>
      <c r="G2">
        <f>'mateiral inventory'!R3</f>
        <v>8.2522552700000001E-2</v>
      </c>
      <c r="H2">
        <f>'mateiral inventory'!S3</f>
        <v>1.0550032339999998E-3</v>
      </c>
      <c r="I2">
        <f>'mateiral inventory'!T3</f>
        <v>165.51815009999999</v>
      </c>
      <c r="J2">
        <f>'mateiral inventory'!U3</f>
        <v>0.16734019</v>
      </c>
      <c r="K2">
        <f>'mateiral inventory'!V3</f>
        <v>66.525372399999995</v>
      </c>
      <c r="L2">
        <f>'mateiral inventory'!W3</f>
        <v>1.5045233709999998E-2</v>
      </c>
      <c r="M2">
        <f>'mateiral inventory'!X3</f>
        <v>0.64124742970000004</v>
      </c>
      <c r="N2">
        <f>'mateiral inventory'!Y3</f>
        <v>2.6055490222000001E-3</v>
      </c>
      <c r="O2">
        <f>'mateiral inventory'!Z3</f>
        <v>1.3754312987000001E-6</v>
      </c>
      <c r="P2">
        <f>'mateiral inventory'!AA3</f>
        <v>1.994535221E-2</v>
      </c>
      <c r="Q2">
        <f>'mateiral inventory'!AB3</f>
        <v>4.8864307230000001E-2</v>
      </c>
      <c r="R2">
        <f>'mateiral inventory'!AC3</f>
        <v>7.2168691110000002E-2</v>
      </c>
      <c r="S2">
        <f>'mateiral inventory'!AD3</f>
        <v>7.877002793E-3</v>
      </c>
      <c r="T2">
        <f>'mateiral inventory'!AE3</f>
        <v>1.5844954200000001E-2</v>
      </c>
      <c r="U2">
        <f>'mateiral inventory'!AF3</f>
        <v>1.0150023860000001E-2</v>
      </c>
      <c r="V2">
        <f>'mateiral inventory'!AG3</f>
        <v>0.48907124690000003</v>
      </c>
      <c r="W2">
        <f>'mateiral inventory'!AH3</f>
        <v>1.723918898</v>
      </c>
      <c r="X2">
        <f>'mateiral inventory'!AI3</f>
        <v>0.8537033906</v>
      </c>
    </row>
    <row r="3" spans="1:24" x14ac:dyDescent="0.25">
      <c r="A3" s="33" t="str">
        <f>'mateiral inventory'!L4</f>
        <v>Ni</v>
      </c>
      <c r="B3">
        <f>'mateiral inventory'!M4</f>
        <v>8.8120058880000011E-3</v>
      </c>
      <c r="C3">
        <f>'mateiral inventory'!N4</f>
        <v>0.1232730025314816</v>
      </c>
      <c r="D3">
        <f>'mateiral inventory'!O4</f>
        <v>3.6717854208000004E-4</v>
      </c>
      <c r="E3">
        <f>'mateiral inventory'!P4</f>
        <v>8.3171988480000014E-3</v>
      </c>
      <c r="F3">
        <f>'mateiral inventory'!Q4</f>
        <v>2.3912501760000003E-3</v>
      </c>
      <c r="G3">
        <f>'mateiral inventory'!R4</f>
        <v>9.0784404480000007E-4</v>
      </c>
      <c r="H3">
        <f>'mateiral inventory'!S4</f>
        <v>1.3959267840000002E-5</v>
      </c>
      <c r="I3">
        <f>'mateiral inventory'!T4</f>
        <v>1.0426472448000002</v>
      </c>
      <c r="J3">
        <f>'mateiral inventory'!U4</f>
        <v>5.4667931136000007E-4</v>
      </c>
      <c r="K3">
        <f>'mateiral inventory'!V4</f>
        <v>1.0454384640000001</v>
      </c>
      <c r="L3">
        <f>'mateiral inventory'!W4</f>
        <v>2.3535687168000003E-5</v>
      </c>
      <c r="M3">
        <f>'mateiral inventory'!X4</f>
        <v>1.81429248E-4</v>
      </c>
      <c r="N3">
        <f>'mateiral inventory'!Y4</f>
        <v>3.0564484608000003E-6</v>
      </c>
      <c r="O3">
        <f>'mateiral inventory'!Z4</f>
        <v>8.1122979840000009E-10</v>
      </c>
      <c r="P3">
        <f>'mateiral inventory'!AA4</f>
        <v>1.8892113408000002E-4</v>
      </c>
      <c r="Q3">
        <f>'mateiral inventory'!AB4</f>
        <v>1.3106042880000002E-4</v>
      </c>
      <c r="R3">
        <f>'mateiral inventory'!AC4</f>
        <v>8.7092382720000013E-4</v>
      </c>
      <c r="S3">
        <f>'mateiral inventory'!AD4</f>
        <v>1.1959105536000002E-5</v>
      </c>
      <c r="T3">
        <f>'mateiral inventory'!AE4</f>
        <v>2.7028517376000003E-4</v>
      </c>
      <c r="U3">
        <f>'mateiral inventory'!AF4</f>
        <v>3.7690974720000005E-5</v>
      </c>
      <c r="V3">
        <f>'mateiral inventory'!AG4</f>
        <v>1.0670704128E-3</v>
      </c>
      <c r="W3">
        <f>'mateiral inventory'!AH4</f>
        <v>7.8655288320000002E-3</v>
      </c>
      <c r="X3">
        <f>'mateiral inventory'!AI4</f>
        <v>2.9507627520000001E-4</v>
      </c>
    </row>
    <row r="4" spans="1:24" x14ac:dyDescent="0.25">
      <c r="A4" s="33" t="str">
        <f>'mateiral inventory'!L5</f>
        <v>PbI₂</v>
      </c>
      <c r="B4">
        <f>'mateiral inventory'!M5</f>
        <v>3.7615529770640022E-3</v>
      </c>
      <c r="C4">
        <f>'mateiral inventory'!N5</f>
        <v>4.472927890759943E-2</v>
      </c>
      <c r="D4">
        <f>'mateiral inventory'!O5</f>
        <v>8.627760232184571E-4</v>
      </c>
      <c r="E4">
        <f>'mateiral inventory'!P5</f>
        <v>3.2124886312535884E-3</v>
      </c>
      <c r="F4">
        <f>'mateiral inventory'!Q5</f>
        <v>8.5268134776706177E-4</v>
      </c>
      <c r="G4">
        <f>'mateiral inventory'!R5</f>
        <v>5.8731843372568069E-5</v>
      </c>
      <c r="H4">
        <f>'mateiral inventory'!S5</f>
        <v>1.6305720956388424E-6</v>
      </c>
      <c r="I4">
        <f>'mateiral inventory'!T5</f>
        <v>0.12851374749916886</v>
      </c>
      <c r="J4">
        <f>'mateiral inventory'!U5</f>
        <v>1.5790866691612631E-4</v>
      </c>
      <c r="K4">
        <f>'mateiral inventory'!V5</f>
        <v>6.4450691056375131E-2</v>
      </c>
      <c r="L4">
        <f>'mateiral inventory'!W5</f>
        <v>4.2513817580592057E-6</v>
      </c>
      <c r="M4">
        <f>'mateiral inventory'!X5</f>
        <v>5.2103006417646765E-4</v>
      </c>
      <c r="N4">
        <f>'mateiral inventory'!Y5</f>
        <v>5.4650269239401167E-7</v>
      </c>
      <c r="O4">
        <f>'mateiral inventory'!Z5</f>
        <v>3.6778454932801263E-10</v>
      </c>
      <c r="P4">
        <f>'mateiral inventory'!AA5</f>
        <v>9.1045799677784732E-6</v>
      </c>
      <c r="Q4">
        <f>'mateiral inventory'!AB5</f>
        <v>1.2815095554052926E-5</v>
      </c>
      <c r="R4">
        <f>'mateiral inventory'!AC5</f>
        <v>2.5757205705270191E-5</v>
      </c>
      <c r="S4">
        <f>'mateiral inventory'!AD5</f>
        <v>4.4311570671526525E-6</v>
      </c>
      <c r="T4">
        <f>'mateiral inventory'!AE5</f>
        <v>3.3134224651253246E-5</v>
      </c>
      <c r="U4">
        <f>'mateiral inventory'!AF5</f>
        <v>9.6753862499580139E-6</v>
      </c>
      <c r="V4">
        <f>'mateiral inventory'!AG5</f>
        <v>1.5756541441360261E-4</v>
      </c>
      <c r="W4">
        <f>'mateiral inventory'!AH5</f>
        <v>1.0059093195516099E-3</v>
      </c>
      <c r="X4">
        <f>'mateiral inventory'!AI5</f>
        <v>1.2642887287286957E-4</v>
      </c>
    </row>
    <row r="5" spans="1:24" x14ac:dyDescent="0.25">
      <c r="A5" s="33" t="str">
        <f>'mateiral inventory'!L6</f>
        <v>DMF</v>
      </c>
      <c r="B5">
        <f>'mateiral inventory'!M6</f>
        <v>5.5650324248804721E-3</v>
      </c>
      <c r="C5">
        <f>'mateiral inventory'!N6</f>
        <v>0.15136487547183283</v>
      </c>
      <c r="D5">
        <f>'mateiral inventory'!O6</f>
        <v>2.2649518589309763E-4</v>
      </c>
      <c r="E5">
        <f>'mateiral inventory'!P6</f>
        <v>5.0371595742889153E-3</v>
      </c>
      <c r="F5">
        <f>'mateiral inventory'!Q6</f>
        <v>3.3872165412866429E-3</v>
      </c>
      <c r="G5">
        <f>'mateiral inventory'!R6</f>
        <v>7.0877724938861063E-5</v>
      </c>
      <c r="H5">
        <f>'mateiral inventory'!S6</f>
        <v>1.9120317088210361E-6</v>
      </c>
      <c r="I5">
        <f>'mateiral inventory'!T6</f>
        <v>0.11545711232116933</v>
      </c>
      <c r="J5">
        <f>'mateiral inventory'!U6</f>
        <v>4.9854225889324846E-4</v>
      </c>
      <c r="K5">
        <f>'mateiral inventory'!V6</f>
        <v>7.5005013770678614E-2</v>
      </c>
      <c r="L5">
        <f>'mateiral inventory'!W6</f>
        <v>2.4306658120275149E-5</v>
      </c>
      <c r="M5">
        <f>'mateiral inventory'!X6</f>
        <v>3.2434810819693396E-4</v>
      </c>
      <c r="N5">
        <f>'mateiral inventory'!Y6</f>
        <v>2.1268568980171944E-6</v>
      </c>
      <c r="O5">
        <f>'mateiral inventory'!Z6</f>
        <v>1.012274963487013E-9</v>
      </c>
      <c r="P5">
        <f>'mateiral inventory'!AA6</f>
        <v>1.4038811526473075E-5</v>
      </c>
      <c r="Q5">
        <f>'mateiral inventory'!AB6</f>
        <v>1.7029053680118831E-5</v>
      </c>
      <c r="R5">
        <f>'mateiral inventory'!AC6</f>
        <v>3.5768539876119071E-5</v>
      </c>
      <c r="S5">
        <f>'mateiral inventory'!AD6</f>
        <v>3.5768539876119071E-5</v>
      </c>
      <c r="T5">
        <f>'mateiral inventory'!AE6</f>
        <v>4.2986432833176044E-5</v>
      </c>
      <c r="U5">
        <f>'mateiral inventory'!AF6</f>
        <v>1.5045154241639142E-5</v>
      </c>
      <c r="V5">
        <f>'mateiral inventory'!AG6</f>
        <v>2.2412228656471997E-4</v>
      </c>
      <c r="W5">
        <f>'mateiral inventory'!AH6</f>
        <v>9.9535346827645107E-4</v>
      </c>
      <c r="X5">
        <f>'mateiral inventory'!AI6</f>
        <v>4.2117018079254072E-4</v>
      </c>
    </row>
    <row r="6" spans="1:24" x14ac:dyDescent="0.25">
      <c r="A6" s="33" t="str">
        <f>'mateiral inventory'!L7</f>
        <v>MAI</v>
      </c>
      <c r="B6">
        <f>'mateiral inventory'!M7</f>
        <v>4.0852260795166184E-2</v>
      </c>
      <c r="C6">
        <f>'mateiral inventory'!N7</f>
        <v>0.86776101755973556</v>
      </c>
      <c r="D6">
        <f>'mateiral inventory'!O7</f>
        <v>4.0807091098061668E-3</v>
      </c>
      <c r="E6">
        <f>'mateiral inventory'!P7</f>
        <v>3.738459913606404E-2</v>
      </c>
      <c r="F6">
        <f>'mateiral inventory'!Q7</f>
        <v>1.7241501975391049E-2</v>
      </c>
      <c r="G6">
        <f>'mateiral inventory'!R7</f>
        <v>1.4092483494768696E-3</v>
      </c>
      <c r="H6">
        <f>'mateiral inventory'!S7</f>
        <v>3.3175438082005527E-5</v>
      </c>
      <c r="I6">
        <f>'mateiral inventory'!T7</f>
        <v>1.6533108491869659</v>
      </c>
      <c r="J6">
        <f>'mateiral inventory'!U7</f>
        <v>3.9967689708219779E-3</v>
      </c>
      <c r="K6">
        <f>'mateiral inventory'!V7</f>
        <v>1.2576395496490516</v>
      </c>
      <c r="L6">
        <f>'mateiral inventory'!W7</f>
        <v>5.3104956518999123E-5</v>
      </c>
      <c r="M6">
        <f>'mateiral inventory'!X7</f>
        <v>2.9865084470904139E-3</v>
      </c>
      <c r="N6">
        <f>'mateiral inventory'!Y7</f>
        <v>7.8853272121470548E-6</v>
      </c>
      <c r="O6">
        <f>'mateiral inventory'!Z7</f>
        <v>1.3516803208679665E-8</v>
      </c>
      <c r="P6">
        <f>'mateiral inventory'!AA7</f>
        <v>1.220135366614554E-4</v>
      </c>
      <c r="Q6">
        <f>'mateiral inventory'!AB7</f>
        <v>1.6429918733137724E-4</v>
      </c>
      <c r="R6">
        <f>'mateiral inventory'!AC7</f>
        <v>3.0963374696798234E-4</v>
      </c>
      <c r="S6">
        <f>'mateiral inventory'!AD7</f>
        <v>5.8744673418272689E-5</v>
      </c>
      <c r="T6">
        <f>'mateiral inventory'!AE7</f>
        <v>5.643730133631364E-4</v>
      </c>
      <c r="U6">
        <f>'mateiral inventory'!AF7</f>
        <v>7.330468088897616E-4</v>
      </c>
      <c r="V6">
        <f>'mateiral inventory'!AG7</f>
        <v>2.34112586574119E-3</v>
      </c>
      <c r="W6">
        <f>'mateiral inventory'!AH7</f>
        <v>1.290258427217532E-2</v>
      </c>
      <c r="X6">
        <f>'mateiral inventory'!AI7</f>
        <v>2.2060127776507678E-3</v>
      </c>
    </row>
    <row r="7" spans="1:24" x14ac:dyDescent="0.25">
      <c r="A7" s="33" t="str">
        <f>'mateiral inventory'!L8</f>
        <v>MACl</v>
      </c>
      <c r="B7">
        <f>'mateiral inventory'!M8</f>
        <v>6.0750870841095503E-5</v>
      </c>
      <c r="C7">
        <f>'mateiral inventory'!N8</f>
        <v>7.223991426678969E-4</v>
      </c>
      <c r="D7">
        <f>'mateiral inventory'!O8</f>
        <v>1.3934243401843408E-5</v>
      </c>
      <c r="E7">
        <f>'mateiral inventory'!P8</f>
        <v>5.1883220336325944E-5</v>
      </c>
      <c r="F7">
        <f>'mateiral inventory'!Q8</f>
        <v>1.3771209588875776E-5</v>
      </c>
      <c r="G7">
        <f>'mateiral inventory'!R8</f>
        <v>9.4854722311295639E-7</v>
      </c>
      <c r="H7">
        <f>'mateiral inventory'!S8</f>
        <v>2.6334515393843482E-8</v>
      </c>
      <c r="I7">
        <f>'mateiral inventory'!T8</f>
        <v>2.0755581865341695E-3</v>
      </c>
      <c r="J7">
        <f>'mateiral inventory'!U8</f>
        <v>2.5503001252421111E-6</v>
      </c>
      <c r="K7">
        <f>'mateiral inventory'!V8</f>
        <v>1.0409093350165447E-3</v>
      </c>
      <c r="L7">
        <f>'mateiral inventory'!W8</f>
        <v>6.866183878171386E-8</v>
      </c>
      <c r="M7">
        <f>'mateiral inventory'!X8</f>
        <v>8.4148835138348546E-6</v>
      </c>
      <c r="N7">
        <f>'mateiral inventory'!Y8</f>
        <v>8.8262785829095207E-9</v>
      </c>
      <c r="O7">
        <f>'mateiral inventory'!Z8</f>
        <v>5.9398955138513385E-12</v>
      </c>
      <c r="P7">
        <f>'mateiral inventory'!AA8</f>
        <v>1.470432996843379E-7</v>
      </c>
      <c r="Q7">
        <f>'mateiral inventory'!AB8</f>
        <v>2.0696989237360938E-7</v>
      </c>
      <c r="R7">
        <f>'mateiral inventory'!AC8</f>
        <v>4.1599113094234462E-7</v>
      </c>
      <c r="S7">
        <f>'mateiral inventory'!AD8</f>
        <v>7.156529558525955E-8</v>
      </c>
      <c r="T7">
        <f>'mateiral inventory'!AE8</f>
        <v>5.3513349791481055E-7</v>
      </c>
      <c r="U7">
        <f>'mateiral inventory'!AF8</f>
        <v>1.5626209280925662E-7</v>
      </c>
      <c r="V7">
        <f>'mateiral inventory'!AG8</f>
        <v>2.5447564339598531E-6</v>
      </c>
      <c r="W7">
        <f>'mateiral inventory'!AH8</f>
        <v>1.6245914260027803E-5</v>
      </c>
      <c r="X7">
        <f>'mateiral inventory'!AI8</f>
        <v>2.0418864690508641E-6</v>
      </c>
    </row>
    <row r="8" spans="1:24" x14ac:dyDescent="0.25">
      <c r="A8" s="33" t="str">
        <f>'mateiral inventory'!L9</f>
        <v>Ethanol</v>
      </c>
      <c r="B8">
        <f>'mateiral inventory'!M9</f>
        <v>5.8794098163324465E-3</v>
      </c>
      <c r="C8">
        <f>'mateiral inventory'!N9</f>
        <v>0.17467875691966225</v>
      </c>
      <c r="D8">
        <f>'mateiral inventory'!O9</f>
        <v>4.6855485203895477E-3</v>
      </c>
      <c r="E8">
        <f>'mateiral inventory'!P9</f>
        <v>5.1194889562477504E-3</v>
      </c>
      <c r="F8">
        <f>'mateiral inventory'!Q9</f>
        <v>1.4400689333644797E-3</v>
      </c>
      <c r="G8">
        <f>'mateiral inventory'!R9</f>
        <v>1.4335577264372752E-4</v>
      </c>
      <c r="H8">
        <f>'mateiral inventory'!S9</f>
        <v>2.3849080701817805E-6</v>
      </c>
      <c r="I8">
        <f>'mateiral inventory'!T9</f>
        <v>7.0228617683227954E-2</v>
      </c>
      <c r="J8">
        <f>'mateiral inventory'!U9</f>
        <v>3.6568618414645052E-4</v>
      </c>
      <c r="K8">
        <f>'mateiral inventory'!V9</f>
        <v>5.6424858997554603E-2</v>
      </c>
      <c r="L8">
        <f>'mateiral inventory'!W9</f>
        <v>2.6217899789721393E-5</v>
      </c>
      <c r="M8">
        <f>'mateiral inventory'!X9</f>
        <v>2.2878280752864941E-4</v>
      </c>
      <c r="N8">
        <f>'mateiral inventory'!Y9</f>
        <v>4.4141782187783187E-6</v>
      </c>
      <c r="O8">
        <f>'mateiral inventory'!Z9</f>
        <v>3.7376428151484672E-10</v>
      </c>
      <c r="P8">
        <f>'mateiral inventory'!AA9</f>
        <v>1.645318978824614E-5</v>
      </c>
      <c r="Q8">
        <f>'mateiral inventory'!AB9</f>
        <v>1.7268981004544909E-5</v>
      </c>
      <c r="R8">
        <f>'mateiral inventory'!AC9</f>
        <v>5.4043017495796598E-5</v>
      </c>
      <c r="S8">
        <f>'mateiral inventory'!AD9</f>
        <v>3.4505195935520666E-5</v>
      </c>
      <c r="T8">
        <f>'mateiral inventory'!AE9</f>
        <v>2.5111834767829185E-4</v>
      </c>
      <c r="U8">
        <f>'mateiral inventory'!AF9</f>
        <v>1.5697889784690427E-3</v>
      </c>
      <c r="V8">
        <f>'mateiral inventory'!AG9</f>
        <v>1.4343558743831906E-3</v>
      </c>
      <c r="W8">
        <f>'mateiral inventory'!AH9</f>
        <v>6.9258237812141359E-4</v>
      </c>
      <c r="X8">
        <f>'mateiral inventory'!AI9</f>
        <v>1.8328837461147277E-4</v>
      </c>
    </row>
    <row r="9" spans="1:24" x14ac:dyDescent="0.25">
      <c r="A9" s="33" t="str">
        <f>'mateiral inventory'!L10</f>
        <v>Nitrogen</v>
      </c>
      <c r="B9">
        <f>'mateiral inventory'!M10</f>
        <v>0.85753647703738045</v>
      </c>
      <c r="C9">
        <f>'mateiral inventory'!N10</f>
        <v>11.683460563708593</v>
      </c>
      <c r="D9">
        <f>'mateiral inventory'!O10</f>
        <v>3.3725230770223429E-2</v>
      </c>
      <c r="E9">
        <f>'mateiral inventory'!P10</f>
        <v>0.79157493982244909</v>
      </c>
      <c r="F9">
        <f>'mateiral inventory'!Q10</f>
        <v>0.22406851369276834</v>
      </c>
      <c r="G9">
        <f>'mateiral inventory'!R10</f>
        <v>1.0353862981256063E-2</v>
      </c>
      <c r="H9">
        <f>'mateiral inventory'!S10</f>
        <v>4.2056638209320987E-4</v>
      </c>
      <c r="I9">
        <f>'mateiral inventory'!T10</f>
        <v>13.999355517956241</v>
      </c>
      <c r="J9">
        <f>'mateiral inventory'!U10</f>
        <v>8.7049157839909588E-2</v>
      </c>
      <c r="K9">
        <f>'mateiral inventory'!V10</f>
        <v>11.969966259575973</v>
      </c>
      <c r="L9">
        <f>'mateiral inventory'!W10</f>
        <v>7.8248812224761212E-4</v>
      </c>
      <c r="M9">
        <f>'mateiral inventory'!X10</f>
        <v>8.7567361894378207E-3</v>
      </c>
      <c r="N9">
        <f>'mateiral inventory'!Y10</f>
        <v>9.3004855141971441E-5</v>
      </c>
      <c r="O9">
        <f>'mateiral inventory'!Z10</f>
        <v>3.8883550706782517E-8</v>
      </c>
      <c r="P9">
        <f>'mateiral inventory'!AA10</f>
        <v>2.8897174685279898E-3</v>
      </c>
      <c r="Q9">
        <f>'mateiral inventory'!AB10</f>
        <v>2.16459672470465E-3</v>
      </c>
      <c r="R9">
        <f>'mateiral inventory'!AC10</f>
        <v>4.2357707466318594E-3</v>
      </c>
      <c r="S9">
        <f>'mateiral inventory'!AD10</f>
        <v>2.7143674346039265E-4</v>
      </c>
      <c r="T9">
        <f>'mateiral inventory'!AE10</f>
        <v>5.1546706122318443E-3</v>
      </c>
      <c r="U9">
        <f>'mateiral inventory'!AF10</f>
        <v>3.145170171435055E-3</v>
      </c>
      <c r="V9">
        <f>'mateiral inventory'!AG10</f>
        <v>3.2781880431630904E-2</v>
      </c>
      <c r="W9">
        <f>'mateiral inventory'!AH10</f>
        <v>0.13002360111753239</v>
      </c>
      <c r="X9">
        <f>'mateiral inventory'!AI10</f>
        <v>2.7275050021820037E-2</v>
      </c>
    </row>
    <row r="10" spans="1:24" x14ac:dyDescent="0.25">
      <c r="A10" s="33" t="str">
        <f>'mateiral inventory'!L11</f>
        <v>PCBM</v>
      </c>
      <c r="B10">
        <f>'mateiral inventory'!M11</f>
        <v>6.819169729874415E-2</v>
      </c>
      <c r="C10">
        <f>'mateiral inventory'!N11</f>
        <v>2.0963550633835544</v>
      </c>
      <c r="D10">
        <f>'mateiral inventory'!O11</f>
        <v>7.6399552434711526E-2</v>
      </c>
      <c r="E10">
        <f>'mateiral inventory'!P11</f>
        <v>5.9706772602486365E-2</v>
      </c>
      <c r="F10">
        <f>'mateiral inventory'!Q11</f>
        <v>3.4806289101984487E-2</v>
      </c>
      <c r="G10">
        <f>'mateiral inventory'!R11</f>
        <v>5.3775961105543299E-4</v>
      </c>
      <c r="H10">
        <f>'mateiral inventory'!S11</f>
        <v>1.327158882886124E-5</v>
      </c>
      <c r="I10">
        <f>'mateiral inventory'!T11</f>
        <v>0.71650173510440029</v>
      </c>
      <c r="J10">
        <f>'mateiral inventory'!U11</f>
        <v>2.5374355056999236E-3</v>
      </c>
      <c r="K10">
        <f>'mateiral inventory'!V11</f>
        <v>0.47423459329306</v>
      </c>
      <c r="L10">
        <f>'mateiral inventory'!W11</f>
        <v>1.1953303231434605E-4</v>
      </c>
      <c r="M10">
        <f>'mateiral inventory'!X11</f>
        <v>1.2616109833757366E-3</v>
      </c>
      <c r="N10">
        <f>'mateiral inventory'!Y11</f>
        <v>8.9207254500477487E-6</v>
      </c>
      <c r="O10">
        <f>'mateiral inventory'!Z11</f>
        <v>4.1859545047078205E-9</v>
      </c>
      <c r="P10">
        <f>'mateiral inventory'!AA11</f>
        <v>2.3364182419567136E-4</v>
      </c>
      <c r="Q10">
        <f>'mateiral inventory'!AB11</f>
        <v>4.1986226704285551E-4</v>
      </c>
      <c r="R10">
        <f>'mateiral inventory'!AC11</f>
        <v>3.9109659041271786E-4</v>
      </c>
      <c r="S10">
        <f>'mateiral inventory'!AD11</f>
        <v>5.9999899116636124E-5</v>
      </c>
      <c r="T10">
        <f>'mateiral inventory'!AE11</f>
        <v>1.2705158632673277E-3</v>
      </c>
      <c r="U10">
        <f>'mateiral inventory'!AF11</f>
        <v>1.4390130773760741E-4</v>
      </c>
      <c r="V10">
        <f>'mateiral inventory'!AG11</f>
        <v>4.1714776626245644E-3</v>
      </c>
      <c r="W10">
        <f>'mateiral inventory'!AH11</f>
        <v>7.3165210516319976E-3</v>
      </c>
      <c r="X10">
        <f>'mateiral inventory'!AI11</f>
        <v>4.2322515920880585E-3</v>
      </c>
    </row>
    <row r="11" spans="1:24" x14ac:dyDescent="0.25">
      <c r="A11" s="33" t="str">
        <f>'mateiral inventory'!L12</f>
        <v>AZO</v>
      </c>
      <c r="B11">
        <f>'mateiral inventory'!M12</f>
        <v>3.0227406682730926E-4</v>
      </c>
      <c r="C11">
        <f>'mateiral inventory'!N12</f>
        <v>4.6933677216494775E-3</v>
      </c>
      <c r="D11">
        <f>'mateiral inventory'!O12</f>
        <v>1.0845798216867472E-5</v>
      </c>
      <c r="E11">
        <f>'mateiral inventory'!P12</f>
        <v>2.8086561060240971E-4</v>
      </c>
      <c r="F11">
        <f>'mateiral inventory'!Q12</f>
        <v>9.9168695903614461E-5</v>
      </c>
      <c r="G11">
        <f>'mateiral inventory'!R12</f>
        <v>7.5509824096385555E-6</v>
      </c>
      <c r="H11">
        <f>'mateiral inventory'!S12</f>
        <v>1.2834907196787149E-7</v>
      </c>
      <c r="I11">
        <f>'mateiral inventory'!T12</f>
        <v>7.3886527389558244E-3</v>
      </c>
      <c r="J11">
        <f>'mateiral inventory'!U12</f>
        <v>2.0222046008032132E-5</v>
      </c>
      <c r="K11">
        <f>'mateiral inventory'!V12</f>
        <v>6.927617092369478E-3</v>
      </c>
      <c r="L11">
        <f>'mateiral inventory'!W12</f>
        <v>2.7178700144578317E-7</v>
      </c>
      <c r="M11">
        <f>'mateiral inventory'!X12</f>
        <v>3.1760542072289163E-5</v>
      </c>
      <c r="N11">
        <f>'mateiral inventory'!Y12</f>
        <v>5.7563818795180727E-8</v>
      </c>
      <c r="O11">
        <f>'mateiral inventory'!Z12</f>
        <v>2.3515443903614459E-11</v>
      </c>
      <c r="P11">
        <f>'mateiral inventory'!AA12</f>
        <v>6.0039760481927715E-7</v>
      </c>
      <c r="Q11">
        <f>'mateiral inventory'!AB12</f>
        <v>8.2823144417670684E-7</v>
      </c>
      <c r="R11">
        <f>'mateiral inventory'!AC12</f>
        <v>1.1158690008032129E-6</v>
      </c>
      <c r="S11">
        <f>'mateiral inventory'!AD12</f>
        <v>9.0645416867469882E-6</v>
      </c>
      <c r="T11">
        <f>'mateiral inventory'!AE12</f>
        <v>3.5072877461847397E-6</v>
      </c>
      <c r="U11">
        <f>'mateiral inventory'!AF12</f>
        <v>9.7999153253012036E-7</v>
      </c>
      <c r="V11">
        <f>'mateiral inventory'!AG12</f>
        <v>1.6663585718875503E-5</v>
      </c>
      <c r="W11">
        <f>'mateiral inventory'!AH12</f>
        <v>6.1039042088353415E-5</v>
      </c>
      <c r="X11">
        <f>'mateiral inventory'!AI12</f>
        <v>1.3354867678714862E-5</v>
      </c>
    </row>
    <row r="12" spans="1:24" x14ac:dyDescent="0.25">
      <c r="A12" s="33" t="str">
        <f>'mateiral inventory'!L13</f>
        <v>ITO</v>
      </c>
      <c r="B12">
        <f>'mateiral inventory'!M13</f>
        <v>9.1704674880000017E-2</v>
      </c>
      <c r="C12">
        <f>'mateiral inventory'!N13</f>
        <v>1.2042202796386563</v>
      </c>
      <c r="D12">
        <f>'mateiral inventory'!O13</f>
        <v>2.6675816832000005E-3</v>
      </c>
      <c r="E12">
        <f>'mateiral inventory'!P13</f>
        <v>8.509154976000001E-2</v>
      </c>
      <c r="F12">
        <f>'mateiral inventory'!Q13</f>
        <v>2.4539197536000004E-2</v>
      </c>
      <c r="G12">
        <f>'mateiral inventory'!R13</f>
        <v>2.9807797824000005E-3</v>
      </c>
      <c r="H12">
        <f>'mateiral inventory'!S13</f>
        <v>8.9699762880000012E-5</v>
      </c>
      <c r="I12">
        <f>'mateiral inventory'!T13</f>
        <v>6.0995592000000007</v>
      </c>
      <c r="J12">
        <f>'mateiral inventory'!U13</f>
        <v>5.3654529600000011E-3</v>
      </c>
      <c r="K12">
        <f>'mateiral inventory'!V13</f>
        <v>3.6720734400000006</v>
      </c>
      <c r="L12">
        <f>'mateiral inventory'!W13</f>
        <v>1.4331419424000002E-4</v>
      </c>
      <c r="M12">
        <f>'mateiral inventory'!X13</f>
        <v>8.2472826240000019E-2</v>
      </c>
      <c r="N12">
        <f>'mateiral inventory'!Y13</f>
        <v>1.4654981376000001E-5</v>
      </c>
      <c r="O12">
        <f>'mateiral inventory'!Z13</f>
        <v>5.609743776000001E-9</v>
      </c>
      <c r="P12">
        <f>'mateiral inventory'!AA13</f>
        <v>3.0577684032000006E-4</v>
      </c>
      <c r="Q12">
        <f>'mateiral inventory'!AB13</f>
        <v>4.6911856320000007E-4</v>
      </c>
      <c r="R12">
        <f>'mateiral inventory'!AC13</f>
        <v>7.640565408000002E-4</v>
      </c>
      <c r="S12">
        <f>'mateiral inventory'!AD13</f>
        <v>8.9527032000000022E-4</v>
      </c>
      <c r="T12">
        <f>'mateiral inventory'!AE13</f>
        <v>1.0312341984000002E-3</v>
      </c>
      <c r="U12">
        <f>'mateiral inventory'!AF13</f>
        <v>1.1732436576000001E-3</v>
      </c>
      <c r="V12">
        <f>'mateiral inventory'!AG13</f>
        <v>5.4289932480000008E-3</v>
      </c>
      <c r="W12">
        <f>'mateiral inventory'!AH13</f>
        <v>4.502107008000001E-2</v>
      </c>
      <c r="X12">
        <f>'mateiral inventory'!AI13</f>
        <v>6.7701251520000012E-3</v>
      </c>
    </row>
    <row r="13" spans="1:24" x14ac:dyDescent="0.25">
      <c r="A13" s="33" t="str">
        <f>'mateiral inventory'!L14</f>
        <v>Ar</v>
      </c>
      <c r="B13">
        <f>'mateiral inventory'!M14</f>
        <v>0.98799433696969696</v>
      </c>
      <c r="C13">
        <f>'mateiral inventory'!N14</f>
        <v>14.844249782230303</v>
      </c>
      <c r="D13">
        <f>'mateiral inventory'!O14</f>
        <v>5.1693616484848479E-2</v>
      </c>
      <c r="E13">
        <f>'mateiral inventory'!P14</f>
        <v>0.91384697212121202</v>
      </c>
      <c r="F13">
        <f>'mateiral inventory'!Q14</f>
        <v>0.26242726496969693</v>
      </c>
      <c r="G13">
        <f>'mateiral inventory'!R14</f>
        <v>1.2989206690909088E-2</v>
      </c>
      <c r="H13">
        <f>'mateiral inventory'!S14</f>
        <v>5.3546381575757566E-4</v>
      </c>
      <c r="I13">
        <f>'mateiral inventory'!T14</f>
        <v>17.200203539393939</v>
      </c>
      <c r="J13">
        <f>'mateiral inventory'!U14</f>
        <v>0.15223185551515148</v>
      </c>
      <c r="K13">
        <f>'mateiral inventory'!V14</f>
        <v>14.82469401212121</v>
      </c>
      <c r="L13">
        <f>'mateiral inventory'!W14</f>
        <v>8.9171672242424225E-4</v>
      </c>
      <c r="M13">
        <f>'mateiral inventory'!X14</f>
        <v>1.1916146909090907E-2</v>
      </c>
      <c r="N13">
        <f>'mateiral inventory'!Y14</f>
        <v>1.0862570569696968E-4</v>
      </c>
      <c r="O13">
        <f>'mateiral inventory'!Z14</f>
        <v>5.4682303030303027E-8</v>
      </c>
      <c r="P13">
        <f>'mateiral inventory'!AA14</f>
        <v>3.0627603878787876E-3</v>
      </c>
      <c r="Q13">
        <f>'mateiral inventory'!AB14</f>
        <v>2.4366066618181814E-3</v>
      </c>
      <c r="R13">
        <f>'mateiral inventory'!AC14</f>
        <v>4.8256443151515147E-3</v>
      </c>
      <c r="S13">
        <f>'mateiral inventory'!AD14</f>
        <v>3.306193134545454E-4</v>
      </c>
      <c r="T13">
        <f>'mateiral inventory'!AE14</f>
        <v>5.8777502060606054E-3</v>
      </c>
      <c r="U13">
        <f>'mateiral inventory'!AF14</f>
        <v>3.8691175757575753E-3</v>
      </c>
      <c r="V13">
        <f>'mateiral inventory'!AG14</f>
        <v>3.9110253575757571E-2</v>
      </c>
      <c r="W13">
        <f>'mateiral inventory'!AH14</f>
        <v>0.15638954860606061</v>
      </c>
      <c r="X13">
        <f>'mateiral inventory'!AI14</f>
        <v>3.2021221430303025E-2</v>
      </c>
    </row>
    <row r="14" spans="1:24" x14ac:dyDescent="0.25">
      <c r="A14" s="33" t="str">
        <f>'mateiral inventory'!L15</f>
        <v>O₂</v>
      </c>
      <c r="B14">
        <f>'mateiral inventory'!M15</f>
        <v>5.9453010977304082E-4</v>
      </c>
      <c r="C14">
        <f>'mateiral inventory'!N15</f>
        <v>8.0999662531850997E-3</v>
      </c>
      <c r="D14">
        <f>'mateiral inventory'!O15</f>
        <v>2.338066827644389E-5</v>
      </c>
      <c r="E14">
        <f>'mateiral inventory'!P15</f>
        <v>5.4880474632827594E-4</v>
      </c>
      <c r="F14">
        <f>'mateiral inventory'!Q15</f>
        <v>1.5534075447332918E-4</v>
      </c>
      <c r="G14">
        <f>'mateiral inventory'!R15</f>
        <v>7.1780287884037624E-6</v>
      </c>
      <c r="H14">
        <f>'mateiral inventory'!S15</f>
        <v>2.9157824514086524E-7</v>
      </c>
      <c r="I14">
        <f>'mateiral inventory'!T15</f>
        <v>9.7057228642307217E-3</v>
      </c>
      <c r="J14">
        <f>'mateiral inventory'!U15</f>
        <v>6.0351456647623834E-5</v>
      </c>
      <c r="K14">
        <f>'mateiral inventory'!V15</f>
        <v>8.2988272140037626E-3</v>
      </c>
      <c r="L14">
        <f>'mateiral inventory'!W15</f>
        <v>5.4248049188915373E-7</v>
      </c>
      <c r="M14">
        <f>'mateiral inventory'!X15</f>
        <v>6.0707823366018811E-6</v>
      </c>
      <c r="N14">
        <f>'mateiral inventory'!Y15</f>
        <v>6.4477279781717875E-8</v>
      </c>
      <c r="O14">
        <f>'mateiral inventory'!Z15</f>
        <v>2.6956883584280881E-11</v>
      </c>
      <c r="P14">
        <f>'mateiral inventory'!AA15</f>
        <v>2.0034334598219439E-6</v>
      </c>
      <c r="Q14">
        <f>'mateiral inventory'!AB15</f>
        <v>1.500705424407273E-6</v>
      </c>
      <c r="R14">
        <f>'mateiral inventory'!AC15</f>
        <v>2.9366123370613173E-6</v>
      </c>
      <c r="S14">
        <f>'mateiral inventory'!AD15</f>
        <v>1.8818672356032602E-7</v>
      </c>
      <c r="T14">
        <f>'mateiral inventory'!AE15</f>
        <v>3.5737056830595614E-6</v>
      </c>
      <c r="U14">
        <f>'mateiral inventory'!AF15</f>
        <v>2.1805627766129156E-6</v>
      </c>
      <c r="V14">
        <f>'mateiral inventory'!AG15</f>
        <v>2.2727663909356742E-5</v>
      </c>
      <c r="W14">
        <f>'mateiral inventory'!AH15</f>
        <v>9.0145722005266471E-5</v>
      </c>
      <c r="X14">
        <f>'mateiral inventory'!AI15</f>
        <v>1.8909520772975549E-5</v>
      </c>
    </row>
    <row r="15" spans="1:24" x14ac:dyDescent="0.25">
      <c r="A15" s="34" t="str">
        <f>'energy inventory'!I5</f>
        <v>UV/O₃ cleaning</v>
      </c>
      <c r="B15">
        <f>'energy inventory'!J5</f>
        <v>3.2656320026125049E-2</v>
      </c>
      <c r="C15">
        <f>'energy inventory'!K5</f>
        <v>0.57461372577289094</v>
      </c>
      <c r="D15">
        <f>'energy inventory'!L5</f>
        <v>3.7387420029909928E-5</v>
      </c>
      <c r="E15">
        <f>'energy inventory'!M5</f>
        <v>3.0819540024655628E-2</v>
      </c>
      <c r="F15">
        <f>'energy inventory'!N5</f>
        <v>1.3611400010889117E-2</v>
      </c>
      <c r="G15">
        <f>'energy inventory'!O5</f>
        <v>1.1734600009387678E-4</v>
      </c>
      <c r="H15">
        <f>'energy inventory'!P5</f>
        <v>5.726540004581231E-7</v>
      </c>
      <c r="I15">
        <f>'energy inventory'!Q5</f>
        <v>0.24005100019204076</v>
      </c>
      <c r="J15">
        <f>'energy inventory'!R5</f>
        <v>1.9425800015540639E-4</v>
      </c>
      <c r="K15">
        <f>'energy inventory'!S5</f>
        <v>7.2192400057753903E-2</v>
      </c>
      <c r="L15">
        <f>'energy inventory'!T5</f>
        <v>2.8278500022622794E-5</v>
      </c>
      <c r="M15">
        <f>'energy inventory'!U5</f>
        <v>1.3795400011036316E-4</v>
      </c>
      <c r="N15">
        <f>'energy inventory'!V5</f>
        <v>5.0761000040608788E-6</v>
      </c>
      <c r="O15">
        <f>'energy inventory'!W5</f>
        <v>2.7275240021820186E-9</v>
      </c>
      <c r="P15">
        <f>'energy inventory'!X5</f>
        <v>3.4436520027549207E-5</v>
      </c>
      <c r="Q15">
        <f>'energy inventory'!Y5</f>
        <v>9.2625600074100465E-5</v>
      </c>
      <c r="R15">
        <f>'energy inventory'!Z5</f>
        <v>1.3340000010671996E-4</v>
      </c>
      <c r="S15">
        <f>'energy inventory'!AA5</f>
        <v>2.3875380019100299E-6</v>
      </c>
      <c r="T15">
        <f>'energy inventory'!AB5</f>
        <v>1.4725060011780048E-5</v>
      </c>
      <c r="U15">
        <f>'energy inventory'!AC5</f>
        <v>3.688556002950844E-6</v>
      </c>
      <c r="V15">
        <f>'energy inventory'!AD5</f>
        <v>9.0224400072179498E-4</v>
      </c>
      <c r="W15">
        <f>'energy inventory'!AE5</f>
        <v>2.7821720022257372E-3</v>
      </c>
      <c r="X15">
        <f>'energy inventory'!AF5</f>
        <v>1.6385660013108526E-3</v>
      </c>
    </row>
    <row r="16" spans="1:24" x14ac:dyDescent="0.25">
      <c r="A16" s="34" t="str">
        <f>'energy inventory'!I6</f>
        <v>HTL sputtering</v>
      </c>
      <c r="B16">
        <f>'energy inventory'!J6</f>
        <v>5.2210193981162085</v>
      </c>
      <c r="C16">
        <f>'energy inventory'!K6</f>
        <v>91.867957145325505</v>
      </c>
      <c r="D16">
        <f>'energy inventory'!L6</f>
        <v>5.9774170839065116E-3</v>
      </c>
      <c r="E16">
        <f>'energy inventory'!M6</f>
        <v>4.9273591201035023</v>
      </c>
      <c r="F16">
        <f>'energy inventory'!N6</f>
        <v>2.1761601869261127</v>
      </c>
      <c r="G16">
        <f>'energy inventory'!O6</f>
        <v>1.8761016008274803E-2</v>
      </c>
      <c r="H16">
        <f>'energy inventory'!P6</f>
        <v>9.1554640645634264E-5</v>
      </c>
      <c r="I16">
        <f>'energy inventory'!Q6</f>
        <v>38.378816949894961</v>
      </c>
      <c r="J16">
        <f>'energy inventory'!R6</f>
        <v>3.1057534536630533E-2</v>
      </c>
      <c r="K16">
        <f>'energy inventory'!S6</f>
        <v>11.541959436842992</v>
      </c>
      <c r="L16">
        <f>'energy inventory'!T6</f>
        <v>4.5211033285327065E-3</v>
      </c>
      <c r="M16">
        <f>'energy inventory'!U6</f>
        <v>2.2055776953671554E-2</v>
      </c>
      <c r="N16">
        <f>'energy inventory'!V6</f>
        <v>8.1155551411725771E-4</v>
      </c>
      <c r="O16">
        <f>'energy inventory'!W6</f>
        <v>4.3607043637579231E-7</v>
      </c>
      <c r="P16">
        <f>'energy inventory'!X6</f>
        <v>5.5056337922832939E-3</v>
      </c>
      <c r="Q16">
        <f>'energy inventory'!Y6</f>
        <v>1.4808773749220752E-2</v>
      </c>
      <c r="R16">
        <f>'energy inventory'!Z6</f>
        <v>2.1327693619755752E-2</v>
      </c>
      <c r="S16">
        <f>'energy inventory'!AA6</f>
        <v>3.8171423515385614E-4</v>
      </c>
      <c r="T16">
        <f>'energy inventory'!AB6</f>
        <v>2.3542096567655225E-3</v>
      </c>
      <c r="U16">
        <f>'energy inventory'!AC6</f>
        <v>5.8971808296335681E-4</v>
      </c>
      <c r="V16">
        <f>'energy inventory'!AD6</f>
        <v>0.14424875264065148</v>
      </c>
      <c r="W16">
        <f>'energy inventory'!AE6</f>
        <v>0.44480743638278192</v>
      </c>
      <c r="X16">
        <f>'energy inventory'!AF6</f>
        <v>0.26197026704459297</v>
      </c>
    </row>
    <row r="17" spans="1:24" x14ac:dyDescent="0.25">
      <c r="A17" s="34" t="str">
        <f>'energy inventory'!I7</f>
        <v>Inert gas purging</v>
      </c>
      <c r="B17">
        <f>'energy inventory'!J7</f>
        <v>1.9522800015618238</v>
      </c>
      <c r="C17">
        <f>'energy inventory'!K7</f>
        <v>34.351907519031528</v>
      </c>
      <c r="D17">
        <f>'energy inventory'!L7</f>
        <v>2.2351175017880937E-3</v>
      </c>
      <c r="E17">
        <f>'energy inventory'!M7</f>
        <v>1.8424725014739778</v>
      </c>
      <c r="F17">
        <f>'energy inventory'!N7</f>
        <v>0.81372500065097986</v>
      </c>
      <c r="G17">
        <f>'energy inventory'!O7</f>
        <v>7.0152500056121989E-3</v>
      </c>
      <c r="H17">
        <f>'energy inventory'!P7</f>
        <v>3.4234750027387797E-5</v>
      </c>
      <c r="I17">
        <f>'energy inventory'!Q7</f>
        <v>14.350875011480698</v>
      </c>
      <c r="J17">
        <f>'energy inventory'!R7</f>
        <v>1.16132500092906E-2</v>
      </c>
      <c r="K17">
        <f>'energy inventory'!S7</f>
        <v>4.3158500034526792</v>
      </c>
      <c r="L17">
        <f>'energy inventory'!T7</f>
        <v>1.6905625013524496E-3</v>
      </c>
      <c r="M17">
        <f>'energy inventory'!U7</f>
        <v>8.2472500065977998E-3</v>
      </c>
      <c r="N17">
        <f>'energy inventory'!V7</f>
        <v>3.0346250024276995E-4</v>
      </c>
      <c r="O17">
        <f>'energy inventory'!W7</f>
        <v>1.630585001304468E-7</v>
      </c>
      <c r="P17">
        <f>'energy inventory'!X7</f>
        <v>2.0587050016469639E-3</v>
      </c>
      <c r="Q17">
        <f>'energy inventory'!Y7</f>
        <v>5.5374000044299196E-3</v>
      </c>
      <c r="R17">
        <f>'energy inventory'!Z7</f>
        <v>7.9750000063799984E-3</v>
      </c>
      <c r="S17">
        <f>'energy inventory'!AA7</f>
        <v>1.4273325011418658E-4</v>
      </c>
      <c r="T17">
        <f>'energy inventory'!AB7</f>
        <v>8.8030250070424197E-4</v>
      </c>
      <c r="U17">
        <f>'energy inventory'!AC7</f>
        <v>2.2051150017640916E-4</v>
      </c>
      <c r="V17">
        <f>'energy inventory'!AD7</f>
        <v>5.3938500043150796E-2</v>
      </c>
      <c r="W17">
        <f>'energy inventory'!AE7</f>
        <v>0.16632550013306038</v>
      </c>
      <c r="X17">
        <f>'energy inventory'!AF7</f>
        <v>9.7957750078366185E-2</v>
      </c>
    </row>
    <row r="18" spans="1:24" x14ac:dyDescent="0.25">
      <c r="A18" s="34" t="str">
        <f>'energy inventory'!I8</f>
        <v>PL 1st-step spin coating</v>
      </c>
      <c r="B18">
        <f>'energy inventory'!J8</f>
        <v>6.8506782326191873</v>
      </c>
      <c r="C18">
        <f>'energy inventory'!K8</f>
        <v>120.54309059218431</v>
      </c>
      <c r="D18">
        <f>'energy inventory'!L8</f>
        <v>7.8431735225460569E-3</v>
      </c>
      <c r="E18">
        <f>'energy inventory'!M8</f>
        <v>6.4653565318240496</v>
      </c>
      <c r="F18">
        <f>'energy inventory'!N8</f>
        <v>2.8554142565810476</v>
      </c>
      <c r="G18">
        <f>'energy inventory'!O8</f>
        <v>2.4616971167753472E-2</v>
      </c>
      <c r="H18">
        <f>'energy inventory'!P8</f>
        <v>1.2013197729022462E-4</v>
      </c>
      <c r="I18">
        <f>'energy inventory'!Q8</f>
        <v>50.358159168530577</v>
      </c>
      <c r="J18">
        <f>'energy inventory'!R8</f>
        <v>4.0751653955869438E-2</v>
      </c>
      <c r="K18">
        <f>'energy inventory'!S8</f>
        <v>15.144599980663386</v>
      </c>
      <c r="L18">
        <f>'energy inventory'!T8</f>
        <v>5.9322944043028016E-3</v>
      </c>
      <c r="M18">
        <f>'energy inventory'!U8</f>
        <v>2.894013976169842E-2</v>
      </c>
      <c r="N18">
        <f>'energy inventory'!V8</f>
        <v>1.0648697641558588E-3</v>
      </c>
      <c r="O18">
        <f>'energy inventory'!W8</f>
        <v>5.7218294332449024E-7</v>
      </c>
      <c r="P18">
        <f>'energy inventory'!X8</f>
        <v>7.2241305196407701E-3</v>
      </c>
      <c r="Q18">
        <f>'energy inventory'!Y8</f>
        <v>1.943109884099898E-2</v>
      </c>
      <c r="R18">
        <f>'energy inventory'!Z8</f>
        <v>2.7984796701875762E-2</v>
      </c>
      <c r="S18">
        <f>'energy inventory'!AA8</f>
        <v>5.0086031145429584E-4</v>
      </c>
      <c r="T18">
        <f>'energy inventory'!AB8</f>
        <v>3.0890390593922247E-3</v>
      </c>
      <c r="U18">
        <f>'energy inventory'!AC8</f>
        <v>7.7378927873676207E-4</v>
      </c>
      <c r="V18">
        <f>'energy inventory'!AD8</f>
        <v>0.18927372500365217</v>
      </c>
      <c r="W18">
        <f>'energy inventory'!AE8</f>
        <v>0.58364706004236211</v>
      </c>
      <c r="X18">
        <f>'energy inventory'!AF8</f>
        <v>0.34374015286810916</v>
      </c>
    </row>
    <row r="19" spans="1:24" x14ac:dyDescent="0.25">
      <c r="A19" s="34" t="str">
        <f>'energy inventory'!I9</f>
        <v>PL 2nd-step spin coating</v>
      </c>
      <c r="B19">
        <f>'energy inventory'!J9</f>
        <v>12.178983524656331</v>
      </c>
      <c r="C19">
        <f>'energy inventory'!K9</f>
        <v>214.29882771943875</v>
      </c>
      <c r="D19">
        <f>'energy inventory'!L9</f>
        <v>1.3943419595637432E-2</v>
      </c>
      <c r="E19">
        <f>'energy inventory'!M9</f>
        <v>11.493967167687197</v>
      </c>
      <c r="F19">
        <f>'energy inventory'!N9</f>
        <v>5.0762920116996399</v>
      </c>
      <c r="G19">
        <f>'energy inventory'!O9</f>
        <v>4.3763504298228388E-2</v>
      </c>
      <c r="H19">
        <f>'energy inventory'!P9</f>
        <v>2.1356795962706597E-4</v>
      </c>
      <c r="I19">
        <f>'energy inventory'!Q9</f>
        <v>89.525616299609894</v>
      </c>
      <c r="J19">
        <f>'energy inventory'!R9</f>
        <v>7.2447384810434542E-2</v>
      </c>
      <c r="K19">
        <f>'energy inventory'!S9</f>
        <v>26.923733298957128</v>
      </c>
      <c r="L19">
        <f>'energy inventory'!T9</f>
        <v>1.0546301163204978E-2</v>
      </c>
      <c r="M19">
        <f>'energy inventory'!U9</f>
        <v>5.1449137354130516E-2</v>
      </c>
      <c r="N19">
        <f>'energy inventory'!V9</f>
        <v>1.8931018029437487E-3</v>
      </c>
      <c r="O19">
        <f>'energy inventory'!W9</f>
        <v>1.0172141214657602E-6</v>
      </c>
      <c r="P19">
        <f>'energy inventory'!X9</f>
        <v>1.284289870158359E-2</v>
      </c>
      <c r="Q19">
        <f>'energy inventory'!Y9</f>
        <v>3.454417571733151E-2</v>
      </c>
      <c r="R19">
        <f>'energy inventory'!Z9</f>
        <v>4.9750749692223567E-2</v>
      </c>
      <c r="S19">
        <f>'energy inventory'!AA9</f>
        <v>8.9041833147430354E-4</v>
      </c>
      <c r="T19">
        <f>'energy inventory'!AB9</f>
        <v>5.4916249944750653E-3</v>
      </c>
      <c r="U19">
        <f>'energy inventory'!AC9</f>
        <v>1.3756253844209101E-3</v>
      </c>
      <c r="V19">
        <f>'energy inventory'!AD9</f>
        <v>0.33648662222871489</v>
      </c>
      <c r="W19">
        <f>'energy inventory'!AE9</f>
        <v>1.0375947734086435</v>
      </c>
      <c r="X19">
        <f>'energy inventory'!AF9</f>
        <v>0.61109360509886068</v>
      </c>
    </row>
    <row r="20" spans="1:24" x14ac:dyDescent="0.25">
      <c r="A20" s="34" t="str">
        <f>'energy inventory'!I10</f>
        <v>PL treatment</v>
      </c>
      <c r="B20">
        <f>'energy inventory'!J10</f>
        <v>0.17038080013630461</v>
      </c>
      <c r="C20">
        <f>'energy inventory'!K10</f>
        <v>2.9979846562063877</v>
      </c>
      <c r="D20">
        <f>'energy inventory'!L10</f>
        <v>1.950648001560518E-4</v>
      </c>
      <c r="E20">
        <f>'energy inventory'!M10</f>
        <v>0.16079760012863806</v>
      </c>
      <c r="F20">
        <f>'energy inventory'!N10</f>
        <v>7.1016000056812786E-2</v>
      </c>
      <c r="G20">
        <f>'energy inventory'!O10</f>
        <v>6.1224000048979192E-4</v>
      </c>
      <c r="H20">
        <f>'energy inventory'!P10</f>
        <v>2.9877600023902077E-6</v>
      </c>
      <c r="I20">
        <f>'energy inventory'!Q10</f>
        <v>1.2524400010019516</v>
      </c>
      <c r="J20">
        <f>'energy inventory'!R10</f>
        <v>1.0135200008108158E-3</v>
      </c>
      <c r="K20">
        <f>'energy inventory'!S10</f>
        <v>0.37665600030132473</v>
      </c>
      <c r="L20">
        <f>'energy inventory'!T10</f>
        <v>1.4754000011803195E-4</v>
      </c>
      <c r="M20">
        <f>'energy inventory'!U10</f>
        <v>7.1976000057580791E-4</v>
      </c>
      <c r="N20">
        <f>'energy inventory'!V10</f>
        <v>2.6484000021187197E-5</v>
      </c>
      <c r="O20">
        <f>'energy inventory'!W10</f>
        <v>1.4230560011384446E-8</v>
      </c>
      <c r="P20">
        <f>'energy inventory'!X10</f>
        <v>1.79668800143735E-4</v>
      </c>
      <c r="Q20">
        <f>'energy inventory'!Y10</f>
        <v>4.8326400038661111E-4</v>
      </c>
      <c r="R20">
        <f>'energy inventory'!Z10</f>
        <v>6.9600000055679984E-4</v>
      </c>
      <c r="S20">
        <f>'energy inventory'!AA10</f>
        <v>1.2456720009965375E-5</v>
      </c>
      <c r="T20">
        <f>'energy inventory'!AB10</f>
        <v>7.6826400061461117E-5</v>
      </c>
      <c r="U20">
        <f>'energy inventory'!AC10</f>
        <v>1.9244640015395706E-5</v>
      </c>
      <c r="V20">
        <f>'energy inventory'!AD10</f>
        <v>4.7073600037658868E-3</v>
      </c>
      <c r="W20">
        <f>'energy inventory'!AE10</f>
        <v>1.4515680011612542E-2</v>
      </c>
      <c r="X20">
        <f>'energy inventory'!AF10</f>
        <v>8.5490400068392314E-3</v>
      </c>
    </row>
    <row r="21" spans="1:24" x14ac:dyDescent="0.25">
      <c r="A21" s="34" t="str">
        <f>'energy inventory'!I11</f>
        <v>ETL 1st-step spin coating</v>
      </c>
      <c r="B21">
        <f>'energy inventory'!J11</f>
        <v>0.24865424696173338</v>
      </c>
      <c r="C21">
        <f>'energy inventory'!K11</f>
        <v>4.3752677326052076</v>
      </c>
      <c r="D21">
        <f>'energy inventory'!L11</f>
        <v>2.8467815007759755E-4</v>
      </c>
      <c r="E21">
        <f>'energy inventory'!M11</f>
        <v>0.23466849634028025</v>
      </c>
      <c r="F21">
        <f>'energy inventory'!N11</f>
        <v>0.1036409619055343</v>
      </c>
      <c r="G21">
        <f>'energy inventory'!O11</f>
        <v>8.9350487942216285E-4</v>
      </c>
      <c r="H21">
        <f>'energy inventory'!P11</f>
        <v>4.3603458423859299E-6</v>
      </c>
      <c r="I21">
        <f>'energy inventory'!Q11</f>
        <v>1.8278146661170351</v>
      </c>
      <c r="J21">
        <f>'energy inventory'!R11</f>
        <v>1.4791341065463718E-3</v>
      </c>
      <c r="K21">
        <f>'energy inventory'!S11</f>
        <v>0.54969288818704132</v>
      </c>
      <c r="L21">
        <f>'energy inventory'!T11</f>
        <v>2.1532031541543497E-4</v>
      </c>
      <c r="M21">
        <f>'energy inventory'!U11</f>
        <v>1.0504198876468312E-3</v>
      </c>
      <c r="N21">
        <f>'energy inventory'!V11</f>
        <v>3.8650828476768198E-5</v>
      </c>
      <c r="O21">
        <f>'energy inventory'!W11</f>
        <v>2.0768121646592602E-8</v>
      </c>
      <c r="P21">
        <f>'energy inventory'!X11</f>
        <v>2.6220918182399825E-4</v>
      </c>
      <c r="Q21">
        <f>'energy inventory'!Y11</f>
        <v>7.0527692089551828E-4</v>
      </c>
      <c r="R21">
        <f>'energy inventory'!Z11</f>
        <v>1.0157444728828978E-3</v>
      </c>
      <c r="S21">
        <f>'energy inventory'!AA11</f>
        <v>1.8179374267600361E-5</v>
      </c>
      <c r="T21">
        <f>'energy inventory'!AB11</f>
        <v>1.1212067697053257E-4</v>
      </c>
      <c r="U21">
        <f>'energy inventory'!AC11</f>
        <v>2.808568493192691E-5</v>
      </c>
      <c r="V21">
        <f>'energy inventory'!AD11</f>
        <v>6.869935203836261E-3</v>
      </c>
      <c r="W21">
        <f>'energy inventory'!AE11</f>
        <v>2.1184226623759805E-2</v>
      </c>
      <c r="X21">
        <f>'energy inventory'!AF11</f>
        <v>1.247649443743507E-2</v>
      </c>
    </row>
    <row r="22" spans="1:24" x14ac:dyDescent="0.25">
      <c r="A22" s="34" t="str">
        <f>'energy inventory'!I12</f>
        <v>ETL 2nd-step spin coating</v>
      </c>
      <c r="B22">
        <f>'energy inventory'!J12</f>
        <v>0.25372882343034026</v>
      </c>
      <c r="C22">
        <f>'energy inventory'!K12</f>
        <v>4.4645589108216415</v>
      </c>
      <c r="D22">
        <f>'energy inventory'!L12</f>
        <v>2.9048790824244655E-4</v>
      </c>
      <c r="E22">
        <f>'energy inventory'!M12</f>
        <v>0.23945764932681665</v>
      </c>
      <c r="F22">
        <f>'energy inventory'!N12</f>
        <v>0.10575608357707585</v>
      </c>
      <c r="G22">
        <f>'energy inventory'!O12</f>
        <v>9.1173967287975827E-4</v>
      </c>
      <c r="H22">
        <f>'energy inventory'!P12</f>
        <v>4.4493324922305416E-6</v>
      </c>
      <c r="I22">
        <f>'energy inventory'!Q12</f>
        <v>1.8651170062418732</v>
      </c>
      <c r="J22">
        <f>'energy inventory'!R12</f>
        <v>1.5093205168840531E-3</v>
      </c>
      <c r="K22">
        <f>'energy inventory'!S12</f>
        <v>0.56091111039494024</v>
      </c>
      <c r="L22">
        <f>'energy inventory'!T12</f>
        <v>2.1971460756677044E-4</v>
      </c>
      <c r="M22">
        <f>'energy inventory'!U12</f>
        <v>1.0718570282110527E-3</v>
      </c>
      <c r="N22">
        <f>'energy inventory'!V12</f>
        <v>3.9439620894661436E-5</v>
      </c>
      <c r="O22">
        <f>'energy inventory'!W12</f>
        <v>2.1191960863870009E-8</v>
      </c>
      <c r="P22">
        <f>'energy inventory'!X12</f>
        <v>2.6756038961632485E-4</v>
      </c>
      <c r="Q22">
        <f>'energy inventory'!Y12</f>
        <v>7.196703274444066E-4</v>
      </c>
      <c r="R22">
        <f>'energy inventory'!Z12</f>
        <v>1.0364739519213245E-3</v>
      </c>
      <c r="S22">
        <f>'energy inventory'!AA12</f>
        <v>1.8550381905714661E-5</v>
      </c>
      <c r="T22">
        <f>'energy inventory'!AB12</f>
        <v>1.1440885405156388E-4</v>
      </c>
      <c r="U22">
        <f>'energy inventory'!AC12</f>
        <v>2.8658862175435631E-5</v>
      </c>
      <c r="V22">
        <f>'energy inventory'!AD12</f>
        <v>7.0101379630982284E-3</v>
      </c>
      <c r="W22">
        <f>'energy inventory'!AE12</f>
        <v>2.1616557779346745E-2</v>
      </c>
      <c r="X22">
        <f>'energy inventory'!AF12</f>
        <v>1.2731116772892933E-2</v>
      </c>
    </row>
    <row r="23" spans="1:24" x14ac:dyDescent="0.25">
      <c r="A23" s="34" t="str">
        <f>'energy inventory'!I13</f>
        <v>Electrode sputtering</v>
      </c>
      <c r="B23">
        <f>'energy inventory'!J13</f>
        <v>7.7349010970970102</v>
      </c>
      <c r="C23">
        <f>'energy inventory'!K13</f>
        <v>136.10168979027861</v>
      </c>
      <c r="D23">
        <f>'energy inventory'!L13</f>
        <v>8.8554985979934879E-3</v>
      </c>
      <c r="E23">
        <f>'energy inventory'!M13</f>
        <v>7.2998455967489662</v>
      </c>
      <c r="F23">
        <f>'energy inventory'!N13</f>
        <v>3.2239650025791713</v>
      </c>
      <c r="G23">
        <f>'energy inventory'!O13</f>
        <v>2.7794304567689984E-2</v>
      </c>
      <c r="H23">
        <f>'energy inventory'!P13</f>
        <v>1.3563751374487363E-4</v>
      </c>
      <c r="I23">
        <f>'energy inventory'!Q13</f>
        <v>56.857929590940877</v>
      </c>
      <c r="J23">
        <f>'energy inventory'!R13</f>
        <v>4.6011504582263746E-2</v>
      </c>
      <c r="K23">
        <f>'energy inventory'!S13</f>
        <v>17.099326377315823</v>
      </c>
      <c r="L23">
        <f>'energy inventory'!T13</f>
        <v>6.6979806871765649E-3</v>
      </c>
      <c r="M23">
        <f>'energy inventory'!U13</f>
        <v>3.2675468207958552E-2</v>
      </c>
      <c r="N23">
        <f>'energy inventory'!V13</f>
        <v>1.2023134100527595E-3</v>
      </c>
      <c r="O23">
        <f>'energy inventory'!W13</f>
        <v>6.4603508233500982E-7</v>
      </c>
      <c r="P23">
        <f>'energy inventory'!X13</f>
        <v>8.1565551883434236E-3</v>
      </c>
      <c r="Q23">
        <f>'energy inventory'!Y13</f>
        <v>2.1939087290278537E-2</v>
      </c>
      <c r="R23">
        <f>'energy inventory'!Z13</f>
        <v>3.1596818207095631E-2</v>
      </c>
      <c r="S23">
        <f>'energy inventory'!AA13</f>
        <v>5.6550677772513258E-4</v>
      </c>
      <c r="T23">
        <f>'energy inventory'!AB13</f>
        <v>3.4877439573356493E-3</v>
      </c>
      <c r="U23">
        <f>'energy inventory'!AC13</f>
        <v>8.7366291888074828E-4</v>
      </c>
      <c r="V23">
        <f>'energy inventory'!AD13</f>
        <v>0.21370344562550816</v>
      </c>
      <c r="W23">
        <f>'energy inventory'!AE13</f>
        <v>0.65897888234536484</v>
      </c>
      <c r="X23">
        <f>'energy inventory'!AF13</f>
        <v>0.38810698667412191</v>
      </c>
    </row>
    <row r="24" spans="1:24" x14ac:dyDescent="0.25">
      <c r="A24" s="62" t="str">
        <f>'mateiral inventory'!L16</f>
        <v>Direct emissions</v>
      </c>
      <c r="B24">
        <f>'mateiral inventory'!M16</f>
        <v>0</v>
      </c>
      <c r="C24">
        <f>'mateiral inventory'!N16</f>
        <v>0</v>
      </c>
      <c r="D24">
        <f>'mateiral inventory'!O16</f>
        <v>0</v>
      </c>
      <c r="E24">
        <f>'mateiral inventory'!P16</f>
        <v>0</v>
      </c>
      <c r="F24">
        <f>'mateiral inventory'!Q16</f>
        <v>0</v>
      </c>
      <c r="G24">
        <f>'mateiral inventory'!R16</f>
        <v>4.415657269717634E-8</v>
      </c>
      <c r="H24">
        <f>'mateiral inventory'!S16</f>
        <v>0</v>
      </c>
      <c r="I24">
        <f>'mateiral inventory'!T16</f>
        <v>6.035238398856483E-5</v>
      </c>
      <c r="J24">
        <f>'mateiral inventory'!U16</f>
        <v>0</v>
      </c>
      <c r="K24">
        <f>'mateiral inventory'!V16</f>
        <v>7.5058736288013125E-8</v>
      </c>
      <c r="L24">
        <f>'mateiral inventory'!W16</f>
        <v>0</v>
      </c>
      <c r="M24">
        <f>'mateiral inventory'!X16</f>
        <v>0</v>
      </c>
      <c r="N24">
        <f>'mateiral inventory'!Y16</f>
        <v>0</v>
      </c>
      <c r="O24">
        <f>'mateiral inventory'!Z16</f>
        <v>0</v>
      </c>
      <c r="P24">
        <f>'mateiral inventory'!AA16</f>
        <v>0</v>
      </c>
      <c r="Q24">
        <f>'mateiral inventory'!AB16</f>
        <v>2.8312680513890146E-3</v>
      </c>
      <c r="R24">
        <f>'mateiral inventory'!AC16</f>
        <v>0</v>
      </c>
      <c r="S24">
        <f>'mateiral inventory'!AD16</f>
        <v>1.5618451813015086E-7</v>
      </c>
      <c r="T24">
        <f>'mateiral inventory'!AE16</f>
        <v>0</v>
      </c>
      <c r="U24">
        <f>'mateiral inventory'!AF16</f>
        <v>0</v>
      </c>
      <c r="V24">
        <f>'mateiral inventory'!AG16</f>
        <v>3.4284480087961961E-8</v>
      </c>
      <c r="W24">
        <f>'mateiral inventory'!AH16</f>
        <v>1.4894255882583876E-6</v>
      </c>
      <c r="X24">
        <f>'mateiral inventory'!AI16</f>
        <v>0</v>
      </c>
    </row>
    <row r="25" spans="1:24" x14ac:dyDescent="0.25">
      <c r="A25" s="62" t="s">
        <v>124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row>
    <row r="26" spans="1:24" x14ac:dyDescent="0.25">
      <c r="A26" s="62" t="s">
        <v>64</v>
      </c>
      <c r="B26">
        <f>'mateiral inventory'!M33</f>
        <v>8.3798998388576445E-3</v>
      </c>
      <c r="C26">
        <f>'mateiral inventory'!N33</f>
        <v>0.2681989102533629</v>
      </c>
      <c r="D26">
        <f>'mateiral inventory'!O33</f>
        <v>4.332423197619466E-4</v>
      </c>
      <c r="E26">
        <f>'mateiral inventory'!P33</f>
        <v>7.8861469170413943E-3</v>
      </c>
      <c r="F26">
        <f>'mateiral inventory'!Q33</f>
        <v>6.2513722290761147E-3</v>
      </c>
      <c r="G26">
        <f>'mateiral inventory'!R33</f>
        <v>3.8587478109411933E-5</v>
      </c>
      <c r="H26">
        <f>'mateiral inventory'!S33</f>
        <v>9.2943543431035038E-7</v>
      </c>
      <c r="I26">
        <f>'mateiral inventory'!T33</f>
        <v>5.944494826621035E-2</v>
      </c>
      <c r="J26">
        <f>'mateiral inventory'!U33</f>
        <v>1.1468133628234475E-3</v>
      </c>
      <c r="K26">
        <f>'mateiral inventory'!V33</f>
        <v>4.2164368215531531E-2</v>
      </c>
      <c r="L26">
        <f>'mateiral inventory'!W33</f>
        <v>2.6698488456169867E-5</v>
      </c>
      <c r="M26">
        <f>'mateiral inventory'!X33</f>
        <v>3.2531784626642108E-4</v>
      </c>
      <c r="N26">
        <f>'mateiral inventory'!Y33</f>
        <v>-6.1477412592485548E-5</v>
      </c>
      <c r="O26">
        <f>'mateiral inventory'!Z33</f>
        <v>2.9467643879430849E-9</v>
      </c>
      <c r="P26">
        <f>'mateiral inventory'!AA33</f>
        <v>2.820584801729799E-5</v>
      </c>
      <c r="Q26">
        <f>'mateiral inventory'!AB33</f>
        <v>8.5292458117685967E-5</v>
      </c>
      <c r="R26">
        <f>'mateiral inventory'!AC33</f>
        <v>7.1355559880370239E-5</v>
      </c>
      <c r="S26">
        <f>'mateiral inventory'!AD33</f>
        <v>8.60245159373322E-6</v>
      </c>
      <c r="T26">
        <f>'mateiral inventory'!AE33</f>
        <v>1.5788664747349141E-3</v>
      </c>
      <c r="U26">
        <f>'mateiral inventory'!AF33</f>
        <v>1.1402186647435119E-5</v>
      </c>
      <c r="V26">
        <f>'mateiral inventory'!AG33</f>
        <v>6.4212590648589959E-4</v>
      </c>
      <c r="W26">
        <f>'mateiral inventory'!AH33</f>
        <v>7.4174136928586228E-4</v>
      </c>
      <c r="X26">
        <f>'mateiral inventory'!AI33</f>
        <v>7.6473786914774524E-4</v>
      </c>
    </row>
    <row r="28" spans="1:24" x14ac:dyDescent="0.25">
      <c r="A28" t="s">
        <v>32</v>
      </c>
      <c r="B28">
        <f t="shared" ref="B28:X28" si="0">SUM(B2:B27)</f>
        <v>53.560780777578628</v>
      </c>
      <c r="C28">
        <f t="shared" si="0"/>
        <v>933.27640914426809</v>
      </c>
      <c r="D28">
        <f t="shared" si="0"/>
        <v>0.26888833596440537</v>
      </c>
      <c r="E28">
        <f t="shared" si="0"/>
        <v>50.476661053604403</v>
      </c>
      <c r="F28">
        <f t="shared" si="0"/>
        <v>21.888404804150561</v>
      </c>
      <c r="G28">
        <f t="shared" si="0"/>
        <v>0.23651440529440029</v>
      </c>
      <c r="H28">
        <f t="shared" si="0"/>
        <v>2.7759396322957581E-3</v>
      </c>
      <c r="I28">
        <f t="shared" si="0"/>
        <v>461.27942259239495</v>
      </c>
      <c r="J28">
        <f t="shared" si="0"/>
        <v>0.62739717489738844</v>
      </c>
      <c r="K28">
        <f t="shared" si="0"/>
        <v>176.60865257555267</v>
      </c>
      <c r="L28">
        <f t="shared" si="0"/>
        <v>4.7140379290061908E-2</v>
      </c>
      <c r="M28">
        <f t="shared" si="0"/>
        <v>0.89661617595168708</v>
      </c>
      <c r="N28">
        <f t="shared" si="0"/>
        <v>8.1723915990408735E-3</v>
      </c>
      <c r="O28">
        <f t="shared" si="0"/>
        <v>4.3913571342856751E-6</v>
      </c>
      <c r="P28">
        <f t="shared" si="0"/>
        <v>6.3350534800437674E-2</v>
      </c>
      <c r="Q28">
        <f t="shared" si="0"/>
        <v>0.15587743306046378</v>
      </c>
      <c r="R28">
        <f t="shared" si="0"/>
        <v>0.22527388632538892</v>
      </c>
      <c r="S28">
        <f t="shared" si="0"/>
        <v>1.213062759078936E-2</v>
      </c>
      <c r="T28">
        <f t="shared" si="0"/>
        <v>4.7548506033675747E-2</v>
      </c>
      <c r="U28">
        <f t="shared" si="0"/>
        <v>2.4774407786453928E-2</v>
      </c>
      <c r="V28">
        <f t="shared" si="0"/>
        <v>1.5336129105820437</v>
      </c>
      <c r="W28">
        <f t="shared" si="0"/>
        <v>5.0384945473277352</v>
      </c>
      <c r="X28">
        <f t="shared" si="0"/>
        <v>2.6662970384039362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74924-CBCB-4613-BA9F-AC498F35B252}">
  <dimension ref="A1:P31"/>
  <sheetViews>
    <sheetView showGridLines="0" workbookViewId="0"/>
  </sheetViews>
  <sheetFormatPr defaultRowHeight="15" x14ac:dyDescent="0.25"/>
  <cols>
    <col min="1" max="2" width="36.7109375" customWidth="1"/>
  </cols>
  <sheetData>
    <row r="1" spans="1:16" x14ac:dyDescent="0.25">
      <c r="A1" s="18" t="s">
        <v>92</v>
      </c>
    </row>
    <row r="2" spans="1:16" x14ac:dyDescent="0.25">
      <c r="P2">
        <f ca="1">_xll.CB.RecalcCounterFN()</f>
        <v>0</v>
      </c>
    </row>
    <row r="3" spans="1:16" x14ac:dyDescent="0.25">
      <c r="A3" t="s">
        <v>93</v>
      </c>
      <c r="B3" t="s">
        <v>94</v>
      </c>
      <c r="C3">
        <v>0</v>
      </c>
    </row>
    <row r="4" spans="1:16" x14ac:dyDescent="0.25">
      <c r="A4" t="s">
        <v>95</v>
      </c>
    </row>
    <row r="5" spans="1:16" x14ac:dyDescent="0.25">
      <c r="A5" t="s">
        <v>96</v>
      </c>
    </row>
    <row r="7" spans="1:16" x14ac:dyDescent="0.25">
      <c r="A7" s="18" t="s">
        <v>97</v>
      </c>
      <c r="B7" t="s">
        <v>98</v>
      </c>
    </row>
    <row r="8" spans="1:16" x14ac:dyDescent="0.25">
      <c r="B8">
        <v>2</v>
      </c>
    </row>
    <row r="10" spans="1:16" x14ac:dyDescent="0.25">
      <c r="A10" t="s">
        <v>99</v>
      </c>
    </row>
    <row r="11" spans="1:16" x14ac:dyDescent="0.25">
      <c r="A11" t="e">
        <f>CB_DATA_!#REF!</f>
        <v>#REF!</v>
      </c>
      <c r="B11" t="e">
        <f>uncertainty!#REF!</f>
        <v>#REF!</v>
      </c>
    </row>
    <row r="13" spans="1:16" x14ac:dyDescent="0.25">
      <c r="A13" t="s">
        <v>100</v>
      </c>
    </row>
    <row r="14" spans="1:16" x14ac:dyDescent="0.25">
      <c r="A14" t="s">
        <v>109</v>
      </c>
      <c r="B14" s="27" t="s">
        <v>104</v>
      </c>
    </row>
    <row r="16" spans="1:16" x14ac:dyDescent="0.25">
      <c r="A16" t="s">
        <v>101</v>
      </c>
    </row>
    <row r="19" spans="1:2" x14ac:dyDescent="0.25">
      <c r="A19" t="s">
        <v>102</v>
      </c>
    </row>
    <row r="20" spans="1:2" x14ac:dyDescent="0.25">
      <c r="A20">
        <v>31</v>
      </c>
      <c r="B20">
        <v>31</v>
      </c>
    </row>
    <row r="25" spans="1:2" x14ac:dyDescent="0.25">
      <c r="A25" s="18" t="s">
        <v>103</v>
      </c>
    </row>
    <row r="26" spans="1:2" x14ac:dyDescent="0.25">
      <c r="A26" s="27" t="s">
        <v>107</v>
      </c>
      <c r="B26" s="27" t="s">
        <v>105</v>
      </c>
    </row>
    <row r="27" spans="1:2" x14ac:dyDescent="0.25">
      <c r="A27" t="s">
        <v>110</v>
      </c>
      <c r="B27" t="s">
        <v>129</v>
      </c>
    </row>
    <row r="28" spans="1:2" x14ac:dyDescent="0.25">
      <c r="A28" s="27" t="s">
        <v>106</v>
      </c>
      <c r="B28" s="27" t="s">
        <v>106</v>
      </c>
    </row>
    <row r="29" spans="1:2" x14ac:dyDescent="0.25">
      <c r="A29" s="27" t="s">
        <v>105</v>
      </c>
      <c r="B29" s="27" t="s">
        <v>107</v>
      </c>
    </row>
    <row r="30" spans="1:2" x14ac:dyDescent="0.25">
      <c r="A30" t="s">
        <v>128</v>
      </c>
      <c r="B30" t="s">
        <v>108</v>
      </c>
    </row>
    <row r="31" spans="1:2" x14ac:dyDescent="0.25">
      <c r="A31" s="27" t="s">
        <v>106</v>
      </c>
      <c r="B31" s="27" t="s">
        <v>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604FD-1C1F-49AD-ABEA-FFA368CDE6B6}">
  <dimension ref="A1:C26"/>
  <sheetViews>
    <sheetView workbookViewId="0">
      <selection activeCell="C19" sqref="C19:C26"/>
    </sheetView>
  </sheetViews>
  <sheetFormatPr defaultRowHeight="15" x14ac:dyDescent="0.25"/>
  <cols>
    <col min="1" max="1" width="15.5703125" customWidth="1"/>
    <col min="2" max="3" width="25.85546875" customWidth="1"/>
  </cols>
  <sheetData>
    <row r="1" spans="1:3" x14ac:dyDescent="0.25">
      <c r="B1" t="s">
        <v>68</v>
      </c>
      <c r="C1" t="s">
        <v>69</v>
      </c>
    </row>
    <row r="2" spans="1:3" x14ac:dyDescent="0.25">
      <c r="A2" t="str">
        <f>'mateiral inventory'!L3</f>
        <v>ITO glass</v>
      </c>
      <c r="B2">
        <v>0</v>
      </c>
      <c r="C2">
        <v>0</v>
      </c>
    </row>
    <row r="3" spans="1:3" x14ac:dyDescent="0.25">
      <c r="A3" t="str">
        <f>'mateiral inventory'!L4</f>
        <v>Ni</v>
      </c>
      <c r="B3">
        <v>0</v>
      </c>
      <c r="C3">
        <v>0</v>
      </c>
    </row>
    <row r="4" spans="1:3" x14ac:dyDescent="0.25">
      <c r="A4" t="str">
        <f>'mateiral inventory'!L5</f>
        <v>PbI₂</v>
      </c>
      <c r="B4">
        <f>'mateiral inventory'!M5</f>
        <v>3.7615529770640022E-3</v>
      </c>
      <c r="C4">
        <f>'mateiral inventory'!N5</f>
        <v>4.472927890759943E-2</v>
      </c>
    </row>
    <row r="5" spans="1:3" x14ac:dyDescent="0.25">
      <c r="A5" t="str">
        <f>'mateiral inventory'!L6</f>
        <v>DMF</v>
      </c>
      <c r="B5">
        <f>'mateiral inventory'!M6</f>
        <v>5.5650324248804721E-3</v>
      </c>
      <c r="C5">
        <f>'mateiral inventory'!N6</f>
        <v>0.15136487547183283</v>
      </c>
    </row>
    <row r="6" spans="1:3" x14ac:dyDescent="0.25">
      <c r="A6" t="str">
        <f>'mateiral inventory'!L7</f>
        <v>MAI</v>
      </c>
      <c r="B6">
        <f>'mateiral inventory'!M7</f>
        <v>4.0852260795166184E-2</v>
      </c>
      <c r="C6">
        <f>'mateiral inventory'!N7</f>
        <v>0.86776101755973556</v>
      </c>
    </row>
    <row r="7" spans="1:3" x14ac:dyDescent="0.25">
      <c r="A7" t="str">
        <f>'mateiral inventory'!L8</f>
        <v>MACl</v>
      </c>
      <c r="B7">
        <f>'mateiral inventory'!M8</f>
        <v>6.0750870841095503E-5</v>
      </c>
      <c r="C7">
        <f>'mateiral inventory'!N8</f>
        <v>7.223991426678969E-4</v>
      </c>
    </row>
    <row r="8" spans="1:3" x14ac:dyDescent="0.25">
      <c r="A8" t="str">
        <f>'mateiral inventory'!L9</f>
        <v>Ethanol</v>
      </c>
      <c r="B8">
        <f>'mateiral inventory'!M9</f>
        <v>5.8794098163324465E-3</v>
      </c>
      <c r="C8">
        <f>'mateiral inventory'!N9</f>
        <v>0.17467875691966225</v>
      </c>
    </row>
    <row r="9" spans="1:3" x14ac:dyDescent="0.25">
      <c r="A9" t="str">
        <f>'mateiral inventory'!L11</f>
        <v>PCBM</v>
      </c>
      <c r="B9">
        <f>'mateiral inventory'!M11</f>
        <v>6.819169729874415E-2</v>
      </c>
      <c r="C9">
        <f>'mateiral inventory'!N11</f>
        <v>2.0963550633835544</v>
      </c>
    </row>
    <row r="10" spans="1:3" x14ac:dyDescent="0.25">
      <c r="A10" t="str">
        <f>'mateiral inventory'!L12</f>
        <v>AZO</v>
      </c>
      <c r="B10">
        <f>'mateiral inventory'!M12</f>
        <v>3.0227406682730926E-4</v>
      </c>
      <c r="C10">
        <f>'mateiral inventory'!N12</f>
        <v>4.6933677216494775E-3</v>
      </c>
    </row>
    <row r="11" spans="1:3" x14ac:dyDescent="0.25">
      <c r="A11" t="str">
        <f>'mateiral inventory'!L13</f>
        <v>ITO</v>
      </c>
      <c r="B11">
        <f>'mateiral inventory'!M13</f>
        <v>9.1704674880000017E-2</v>
      </c>
      <c r="C11">
        <f>'mateiral inventory'!N13</f>
        <v>1.2042202796386563</v>
      </c>
    </row>
    <row r="12" spans="1:3" x14ac:dyDescent="0.25">
      <c r="A12" t="str">
        <f>'mateiral inventory'!L14</f>
        <v>Ar</v>
      </c>
      <c r="B12">
        <f>'mateiral inventory'!M14</f>
        <v>0.98799433696969696</v>
      </c>
      <c r="C12">
        <f>'mateiral inventory'!N14</f>
        <v>14.844249782230303</v>
      </c>
    </row>
    <row r="13" spans="1:3" x14ac:dyDescent="0.25">
      <c r="A13" t="str">
        <f>'mateiral inventory'!L15</f>
        <v>O₂</v>
      </c>
      <c r="B13">
        <f>'mateiral inventory'!M15</f>
        <v>5.9453010977304082E-4</v>
      </c>
      <c r="C13">
        <f>'mateiral inventory'!N15</f>
        <v>8.0999662531850997E-3</v>
      </c>
    </row>
    <row r="19" spans="1:3" x14ac:dyDescent="0.25">
      <c r="A19" t="str">
        <f>'energy inventory'!I5</f>
        <v>UV/O₃ cleaning</v>
      </c>
      <c r="B19">
        <f>'energy inventory'!J5</f>
        <v>3.2656320026125049E-2</v>
      </c>
      <c r="C19">
        <f>'energy inventory'!K5</f>
        <v>0.57461372577289094</v>
      </c>
    </row>
    <row r="20" spans="1:3" x14ac:dyDescent="0.25">
      <c r="A20" t="str">
        <f>'energy inventory'!I6</f>
        <v>HTL sputtering</v>
      </c>
      <c r="B20">
        <v>0</v>
      </c>
      <c r="C20">
        <v>0</v>
      </c>
    </row>
    <row r="21" spans="1:3" x14ac:dyDescent="0.25">
      <c r="A21" t="str">
        <f>'energy inventory'!I8</f>
        <v>PL 1st-step spin coating</v>
      </c>
      <c r="B21">
        <f>'energy inventory'!J8</f>
        <v>6.8506782326191873</v>
      </c>
      <c r="C21">
        <f>'energy inventory'!K8</f>
        <v>120.54309059218431</v>
      </c>
    </row>
    <row r="22" spans="1:3" x14ac:dyDescent="0.25">
      <c r="A22" t="str">
        <f>'energy inventory'!I9</f>
        <v>PL 2nd-step spin coating</v>
      </c>
      <c r="B22">
        <f>'energy inventory'!J9</f>
        <v>12.178983524656331</v>
      </c>
      <c r="C22">
        <f>'energy inventory'!K9</f>
        <v>214.29882771943875</v>
      </c>
    </row>
    <row r="23" spans="1:3" x14ac:dyDescent="0.25">
      <c r="A23" t="str">
        <f>'energy inventory'!I10</f>
        <v>PL treatment</v>
      </c>
      <c r="B23">
        <f>'energy inventory'!J10</f>
        <v>0.17038080013630461</v>
      </c>
      <c r="C23">
        <f>'energy inventory'!K10</f>
        <v>2.9979846562063877</v>
      </c>
    </row>
    <row r="24" spans="1:3" x14ac:dyDescent="0.25">
      <c r="A24" t="str">
        <f>'energy inventory'!I11</f>
        <v>ETL 1st-step spin coating</v>
      </c>
      <c r="B24">
        <f>'energy inventory'!J11</f>
        <v>0.24865424696173338</v>
      </c>
      <c r="C24">
        <f>'energy inventory'!K11</f>
        <v>4.3752677326052076</v>
      </c>
    </row>
    <row r="25" spans="1:3" x14ac:dyDescent="0.25">
      <c r="A25" t="str">
        <f>'energy inventory'!I12</f>
        <v>ETL 2nd-step spin coating</v>
      </c>
      <c r="B25">
        <f>'energy inventory'!J12</f>
        <v>0.25372882343034026</v>
      </c>
      <c r="C25">
        <f>'energy inventory'!K12</f>
        <v>4.4645589108216415</v>
      </c>
    </row>
    <row r="26" spans="1:3" x14ac:dyDescent="0.25">
      <c r="A26" t="str">
        <f>'energy inventory'!I13</f>
        <v>Electrode sputtering</v>
      </c>
      <c r="B26">
        <f>'energy inventory'!J13</f>
        <v>7.7349010970970102</v>
      </c>
      <c r="C26">
        <f>'energy inventory'!K13</f>
        <v>136.10168979027861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7819-5E57-466D-ACC1-7D1893C61653}">
  <dimension ref="A1:T12"/>
  <sheetViews>
    <sheetView zoomScaleNormal="100" workbookViewId="0">
      <selection activeCell="T3" sqref="T3"/>
    </sheetView>
  </sheetViews>
  <sheetFormatPr defaultRowHeight="15" x14ac:dyDescent="0.25"/>
  <sheetData>
    <row r="1" spans="1:20" x14ac:dyDescent="0.25">
      <c r="A1" t="s">
        <v>72</v>
      </c>
      <c r="B1" t="s">
        <v>73</v>
      </c>
      <c r="C1" t="s">
        <v>74</v>
      </c>
      <c r="F1" s="20">
        <f>12.5%*0.8</f>
        <v>0.1</v>
      </c>
      <c r="H1" s="21"/>
      <c r="K1" s="84"/>
      <c r="L1" s="85"/>
      <c r="R1" t="s">
        <v>75</v>
      </c>
      <c r="T1" t="s">
        <v>76</v>
      </c>
    </row>
    <row r="2" spans="1:20" x14ac:dyDescent="0.25">
      <c r="A2" t="s">
        <v>77</v>
      </c>
      <c r="B2" t="s">
        <v>78</v>
      </c>
      <c r="C2" s="22">
        <v>1700</v>
      </c>
      <c r="E2">
        <v>58.9</v>
      </c>
      <c r="Q2" t="s">
        <v>77</v>
      </c>
      <c r="R2" s="23">
        <v>-1.9699999999999999E-2</v>
      </c>
      <c r="S2" t="s">
        <v>77</v>
      </c>
      <c r="T2" s="23">
        <v>-1.507E-2</v>
      </c>
    </row>
    <row r="3" spans="1:20" x14ac:dyDescent="0.25">
      <c r="A3" t="s">
        <v>79</v>
      </c>
      <c r="B3" t="s">
        <v>18</v>
      </c>
      <c r="C3" s="24">
        <v>0.75</v>
      </c>
      <c r="E3">
        <v>1.23</v>
      </c>
      <c r="Q3" t="s">
        <v>111</v>
      </c>
      <c r="R3" s="23">
        <v>-4.0980000000000003E-2</v>
      </c>
      <c r="S3" t="s">
        <v>111</v>
      </c>
      <c r="T3" s="23">
        <v>-3.1870000000000002E-2</v>
      </c>
    </row>
    <row r="4" spans="1:20" x14ac:dyDescent="0.25">
      <c r="A4" t="s">
        <v>80</v>
      </c>
      <c r="B4" t="s">
        <v>18</v>
      </c>
      <c r="C4" s="25">
        <v>0.1</v>
      </c>
      <c r="E4">
        <v>1.05</v>
      </c>
      <c r="Q4" t="s">
        <v>81</v>
      </c>
      <c r="R4" s="20">
        <v>0.182</v>
      </c>
      <c r="S4" t="s">
        <v>82</v>
      </c>
      <c r="T4" s="20">
        <v>0.13800000000000001</v>
      </c>
    </row>
    <row r="5" spans="1:20" x14ac:dyDescent="0.25">
      <c r="A5" t="s">
        <v>83</v>
      </c>
      <c r="B5" t="s">
        <v>84</v>
      </c>
      <c r="C5">
        <v>12.49</v>
      </c>
      <c r="Q5" t="s">
        <v>85</v>
      </c>
      <c r="R5" s="20">
        <v>-0.75729999999999997</v>
      </c>
      <c r="S5" t="s">
        <v>86</v>
      </c>
      <c r="T5" s="20">
        <v>-0.25009999999999999</v>
      </c>
    </row>
    <row r="6" spans="1:20" x14ac:dyDescent="0.25">
      <c r="A6" t="s">
        <v>87</v>
      </c>
      <c r="B6" t="s">
        <v>88</v>
      </c>
      <c r="C6" s="22">
        <v>5</v>
      </c>
      <c r="E6">
        <v>1.1499999999999999</v>
      </c>
      <c r="S6" t="s">
        <v>85</v>
      </c>
      <c r="T6" s="20">
        <v>-0.56489999999999996</v>
      </c>
    </row>
    <row r="7" spans="1:20" x14ac:dyDescent="0.25">
      <c r="A7" t="s">
        <v>69</v>
      </c>
      <c r="B7" t="s">
        <v>89</v>
      </c>
      <c r="C7" s="22">
        <v>933.27640914426809</v>
      </c>
      <c r="E7">
        <v>1.1100000000000001</v>
      </c>
    </row>
    <row r="8" spans="1:20" x14ac:dyDescent="0.25">
      <c r="A8" t="s">
        <v>90</v>
      </c>
      <c r="C8" s="22">
        <v>53.560780777578628</v>
      </c>
      <c r="E8">
        <v>1.1100000000000001</v>
      </c>
    </row>
    <row r="9" spans="1:20" x14ac:dyDescent="0.25">
      <c r="B9" t="s">
        <v>75</v>
      </c>
      <c r="C9" s="26">
        <f>C7/C5/C2/C4/C3</f>
        <v>0.5860540411273446</v>
      </c>
    </row>
    <row r="10" spans="1:20" x14ac:dyDescent="0.25">
      <c r="B10" t="s">
        <v>91</v>
      </c>
      <c r="C10" s="26">
        <f>C8*1000/C2/C3/C4/C6</f>
        <v>84.016911023652739</v>
      </c>
    </row>
    <row r="12" spans="1:20" x14ac:dyDescent="0.25">
      <c r="B12">
        <f>Results!B28</f>
        <v>53.560780777578628</v>
      </c>
      <c r="C12">
        <f>Results!C28</f>
        <v>933.27640914426809</v>
      </c>
    </row>
  </sheetData>
  <mergeCells count="1">
    <mergeCell ref="K1:L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E1F9E-4420-4651-AA95-79AF80F0B0BE}">
  <sheetPr codeName="Sheet3"/>
  <dimension ref="A1:H28"/>
  <sheetViews>
    <sheetView tabSelected="1" workbookViewId="0">
      <selection activeCell="N13" sqref="N13"/>
    </sheetView>
  </sheetViews>
  <sheetFormatPr defaultRowHeight="15" x14ac:dyDescent="0.25"/>
  <cols>
    <col min="1" max="1" width="31.28515625" customWidth="1"/>
    <col min="2" max="6" width="9.42578125" bestFit="1" customWidth="1"/>
    <col min="7" max="8" width="20.140625" customWidth="1"/>
    <col min="9" max="13" width="9.42578125" bestFit="1" customWidth="1"/>
    <col min="14" max="14" width="11.7109375" bestFit="1" customWidth="1"/>
    <col min="15" max="15" width="12.140625" bestFit="1" customWidth="1"/>
    <col min="16" max="24" width="9.42578125" bestFit="1" customWidth="1"/>
  </cols>
  <sheetData>
    <row r="1" spans="1:8" x14ac:dyDescent="0.25">
      <c r="A1" s="29"/>
      <c r="B1" s="29" t="s">
        <v>68</v>
      </c>
      <c r="C1" s="29" t="s">
        <v>69</v>
      </c>
      <c r="D1" s="29"/>
      <c r="E1" s="29"/>
      <c r="F1" s="29"/>
      <c r="G1" s="29" t="str">
        <f>B1</f>
        <v>carbon footprint</v>
      </c>
      <c r="H1" s="29" t="str">
        <f>C1</f>
        <v>primary energy consumption</v>
      </c>
    </row>
    <row r="2" spans="1:8" x14ac:dyDescent="0.25">
      <c r="A2" s="33" t="str">
        <f>'[4]mateiral inventory'!L13</f>
        <v>ITO glass</v>
      </c>
      <c r="B2">
        <f>'[4]mateiral inventory'!M13</f>
        <v>1.6837863429999995</v>
      </c>
      <c r="C2">
        <f>'[4]mateiral inventory'!N13</f>
        <v>29.222870408888099</v>
      </c>
      <c r="G2">
        <f>B2</f>
        <v>1.6837863429999995</v>
      </c>
      <c r="H2">
        <f>C2</f>
        <v>29.222870408888099</v>
      </c>
    </row>
    <row r="3" spans="1:8" x14ac:dyDescent="0.25">
      <c r="A3" s="33" t="str">
        <f>'[4]mateiral inventory'!L14</f>
        <v>Ni</v>
      </c>
      <c r="B3">
        <f>'[4]mateiral inventory'!M14</f>
        <v>8.8120058880000011E-3</v>
      </c>
      <c r="C3">
        <f>'[4]mateiral inventory'!N14</f>
        <v>0.1232730025314816</v>
      </c>
      <c r="G3">
        <f t="shared" ref="G3:H25" si="0">B3</f>
        <v>8.8120058880000011E-3</v>
      </c>
      <c r="H3">
        <f t="shared" si="0"/>
        <v>0.1232730025314816</v>
      </c>
    </row>
    <row r="4" spans="1:8" x14ac:dyDescent="0.25">
      <c r="A4" s="33" t="str">
        <f>'[4]mateiral inventory'!L15</f>
        <v>PbI₂</v>
      </c>
      <c r="B4">
        <f>'[4]mateiral inventory'!M15</f>
        <v>3.7615529770640022E-3</v>
      </c>
      <c r="C4">
        <f>'[4]mateiral inventory'!N15</f>
        <v>4.472927890759943E-2</v>
      </c>
      <c r="G4">
        <f t="shared" si="0"/>
        <v>3.7615529770640022E-3</v>
      </c>
      <c r="H4">
        <f t="shared" si="0"/>
        <v>4.472927890759943E-2</v>
      </c>
    </row>
    <row r="5" spans="1:8" x14ac:dyDescent="0.25">
      <c r="A5" s="33" t="str">
        <f>'[4]mateiral inventory'!L16</f>
        <v>DMF</v>
      </c>
      <c r="B5">
        <f>'[4]mateiral inventory'!M16</f>
        <v>5.5650324248804721E-3</v>
      </c>
      <c r="C5">
        <f>'[4]mateiral inventory'!N16</f>
        <v>0.15136487547183283</v>
      </c>
      <c r="G5">
        <f t="shared" si="0"/>
        <v>5.5650324248804721E-3</v>
      </c>
      <c r="H5">
        <f t="shared" si="0"/>
        <v>0.15136487547183283</v>
      </c>
    </row>
    <row r="6" spans="1:8" x14ac:dyDescent="0.25">
      <c r="A6" s="33" t="str">
        <f>'[4]mateiral inventory'!L17</f>
        <v>MAI</v>
      </c>
      <c r="B6">
        <f>'[4]mateiral inventory'!M17</f>
        <v>4.0852260795166184E-2</v>
      </c>
      <c r="C6">
        <f>'[4]mateiral inventory'!N17</f>
        <v>0.86776101755973556</v>
      </c>
      <c r="G6">
        <f t="shared" si="0"/>
        <v>4.0852260795166184E-2</v>
      </c>
      <c r="H6">
        <f t="shared" si="0"/>
        <v>0.86776101755973556</v>
      </c>
    </row>
    <row r="7" spans="1:8" x14ac:dyDescent="0.25">
      <c r="A7" s="33" t="str">
        <f>'[4]mateiral inventory'!L18</f>
        <v>MACl</v>
      </c>
      <c r="B7">
        <f>'[4]mateiral inventory'!M18</f>
        <v>6.0750870841095503E-5</v>
      </c>
      <c r="C7">
        <f>'[4]mateiral inventory'!N18</f>
        <v>7.223991426678969E-4</v>
      </c>
      <c r="G7">
        <f t="shared" si="0"/>
        <v>6.0750870841095503E-5</v>
      </c>
      <c r="H7">
        <f t="shared" si="0"/>
        <v>7.223991426678969E-4</v>
      </c>
    </row>
    <row r="8" spans="1:8" x14ac:dyDescent="0.25">
      <c r="A8" s="33" t="str">
        <f>'[4]mateiral inventory'!L19</f>
        <v>Ethanol</v>
      </c>
      <c r="B8">
        <f>'[4]mateiral inventory'!M19</f>
        <v>5.8794098163324465E-3</v>
      </c>
      <c r="C8">
        <f>'[4]mateiral inventory'!N19</f>
        <v>0.17467875691966225</v>
      </c>
      <c r="G8">
        <f t="shared" si="0"/>
        <v>5.8794098163324465E-3</v>
      </c>
      <c r="H8">
        <f t="shared" si="0"/>
        <v>0.17467875691966225</v>
      </c>
    </row>
    <row r="9" spans="1:8" x14ac:dyDescent="0.25">
      <c r="A9" s="33" t="str">
        <f>'[4]mateiral inventory'!L20</f>
        <v>Nitrogen</v>
      </c>
      <c r="B9">
        <f>'[4]mateiral inventory'!M20</f>
        <v>0.85753647703738045</v>
      </c>
      <c r="C9">
        <f>'[4]mateiral inventory'!N20</f>
        <v>11.683460563708593</v>
      </c>
      <c r="G9">
        <f t="shared" si="0"/>
        <v>0.85753647703738045</v>
      </c>
      <c r="H9">
        <f t="shared" si="0"/>
        <v>11.683460563708593</v>
      </c>
    </row>
    <row r="10" spans="1:8" x14ac:dyDescent="0.25">
      <c r="A10" s="33" t="str">
        <f>'[4]mateiral inventory'!L21</f>
        <v>PCBM</v>
      </c>
      <c r="B10">
        <f>'[4]mateiral inventory'!M21</f>
        <v>6.819169729874415E-2</v>
      </c>
      <c r="C10">
        <f>'[4]mateiral inventory'!N21</f>
        <v>2.0963550633835544</v>
      </c>
      <c r="G10">
        <f t="shared" si="0"/>
        <v>6.819169729874415E-2</v>
      </c>
      <c r="H10">
        <f t="shared" si="0"/>
        <v>2.0963550633835544</v>
      </c>
    </row>
    <row r="11" spans="1:8" x14ac:dyDescent="0.25">
      <c r="A11" s="33" t="str">
        <f>'[4]mateiral inventory'!L22</f>
        <v>AZO</v>
      </c>
      <c r="B11">
        <f>'[4]mateiral inventory'!M22</f>
        <v>3.0227406682730926E-4</v>
      </c>
      <c r="C11">
        <f>'[4]mateiral inventory'!N22</f>
        <v>4.6933677216494775E-3</v>
      </c>
      <c r="G11">
        <f t="shared" si="0"/>
        <v>3.0227406682730926E-4</v>
      </c>
      <c r="H11">
        <f t="shared" si="0"/>
        <v>4.6933677216494775E-3</v>
      </c>
    </row>
    <row r="12" spans="1:8" x14ac:dyDescent="0.25">
      <c r="A12" s="33" t="str">
        <f>'[4]mateiral inventory'!L23</f>
        <v>ITO</v>
      </c>
      <c r="B12">
        <f>'[4]mateiral inventory'!M23</f>
        <v>5.0437571184000017E-2</v>
      </c>
      <c r="C12">
        <f>'[4]mateiral inventory'!N23</f>
        <v>0.662321153801261</v>
      </c>
      <c r="G12">
        <f t="shared" si="0"/>
        <v>5.0437571184000017E-2</v>
      </c>
      <c r="H12">
        <f t="shared" si="0"/>
        <v>0.662321153801261</v>
      </c>
    </row>
    <row r="13" spans="1:8" x14ac:dyDescent="0.25">
      <c r="A13" s="33" t="str">
        <f>'[4]mateiral inventory'!L24</f>
        <v>Ar</v>
      </c>
      <c r="B13">
        <f>'[4]mateiral inventory'!M24</f>
        <v>0.98799433696969696</v>
      </c>
      <c r="C13">
        <f>'[4]mateiral inventory'!N24</f>
        <v>14.844249782230303</v>
      </c>
      <c r="G13">
        <f t="shared" si="0"/>
        <v>0.98799433696969696</v>
      </c>
      <c r="H13">
        <f t="shared" si="0"/>
        <v>14.844249782230303</v>
      </c>
    </row>
    <row r="14" spans="1:8" x14ac:dyDescent="0.25">
      <c r="A14" s="33" t="str">
        <f>'[4]mateiral inventory'!L25</f>
        <v>O₂</v>
      </c>
      <c r="B14">
        <f>'[4]mateiral inventory'!M25</f>
        <v>5.9453010977304082E-4</v>
      </c>
      <c r="C14">
        <f>'[4]mateiral inventory'!N25</f>
        <v>8.0999662531850997E-3</v>
      </c>
      <c r="G14">
        <f t="shared" si="0"/>
        <v>5.9453010977304082E-4</v>
      </c>
      <c r="H14">
        <f t="shared" si="0"/>
        <v>8.0999662531850997E-3</v>
      </c>
    </row>
    <row r="15" spans="1:8" x14ac:dyDescent="0.25">
      <c r="A15" s="34" t="str">
        <f>'[4]energy inventory'!I5</f>
        <v>UV/O₃ cleaning</v>
      </c>
      <c r="B15">
        <f>'[4]energy inventory'!J5</f>
        <v>3.2656320026125049E-2</v>
      </c>
      <c r="C15">
        <f>'[4]energy inventory'!K5</f>
        <v>0.57461372577289094</v>
      </c>
      <c r="G15">
        <f t="shared" si="0"/>
        <v>3.2656320026125049E-2</v>
      </c>
      <c r="H15">
        <f t="shared" si="0"/>
        <v>0.57461372577289094</v>
      </c>
    </row>
    <row r="16" spans="1:8" x14ac:dyDescent="0.25">
      <c r="A16" s="34" t="str">
        <f>'[4]energy inventory'!I6</f>
        <v>HTL sputtering</v>
      </c>
      <c r="B16">
        <f>'[4]energy inventory'!J6</f>
        <v>5.2210193981162085</v>
      </c>
      <c r="C16">
        <f>'[4]energy inventory'!K6</f>
        <v>91.867957145325505</v>
      </c>
      <c r="G16">
        <f t="shared" si="0"/>
        <v>5.2210193981162085</v>
      </c>
      <c r="H16">
        <f t="shared" si="0"/>
        <v>91.867957145325505</v>
      </c>
    </row>
    <row r="17" spans="1:8" x14ac:dyDescent="0.25">
      <c r="A17" s="34" t="str">
        <f>'[4]energy inventory'!I7</f>
        <v>Inert gas purging</v>
      </c>
      <c r="B17">
        <f>'[4]energy inventory'!J7</f>
        <v>1.9522800015618238</v>
      </c>
      <c r="C17">
        <f>'[4]energy inventory'!K7</f>
        <v>34.351907519031528</v>
      </c>
      <c r="G17">
        <f t="shared" si="0"/>
        <v>1.9522800015618238</v>
      </c>
      <c r="H17">
        <f t="shared" si="0"/>
        <v>34.351907519031528</v>
      </c>
    </row>
    <row r="18" spans="1:8" x14ac:dyDescent="0.25">
      <c r="A18" s="34" t="str">
        <f>'[4]energy inventory'!I8</f>
        <v>PL 1st-step spin coating</v>
      </c>
      <c r="B18">
        <f>'[4]energy inventory'!J8</f>
        <v>6.8506782326191873</v>
      </c>
      <c r="C18">
        <f>'[4]energy inventory'!K8</f>
        <v>120.54309059218431</v>
      </c>
      <c r="G18">
        <f t="shared" si="0"/>
        <v>6.8506782326191873</v>
      </c>
      <c r="H18">
        <f t="shared" si="0"/>
        <v>120.54309059218431</v>
      </c>
    </row>
    <row r="19" spans="1:8" x14ac:dyDescent="0.25">
      <c r="A19" s="34" t="str">
        <f>'[4]energy inventory'!I9</f>
        <v>PL 2nd-step spin coating</v>
      </c>
      <c r="B19">
        <f>'[4]energy inventory'!J9</f>
        <v>12.178983524656331</v>
      </c>
      <c r="C19">
        <f>'[4]energy inventory'!K9</f>
        <v>214.29882771943875</v>
      </c>
      <c r="G19">
        <f t="shared" si="0"/>
        <v>12.178983524656331</v>
      </c>
      <c r="H19">
        <f t="shared" si="0"/>
        <v>214.29882771943875</v>
      </c>
    </row>
    <row r="20" spans="1:8" x14ac:dyDescent="0.25">
      <c r="A20" s="34" t="str">
        <f>'[4]energy inventory'!I10</f>
        <v>PL treatment</v>
      </c>
      <c r="B20">
        <f>'[4]energy inventory'!J10</f>
        <v>0.17038080013630461</v>
      </c>
      <c r="C20">
        <f>'[4]energy inventory'!K10</f>
        <v>2.9979846562063877</v>
      </c>
      <c r="G20">
        <f t="shared" si="0"/>
        <v>0.17038080013630461</v>
      </c>
      <c r="H20">
        <f t="shared" si="0"/>
        <v>2.9979846562063877</v>
      </c>
    </row>
    <row r="21" spans="1:8" x14ac:dyDescent="0.25">
      <c r="A21" s="34" t="str">
        <f>'[4]energy inventory'!I11</f>
        <v>ETL 1st-step spin coating</v>
      </c>
      <c r="B21">
        <f>'[4]energy inventory'!J11</f>
        <v>0.24865424696173338</v>
      </c>
      <c r="C21">
        <f>'[4]energy inventory'!K11</f>
        <v>4.3752677326052076</v>
      </c>
      <c r="G21">
        <f t="shared" si="0"/>
        <v>0.24865424696173338</v>
      </c>
      <c r="H21">
        <f t="shared" si="0"/>
        <v>4.3752677326052076</v>
      </c>
    </row>
    <row r="22" spans="1:8" x14ac:dyDescent="0.25">
      <c r="A22" s="34" t="str">
        <f>'[4]energy inventory'!I12</f>
        <v>ETL 2nd-step spin coating</v>
      </c>
      <c r="B22">
        <f>'[4]energy inventory'!J12</f>
        <v>0.25372882343034026</v>
      </c>
      <c r="C22">
        <f>'[4]energy inventory'!K12</f>
        <v>4.4645589108216415</v>
      </c>
      <c r="G22">
        <f t="shared" si="0"/>
        <v>0.25372882343034026</v>
      </c>
      <c r="H22">
        <f t="shared" si="0"/>
        <v>4.4645589108216415</v>
      </c>
    </row>
    <row r="23" spans="1:8" x14ac:dyDescent="0.25">
      <c r="A23" s="34" t="str">
        <f>'[4]energy inventory'!I13</f>
        <v>Electrode sputtering</v>
      </c>
      <c r="B23">
        <f>'[4]energy inventory'!J13</f>
        <v>7.7349010970970102</v>
      </c>
      <c r="C23">
        <f>'[4]energy inventory'!K13</f>
        <v>136.10168979027861</v>
      </c>
      <c r="G23">
        <f t="shared" si="0"/>
        <v>7.7349010970970102</v>
      </c>
      <c r="H23">
        <f t="shared" si="0"/>
        <v>136.10168979027861</v>
      </c>
    </row>
    <row r="24" spans="1:8" x14ac:dyDescent="0.25">
      <c r="A24" s="62" t="str">
        <f>'[4]mateiral inventory'!L26</f>
        <v>Direct emissions</v>
      </c>
      <c r="B24" s="62">
        <f>'[4]mateiral inventory'!M26</f>
        <v>0</v>
      </c>
      <c r="C24" s="62">
        <f>'[4]mateiral inventory'!N26</f>
        <v>0</v>
      </c>
      <c r="D24" s="62"/>
      <c r="E24" s="62"/>
      <c r="F24" s="62"/>
      <c r="G24" s="62">
        <f t="shared" si="0"/>
        <v>0</v>
      </c>
      <c r="H24" s="62">
        <f t="shared" si="0"/>
        <v>0</v>
      </c>
    </row>
    <row r="25" spans="1:8" x14ac:dyDescent="0.25">
      <c r="A25" s="62" t="s">
        <v>124</v>
      </c>
      <c r="B25" s="62">
        <v>0</v>
      </c>
      <c r="C25" s="62">
        <v>0</v>
      </c>
      <c r="D25" s="62"/>
      <c r="E25" s="62"/>
      <c r="F25" s="62"/>
      <c r="G25" s="62">
        <f t="shared" si="0"/>
        <v>0</v>
      </c>
      <c r="H25" s="62">
        <f t="shared" si="0"/>
        <v>0</v>
      </c>
    </row>
    <row r="26" spans="1:8" x14ac:dyDescent="0.25">
      <c r="A26" s="62" t="s">
        <v>64</v>
      </c>
      <c r="B26" s="62">
        <f>'[4]mateiral inventory'!M44</f>
        <v>8.4370316282724334E-4</v>
      </c>
      <c r="C26" s="62">
        <f>'[4]mateiral inventory'!N44</f>
        <v>2.7002741464560154E-2</v>
      </c>
      <c r="D26" s="62"/>
      <c r="E26" s="62"/>
      <c r="F26" s="62"/>
      <c r="G26" s="62">
        <v>0.15919871392941176</v>
      </c>
      <c r="H26" s="62">
        <v>2.7862059562039212</v>
      </c>
    </row>
    <row r="28" spans="1:8" x14ac:dyDescent="0.25">
      <c r="A28" s="68" t="s">
        <v>32</v>
      </c>
      <c r="B28" s="68">
        <f t="shared" ref="B28:H28" si="1">SUM(B2:B27)</f>
        <v>38.357900390206602</v>
      </c>
      <c r="C28" s="68">
        <f t="shared" si="1"/>
        <v>669.48748016964907</v>
      </c>
      <c r="D28" s="68"/>
      <c r="E28" s="68"/>
      <c r="F28" s="68"/>
      <c r="G28" s="68">
        <f t="shared" si="1"/>
        <v>38.516255400973186</v>
      </c>
      <c r="H28" s="68">
        <f t="shared" si="1"/>
        <v>672.24668338438846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mateiral inventory</vt:lpstr>
      <vt:lpstr>energy inventory</vt:lpstr>
      <vt:lpstr>Results</vt:lpstr>
      <vt:lpstr>Recycling</vt:lpstr>
      <vt:lpstr>uncertainty</vt:lpstr>
      <vt:lpstr>Results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2020-01-04T20:16:56Z</dcterms:modified>
</cp:coreProperties>
</file>