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y Liang\Desktop\"/>
    </mc:Choice>
  </mc:AlternateContent>
  <xr:revisionPtr revIDLastSave="0" documentId="8_{D0DF73CF-7D50-4C8D-AFDC-6FD2A52831CB}" xr6:coauthVersionLast="47" xr6:coauthVersionMax="47" xr10:uidLastSave="{00000000-0000-0000-0000-000000000000}"/>
  <bookViews>
    <workbookView xWindow="28680" yWindow="-75" windowWidth="29040" windowHeight="15840" xr2:uid="{B7600661-4130-4934-8C97-6F71467C581E}"/>
  </bookViews>
  <sheets>
    <sheet name="LCIASilicon (2)" sheetId="13" r:id="rId1"/>
    <sheet name="LCIASilicon" sheetId="1" r:id="rId2"/>
    <sheet name="Sheet1" sheetId="12" r:id="rId3"/>
    <sheet name="calculations" sheetId="4" r:id="rId4"/>
    <sheet name="CarEmi&amp;EPBT Normalized" sheetId="10" r:id="rId5"/>
    <sheet name="Sensitivity%" sheetId="11" r:id="rId6"/>
    <sheet name="EPBT&amp;CarEmi&amp;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7" i="13" l="1"/>
  <c r="M88" i="13"/>
  <c r="M89" i="13"/>
  <c r="M90" i="13"/>
  <c r="M91" i="13"/>
  <c r="M86" i="13"/>
  <c r="M57" i="13"/>
  <c r="M58" i="13"/>
  <c r="M59" i="13"/>
  <c r="M60" i="13"/>
  <c r="M61" i="13"/>
  <c r="M56" i="13"/>
  <c r="G131" i="13"/>
  <c r="G130" i="13"/>
  <c r="G129" i="13"/>
  <c r="J123" i="13"/>
  <c r="J122" i="13"/>
  <c r="AK91" i="13"/>
  <c r="AM91" i="13" s="1"/>
  <c r="AN91" i="13" s="1"/>
  <c r="BA91" i="13" s="1"/>
  <c r="AB91" i="13"/>
  <c r="K91" i="13"/>
  <c r="AL91" i="13" s="1"/>
  <c r="AP91" i="13" s="1"/>
  <c r="AK90" i="13"/>
  <c r="AM90" i="13" s="1"/>
  <c r="AT90" i="13" s="1"/>
  <c r="AB90" i="13"/>
  <c r="K90" i="13"/>
  <c r="AL90" i="13" s="1"/>
  <c r="BD90" i="13" s="1"/>
  <c r="AK89" i="13"/>
  <c r="AM89" i="13" s="1"/>
  <c r="AN89" i="13" s="1"/>
  <c r="BA89" i="13" s="1"/>
  <c r="AB89" i="13"/>
  <c r="K89" i="13"/>
  <c r="AL89" i="13" s="1"/>
  <c r="AY89" i="13" s="1"/>
  <c r="AK88" i="13"/>
  <c r="AM88" i="13" s="1"/>
  <c r="AN88" i="13" s="1"/>
  <c r="BA88" i="13" s="1"/>
  <c r="AB88" i="13"/>
  <c r="K88" i="13"/>
  <c r="AL88" i="13" s="1"/>
  <c r="AY88" i="13" s="1"/>
  <c r="AK87" i="13"/>
  <c r="AM87" i="13" s="1"/>
  <c r="AB87" i="13"/>
  <c r="K87" i="13"/>
  <c r="AL87" i="13" s="1"/>
  <c r="BF87" i="13" s="1"/>
  <c r="AK86" i="13"/>
  <c r="AM86" i="13" s="1"/>
  <c r="AB86" i="13"/>
  <c r="K86" i="13"/>
  <c r="AL86" i="13" s="1"/>
  <c r="BF86" i="13" s="1"/>
  <c r="AY85" i="13"/>
  <c r="AW85" i="13"/>
  <c r="AR85" i="13"/>
  <c r="AK85" i="13"/>
  <c r="AM85" i="13" s="1"/>
  <c r="AN85" i="13" s="1"/>
  <c r="BA85" i="13" s="1"/>
  <c r="AB85" i="13"/>
  <c r="K85" i="13"/>
  <c r="AL85" i="13" s="1"/>
  <c r="BD85" i="13" s="1"/>
  <c r="AJ84" i="13"/>
  <c r="AI84" i="13"/>
  <c r="AH84" i="13"/>
  <c r="AG84" i="13"/>
  <c r="AF84" i="13"/>
  <c r="AE84" i="13"/>
  <c r="AD84" i="13"/>
  <c r="AC84" i="13"/>
  <c r="AA84" i="13"/>
  <c r="Z84" i="13"/>
  <c r="Y84" i="13"/>
  <c r="X84" i="13"/>
  <c r="W84" i="13"/>
  <c r="V84" i="13"/>
  <c r="U84" i="13"/>
  <c r="T84" i="13"/>
  <c r="S84" i="13"/>
  <c r="R84" i="13"/>
  <c r="Q84" i="13"/>
  <c r="P84" i="13"/>
  <c r="O84" i="13"/>
  <c r="N84" i="13"/>
  <c r="AK83" i="13"/>
  <c r="AM83" i="13" s="1"/>
  <c r="AN83" i="13" s="1"/>
  <c r="BA83" i="13" s="1"/>
  <c r="AB83" i="13"/>
  <c r="K83" i="13"/>
  <c r="AL83" i="13" s="1"/>
  <c r="AK82" i="13"/>
  <c r="AM82" i="13" s="1"/>
  <c r="AN82" i="13" s="1"/>
  <c r="BA82" i="13" s="1"/>
  <c r="AB82" i="13"/>
  <c r="K82" i="13"/>
  <c r="AL82" i="13" s="1"/>
  <c r="AK81" i="13"/>
  <c r="AM81" i="13" s="1"/>
  <c r="AN81" i="13" s="1"/>
  <c r="BA81" i="13" s="1"/>
  <c r="AB81" i="13"/>
  <c r="K81" i="13"/>
  <c r="AL81" i="13" s="1"/>
  <c r="AW81" i="13" s="1"/>
  <c r="AK80" i="13"/>
  <c r="AM80" i="13" s="1"/>
  <c r="AN80" i="13" s="1"/>
  <c r="BA80" i="13" s="1"/>
  <c r="AB80" i="13"/>
  <c r="K80" i="13"/>
  <c r="AL80" i="13" s="1"/>
  <c r="AR79" i="13"/>
  <c r="AP79" i="13"/>
  <c r="AK79" i="13"/>
  <c r="AM79" i="13" s="1"/>
  <c r="AN79" i="13" s="1"/>
  <c r="BA79" i="13" s="1"/>
  <c r="AB79" i="13"/>
  <c r="K79" i="13"/>
  <c r="AL79" i="13" s="1"/>
  <c r="AW79" i="13" s="1"/>
  <c r="AK78" i="13"/>
  <c r="AM78" i="13" s="1"/>
  <c r="AN78" i="13" s="1"/>
  <c r="BA78" i="13" s="1"/>
  <c r="AB78" i="13"/>
  <c r="K78" i="13"/>
  <c r="AL78" i="13" s="1"/>
  <c r="AW78" i="13" s="1"/>
  <c r="AJ77" i="13"/>
  <c r="AI77" i="13"/>
  <c r="AH77" i="13"/>
  <c r="AG77" i="13"/>
  <c r="AF77" i="13"/>
  <c r="AE77" i="13"/>
  <c r="AD77" i="13"/>
  <c r="AC77" i="13"/>
  <c r="AA77" i="13"/>
  <c r="Z77" i="13"/>
  <c r="Y77" i="13"/>
  <c r="X77" i="13"/>
  <c r="W77" i="13"/>
  <c r="V77" i="13"/>
  <c r="U77" i="13"/>
  <c r="T77" i="13"/>
  <c r="S77" i="13"/>
  <c r="R77" i="13"/>
  <c r="Q77" i="13"/>
  <c r="P77" i="13"/>
  <c r="O77" i="13"/>
  <c r="N77" i="13"/>
  <c r="AK76" i="13"/>
  <c r="AM76" i="13" s="1"/>
  <c r="AN76" i="13" s="1"/>
  <c r="BA76" i="13" s="1"/>
  <c r="AB76" i="13"/>
  <c r="K76" i="13"/>
  <c r="AL76" i="13" s="1"/>
  <c r="AY76" i="13" s="1"/>
  <c r="AK75" i="13"/>
  <c r="AM75" i="13" s="1"/>
  <c r="AN75" i="13" s="1"/>
  <c r="BA75" i="13" s="1"/>
  <c r="AB75" i="13"/>
  <c r="K75" i="13"/>
  <c r="AL75" i="13" s="1"/>
  <c r="BD75" i="13" s="1"/>
  <c r="AK74" i="13"/>
  <c r="AM74" i="13" s="1"/>
  <c r="AN74" i="13" s="1"/>
  <c r="BA74" i="13" s="1"/>
  <c r="AB74" i="13"/>
  <c r="K74" i="13"/>
  <c r="AL74" i="13" s="1"/>
  <c r="AK73" i="13"/>
  <c r="AM73" i="13" s="1"/>
  <c r="AN73" i="13" s="1"/>
  <c r="BA73" i="13" s="1"/>
  <c r="AB73" i="13"/>
  <c r="K73" i="13"/>
  <c r="AL73" i="13" s="1"/>
  <c r="BD73" i="13" s="1"/>
  <c r="AK72" i="13"/>
  <c r="AM72" i="13" s="1"/>
  <c r="AN72" i="13" s="1"/>
  <c r="BA72" i="13" s="1"/>
  <c r="AB72" i="13"/>
  <c r="K72" i="13"/>
  <c r="AL72" i="13" s="1"/>
  <c r="AL71" i="13"/>
  <c r="AK71" i="13"/>
  <c r="AB71" i="13"/>
  <c r="K71" i="13"/>
  <c r="AJ70" i="13"/>
  <c r="AI70" i="13"/>
  <c r="AH70" i="13"/>
  <c r="AG70" i="13"/>
  <c r="AF70" i="13"/>
  <c r="AE70" i="13"/>
  <c r="AD70" i="13"/>
  <c r="AC70" i="13"/>
  <c r="AA70" i="13"/>
  <c r="Z70" i="13"/>
  <c r="Y70" i="13"/>
  <c r="X70" i="13"/>
  <c r="W70" i="13"/>
  <c r="V70" i="13"/>
  <c r="U70" i="13"/>
  <c r="T70" i="13"/>
  <c r="S70" i="13"/>
  <c r="R70" i="13"/>
  <c r="Q70" i="13"/>
  <c r="P70" i="13"/>
  <c r="O70" i="13"/>
  <c r="N70" i="13"/>
  <c r="AK69" i="13"/>
  <c r="AM69" i="13" s="1"/>
  <c r="AN69" i="13" s="1"/>
  <c r="BA69" i="13" s="1"/>
  <c r="AB69" i="13"/>
  <c r="K69" i="13"/>
  <c r="AL69" i="13" s="1"/>
  <c r="BD69" i="13" s="1"/>
  <c r="AK68" i="13"/>
  <c r="AM68" i="13" s="1"/>
  <c r="AN68" i="13" s="1"/>
  <c r="BA68" i="13" s="1"/>
  <c r="AB68" i="13"/>
  <c r="K68" i="13"/>
  <c r="AL68" i="13" s="1"/>
  <c r="AK67" i="13"/>
  <c r="AM67" i="13" s="1"/>
  <c r="AN67" i="13" s="1"/>
  <c r="BA67" i="13" s="1"/>
  <c r="AB67" i="13"/>
  <c r="K67" i="13"/>
  <c r="AL67" i="13" s="1"/>
  <c r="AM66" i="13"/>
  <c r="AN66" i="13" s="1"/>
  <c r="BA66" i="13" s="1"/>
  <c r="AK66" i="13"/>
  <c r="AB66" i="13"/>
  <c r="K66" i="13"/>
  <c r="AL66" i="13" s="1"/>
  <c r="AW66" i="13" s="1"/>
  <c r="AK65" i="13"/>
  <c r="AM65" i="13" s="1"/>
  <c r="AN65" i="13" s="1"/>
  <c r="BA65" i="13" s="1"/>
  <c r="AB65" i="13"/>
  <c r="K65" i="13"/>
  <c r="AL65" i="13" s="1"/>
  <c r="AK64" i="13"/>
  <c r="AM64" i="13" s="1"/>
  <c r="AN64" i="13" s="1"/>
  <c r="BA64" i="13" s="1"/>
  <c r="AB64" i="13"/>
  <c r="K64" i="13"/>
  <c r="AL64" i="13" s="1"/>
  <c r="AW64" i="13" s="1"/>
  <c r="AL61" i="13"/>
  <c r="BF61" i="13" s="1"/>
  <c r="AE61" i="13"/>
  <c r="AK61" i="13" s="1"/>
  <c r="AM61" i="13" s="1"/>
  <c r="AT61" i="13" s="1"/>
  <c r="AB61" i="13"/>
  <c r="P61" i="13"/>
  <c r="AL60" i="13"/>
  <c r="BF60" i="13" s="1"/>
  <c r="AE60" i="13"/>
  <c r="AK60" i="13" s="1"/>
  <c r="AM60" i="13" s="1"/>
  <c r="AB60" i="13"/>
  <c r="P60" i="13"/>
  <c r="AL59" i="13"/>
  <c r="BD59" i="13" s="1"/>
  <c r="AB59" i="13"/>
  <c r="AE59" i="13" s="1"/>
  <c r="AK59" i="13" s="1"/>
  <c r="AM59" i="13" s="1"/>
  <c r="AN59" i="13" s="1"/>
  <c r="BA59" i="13" s="1"/>
  <c r="P59" i="13"/>
  <c r="AL58" i="13"/>
  <c r="AW58" i="13" s="1"/>
  <c r="AB58" i="13"/>
  <c r="AE58" i="13" s="1"/>
  <c r="AK58" i="13" s="1"/>
  <c r="AM58" i="13" s="1"/>
  <c r="P58" i="13"/>
  <c r="AL57" i="13"/>
  <c r="BD57" i="13" s="1"/>
  <c r="AB57" i="13"/>
  <c r="AE57" i="13" s="1"/>
  <c r="AK57" i="13" s="1"/>
  <c r="AM57" i="13" s="1"/>
  <c r="P57" i="13"/>
  <c r="BF56" i="13"/>
  <c r="AW56" i="13"/>
  <c r="AP56" i="13"/>
  <c r="AL56" i="13"/>
  <c r="BD56" i="13" s="1"/>
  <c r="AB56" i="13"/>
  <c r="AE56" i="13" s="1"/>
  <c r="AK56" i="13" s="1"/>
  <c r="AM56" i="13" s="1"/>
  <c r="AT56" i="13" s="1"/>
  <c r="P56" i="13"/>
  <c r="AP55" i="13"/>
  <c r="AL55" i="13"/>
  <c r="BD55" i="13" s="1"/>
  <c r="AB55" i="13"/>
  <c r="AE55" i="13" s="1"/>
  <c r="AK55" i="13" s="1"/>
  <c r="AM55" i="13" s="1"/>
  <c r="AN55" i="13" s="1"/>
  <c r="BA55" i="13" s="1"/>
  <c r="P55" i="13"/>
  <c r="AJ54" i="13"/>
  <c r="AI54" i="13"/>
  <c r="AH54" i="13"/>
  <c r="AG54" i="13"/>
  <c r="AF54" i="13"/>
  <c r="AD54" i="13"/>
  <c r="AC54" i="13"/>
  <c r="AA54" i="13"/>
  <c r="Z54" i="13"/>
  <c r="Y54" i="13"/>
  <c r="X54" i="13"/>
  <c r="W54" i="13"/>
  <c r="V54" i="13"/>
  <c r="U54" i="13"/>
  <c r="T54" i="13"/>
  <c r="S54" i="13"/>
  <c r="R54" i="13"/>
  <c r="Q54" i="13"/>
  <c r="O54" i="13"/>
  <c r="N54" i="13"/>
  <c r="K54" i="13"/>
  <c r="AL54" i="13" s="1"/>
  <c r="BD54" i="13" s="1"/>
  <c r="AL53" i="13"/>
  <c r="AB53" i="13"/>
  <c r="AE53" i="13" s="1"/>
  <c r="AK53" i="13" s="1"/>
  <c r="AM53" i="13" s="1"/>
  <c r="AN53" i="13" s="1"/>
  <c r="BA53" i="13" s="1"/>
  <c r="P53" i="13"/>
  <c r="AW52" i="13"/>
  <c r="AR52" i="13"/>
  <c r="AP52" i="13"/>
  <c r="AL52" i="13"/>
  <c r="BD52" i="13" s="1"/>
  <c r="AB52" i="13"/>
  <c r="AE52" i="13" s="1"/>
  <c r="AK52" i="13" s="1"/>
  <c r="AM52" i="13" s="1"/>
  <c r="AN52" i="13" s="1"/>
  <c r="BA52" i="13" s="1"/>
  <c r="P52" i="13"/>
  <c r="AL51" i="13"/>
  <c r="BD51" i="13" s="1"/>
  <c r="AB51" i="13"/>
  <c r="AE51" i="13" s="1"/>
  <c r="AK51" i="13" s="1"/>
  <c r="AM51" i="13" s="1"/>
  <c r="AN51" i="13" s="1"/>
  <c r="BA51" i="13" s="1"/>
  <c r="P51" i="13"/>
  <c r="AL50" i="13"/>
  <c r="BD50" i="13" s="1"/>
  <c r="AE50" i="13"/>
  <c r="AK50" i="13" s="1"/>
  <c r="AM50" i="13" s="1"/>
  <c r="AN50" i="13" s="1"/>
  <c r="BA50" i="13" s="1"/>
  <c r="AB50" i="13"/>
  <c r="P50" i="13"/>
  <c r="AL49" i="13"/>
  <c r="BD49" i="13" s="1"/>
  <c r="AB49" i="13"/>
  <c r="AE49" i="13" s="1"/>
  <c r="AK49" i="13" s="1"/>
  <c r="AM49" i="13" s="1"/>
  <c r="AN49" i="13" s="1"/>
  <c r="BA49" i="13" s="1"/>
  <c r="P49" i="13"/>
  <c r="AL48" i="13"/>
  <c r="AB48" i="13"/>
  <c r="AE48" i="13" s="1"/>
  <c r="AK48" i="13" s="1"/>
  <c r="P48" i="13"/>
  <c r="AJ47" i="13"/>
  <c r="AI47" i="13"/>
  <c r="AH47" i="13"/>
  <c r="AG47" i="13"/>
  <c r="AF47" i="13"/>
  <c r="AD47" i="13"/>
  <c r="AC47" i="13"/>
  <c r="AA47" i="13"/>
  <c r="Z47" i="13"/>
  <c r="Y47" i="13"/>
  <c r="X47" i="13"/>
  <c r="W47" i="13"/>
  <c r="V47" i="13"/>
  <c r="U47" i="13"/>
  <c r="T47" i="13"/>
  <c r="S47" i="13"/>
  <c r="R47" i="13"/>
  <c r="Q47" i="13"/>
  <c r="O47" i="13"/>
  <c r="N47" i="13"/>
  <c r="K47" i="13"/>
  <c r="AL46" i="13"/>
  <c r="AB46" i="13"/>
  <c r="AE46" i="13" s="1"/>
  <c r="AK46" i="13" s="1"/>
  <c r="AM46" i="13" s="1"/>
  <c r="AN46" i="13" s="1"/>
  <c r="BA46" i="13" s="1"/>
  <c r="P46" i="13"/>
  <c r="AW45" i="13"/>
  <c r="AL45" i="13"/>
  <c r="BD45" i="13" s="1"/>
  <c r="AB45" i="13"/>
  <c r="AE45" i="13" s="1"/>
  <c r="AK45" i="13" s="1"/>
  <c r="AM45" i="13" s="1"/>
  <c r="AN45" i="13" s="1"/>
  <c r="BA45" i="13" s="1"/>
  <c r="P45" i="13"/>
  <c r="AR44" i="13"/>
  <c r="AL44" i="13"/>
  <c r="AP44" i="13" s="1"/>
  <c r="AB44" i="13"/>
  <c r="AE44" i="13" s="1"/>
  <c r="AK44" i="13" s="1"/>
  <c r="AM44" i="13" s="1"/>
  <c r="AN44" i="13" s="1"/>
  <c r="BA44" i="13" s="1"/>
  <c r="P44" i="13"/>
  <c r="AL43" i="13"/>
  <c r="AY43" i="13" s="1"/>
  <c r="AB43" i="13"/>
  <c r="AE43" i="13" s="1"/>
  <c r="AK43" i="13" s="1"/>
  <c r="AM43" i="13" s="1"/>
  <c r="AN43" i="13" s="1"/>
  <c r="BA43" i="13" s="1"/>
  <c r="P43" i="13"/>
  <c r="AW42" i="13"/>
  <c r="AL42" i="13"/>
  <c r="BD42" i="13" s="1"/>
  <c r="AB42" i="13"/>
  <c r="P42" i="13"/>
  <c r="AL41" i="13"/>
  <c r="BD41" i="13" s="1"/>
  <c r="AB41" i="13"/>
  <c r="AE41" i="13" s="1"/>
  <c r="AK41" i="13" s="1"/>
  <c r="P41" i="13"/>
  <c r="AJ40" i="13"/>
  <c r="AI40" i="13"/>
  <c r="AH40" i="13"/>
  <c r="AG40" i="13"/>
  <c r="AF40" i="13"/>
  <c r="AD40" i="13"/>
  <c r="AC40" i="13"/>
  <c r="AA40" i="13"/>
  <c r="Z40" i="13"/>
  <c r="Y40" i="13"/>
  <c r="X40" i="13"/>
  <c r="W40" i="13"/>
  <c r="V40" i="13"/>
  <c r="U40" i="13"/>
  <c r="T40" i="13"/>
  <c r="S40" i="13"/>
  <c r="R40" i="13"/>
  <c r="Q40" i="13"/>
  <c r="O40" i="13"/>
  <c r="N40" i="13"/>
  <c r="K40" i="13"/>
  <c r="AL40" i="13" s="1"/>
  <c r="AL39" i="13"/>
  <c r="BD39" i="13" s="1"/>
  <c r="AB39" i="13"/>
  <c r="AE39" i="13" s="1"/>
  <c r="AK39" i="13" s="1"/>
  <c r="AM39" i="13" s="1"/>
  <c r="AN39" i="13" s="1"/>
  <c r="BA39" i="13" s="1"/>
  <c r="P39" i="13"/>
  <c r="AL38" i="13"/>
  <c r="BD38" i="13" s="1"/>
  <c r="AB38" i="13"/>
  <c r="AE38" i="13" s="1"/>
  <c r="AK38" i="13" s="1"/>
  <c r="AM38" i="13" s="1"/>
  <c r="AN38" i="13" s="1"/>
  <c r="BA38" i="13" s="1"/>
  <c r="P38" i="13"/>
  <c r="AL37" i="13"/>
  <c r="AB37" i="13"/>
  <c r="AE37" i="13" s="1"/>
  <c r="AK37" i="13" s="1"/>
  <c r="AM37" i="13" s="1"/>
  <c r="AN37" i="13" s="1"/>
  <c r="BA37" i="13" s="1"/>
  <c r="P37" i="13"/>
  <c r="AL36" i="13"/>
  <c r="AW36" i="13" s="1"/>
  <c r="AB36" i="13"/>
  <c r="AE36" i="13" s="1"/>
  <c r="AK36" i="13" s="1"/>
  <c r="AM36" i="13" s="1"/>
  <c r="AN36" i="13" s="1"/>
  <c r="BA36" i="13" s="1"/>
  <c r="P36" i="13"/>
  <c r="AW35" i="13"/>
  <c r="AL35" i="13"/>
  <c r="BD35" i="13" s="1"/>
  <c r="AB35" i="13"/>
  <c r="AE35" i="13" s="1"/>
  <c r="AK35" i="13" s="1"/>
  <c r="AM35" i="13" s="1"/>
  <c r="AN35" i="13" s="1"/>
  <c r="BA35" i="13" s="1"/>
  <c r="P35" i="13"/>
  <c r="AL34" i="13"/>
  <c r="BD34" i="13" s="1"/>
  <c r="AB34" i="13"/>
  <c r="AE34" i="13" s="1"/>
  <c r="AK34" i="13" s="1"/>
  <c r="AM34" i="13" s="1"/>
  <c r="AN34" i="13" s="1"/>
  <c r="BA34" i="13" s="1"/>
  <c r="P34" i="13"/>
  <c r="AK31" i="13"/>
  <c r="AM31" i="13" s="1"/>
  <c r="AB31" i="13"/>
  <c r="K31" i="13"/>
  <c r="AL31" i="13" s="1"/>
  <c r="BD31" i="13" s="1"/>
  <c r="AL30" i="13"/>
  <c r="AR30" i="13" s="1"/>
  <c r="AK30" i="13"/>
  <c r="AM30" i="13" s="1"/>
  <c r="AB30" i="13"/>
  <c r="K30" i="13"/>
  <c r="AK29" i="13"/>
  <c r="AM29" i="13" s="1"/>
  <c r="AT29" i="13" s="1"/>
  <c r="AB29" i="13"/>
  <c r="K29" i="13"/>
  <c r="AL29" i="13" s="1"/>
  <c r="AP29" i="13" s="1"/>
  <c r="AR28" i="13"/>
  <c r="AL28" i="13"/>
  <c r="BF28" i="13" s="1"/>
  <c r="AK28" i="13"/>
  <c r="AM28" i="13" s="1"/>
  <c r="AT28" i="13" s="1"/>
  <c r="AB28" i="13"/>
  <c r="K28" i="13"/>
  <c r="AK27" i="13"/>
  <c r="AM27" i="13" s="1"/>
  <c r="AB27" i="13"/>
  <c r="K27" i="13"/>
  <c r="AL27" i="13" s="1"/>
  <c r="BD27" i="13" s="1"/>
  <c r="AK26" i="13"/>
  <c r="AM26" i="13" s="1"/>
  <c r="AB26" i="13"/>
  <c r="K26" i="13"/>
  <c r="AL26" i="13" s="1"/>
  <c r="AR26" i="13" s="1"/>
  <c r="AK25" i="13"/>
  <c r="AM25" i="13" s="1"/>
  <c r="AN25" i="13" s="1"/>
  <c r="BA25" i="13" s="1"/>
  <c r="AB25" i="13"/>
  <c r="K25" i="13"/>
  <c r="AL25" i="13" s="1"/>
  <c r="AJ24" i="13"/>
  <c r="AI24" i="13"/>
  <c r="AH24" i="13"/>
  <c r="AG24" i="13"/>
  <c r="AF24" i="13"/>
  <c r="AE24" i="13"/>
  <c r="AD24" i="13"/>
  <c r="AC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AL23" i="13"/>
  <c r="AK23" i="13"/>
  <c r="AM23" i="13" s="1"/>
  <c r="AN23" i="13" s="1"/>
  <c r="BA23" i="13" s="1"/>
  <c r="AB23" i="13"/>
  <c r="K23" i="13"/>
  <c r="AK22" i="13"/>
  <c r="AM22" i="13" s="1"/>
  <c r="AN22" i="13" s="1"/>
  <c r="BA22" i="13" s="1"/>
  <c r="AB22" i="13"/>
  <c r="K22" i="13"/>
  <c r="AL22" i="13" s="1"/>
  <c r="BD22" i="13" s="1"/>
  <c r="AY21" i="13"/>
  <c r="AK21" i="13"/>
  <c r="AM21" i="13" s="1"/>
  <c r="AN21" i="13" s="1"/>
  <c r="BA21" i="13" s="1"/>
  <c r="AB21" i="13"/>
  <c r="K21" i="13"/>
  <c r="AL21" i="13" s="1"/>
  <c r="AW21" i="13" s="1"/>
  <c r="AK20" i="13"/>
  <c r="AM20" i="13" s="1"/>
  <c r="AN20" i="13" s="1"/>
  <c r="BA20" i="13" s="1"/>
  <c r="AB20" i="13"/>
  <c r="K20" i="13"/>
  <c r="AL20" i="13" s="1"/>
  <c r="AY20" i="13" s="1"/>
  <c r="AK19" i="13"/>
  <c r="AM19" i="13" s="1"/>
  <c r="AN19" i="13" s="1"/>
  <c r="BA19" i="13" s="1"/>
  <c r="AB19" i="13"/>
  <c r="K19" i="13"/>
  <c r="AL19" i="13" s="1"/>
  <c r="AP19" i="13" s="1"/>
  <c r="AK18" i="13"/>
  <c r="AB18" i="13"/>
  <c r="K18" i="13"/>
  <c r="AJ17" i="13"/>
  <c r="AI17" i="13"/>
  <c r="AH17" i="13"/>
  <c r="AG17" i="13"/>
  <c r="AF17" i="13"/>
  <c r="AE17" i="13"/>
  <c r="AD17" i="13"/>
  <c r="AC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AK16" i="13"/>
  <c r="AM16" i="13" s="1"/>
  <c r="AN16" i="13" s="1"/>
  <c r="BA16" i="13" s="1"/>
  <c r="AB16" i="13"/>
  <c r="K16" i="13"/>
  <c r="AL16" i="13" s="1"/>
  <c r="AY16" i="13" s="1"/>
  <c r="AK15" i="13"/>
  <c r="AM15" i="13" s="1"/>
  <c r="AN15" i="13" s="1"/>
  <c r="BA15" i="13" s="1"/>
  <c r="AB15" i="13"/>
  <c r="K15" i="13"/>
  <c r="AL15" i="13" s="1"/>
  <c r="AP15" i="13" s="1"/>
  <c r="AL14" i="13"/>
  <c r="AY14" i="13" s="1"/>
  <c r="AK14" i="13"/>
  <c r="AM14" i="13" s="1"/>
  <c r="AN14" i="13" s="1"/>
  <c r="BA14" i="13" s="1"/>
  <c r="AB14" i="13"/>
  <c r="K14" i="13"/>
  <c r="AK13" i="13"/>
  <c r="AM13" i="13" s="1"/>
  <c r="AN13" i="13" s="1"/>
  <c r="BA13" i="13" s="1"/>
  <c r="AB13" i="13"/>
  <c r="K13" i="13"/>
  <c r="AL13" i="13" s="1"/>
  <c r="AW13" i="13" s="1"/>
  <c r="AK12" i="13"/>
  <c r="AB12" i="13"/>
  <c r="K12" i="13"/>
  <c r="AL12" i="13" s="1"/>
  <c r="AK11" i="13"/>
  <c r="AM11" i="13" s="1"/>
  <c r="AN11" i="13" s="1"/>
  <c r="BA11" i="13" s="1"/>
  <c r="AB11" i="13"/>
  <c r="K11" i="13"/>
  <c r="AJ10" i="13"/>
  <c r="AI10" i="13"/>
  <c r="AH10" i="13"/>
  <c r="AG10" i="13"/>
  <c r="AF10" i="13"/>
  <c r="AE10" i="13"/>
  <c r="AD10" i="13"/>
  <c r="AC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AW9" i="13"/>
  <c r="AM9" i="13"/>
  <c r="AN9" i="13" s="1"/>
  <c r="BA9" i="13" s="1"/>
  <c r="AK9" i="13"/>
  <c r="AB9" i="13"/>
  <c r="K9" i="13"/>
  <c r="AL9" i="13" s="1"/>
  <c r="AR9" i="13" s="1"/>
  <c r="AK8" i="13"/>
  <c r="AM8" i="13" s="1"/>
  <c r="AN8" i="13" s="1"/>
  <c r="BA8" i="13" s="1"/>
  <c r="AB8" i="13"/>
  <c r="K8" i="13"/>
  <c r="AL8" i="13" s="1"/>
  <c r="BD8" i="13" s="1"/>
  <c r="BA7" i="13"/>
  <c r="AK7" i="13"/>
  <c r="AM7" i="13" s="1"/>
  <c r="AN7" i="13" s="1"/>
  <c r="AB7" i="13"/>
  <c r="K7" i="13"/>
  <c r="AL7" i="13" s="1"/>
  <c r="AR7" i="13" s="1"/>
  <c r="AK6" i="13"/>
  <c r="AM6" i="13" s="1"/>
  <c r="AN6" i="13" s="1"/>
  <c r="BA6" i="13" s="1"/>
  <c r="AB6" i="13"/>
  <c r="K6" i="13"/>
  <c r="AL6" i="13" s="1"/>
  <c r="AY5" i="13"/>
  <c r="AK5" i="13"/>
  <c r="AM5" i="13" s="1"/>
  <c r="AN5" i="13" s="1"/>
  <c r="BA5" i="13" s="1"/>
  <c r="AB5" i="13"/>
  <c r="K5" i="13"/>
  <c r="AL5" i="13" s="1"/>
  <c r="AL4" i="13"/>
  <c r="BD4" i="13" s="1"/>
  <c r="AK4" i="13"/>
  <c r="AM4" i="13" s="1"/>
  <c r="AN4" i="13" s="1"/>
  <c r="BA4" i="13" s="1"/>
  <c r="AB4" i="13"/>
  <c r="K4" i="13"/>
  <c r="AJ61" i="1"/>
  <c r="AJ31" i="1"/>
  <c r="AN31" i="1"/>
  <c r="AJ13" i="1"/>
  <c r="AM15" i="1"/>
  <c r="AM14" i="1"/>
  <c r="AM13" i="1"/>
  <c r="AM10" i="1"/>
  <c r="AM9" i="1"/>
  <c r="AM8" i="1"/>
  <c r="J17" i="1"/>
  <c r="K85" i="1"/>
  <c r="K25" i="1"/>
  <c r="L5" i="11"/>
  <c r="M5" i="11"/>
  <c r="L72" i="11"/>
  <c r="L71" i="11"/>
  <c r="M72" i="11"/>
  <c r="M71" i="11"/>
  <c r="L18" i="11"/>
  <c r="L19" i="11"/>
  <c r="M19" i="11"/>
  <c r="M18" i="11"/>
  <c r="L15" i="11"/>
  <c r="L14" i="11"/>
  <c r="M15" i="11"/>
  <c r="M14" i="11"/>
  <c r="L10" i="11"/>
  <c r="L9" i="11"/>
  <c r="M10" i="11"/>
  <c r="M9" i="11"/>
  <c r="AJ4" i="1"/>
  <c r="BD44" i="13" l="1"/>
  <c r="AY58" i="13"/>
  <c r="AP64" i="13"/>
  <c r="AR66" i="13"/>
  <c r="AN29" i="13"/>
  <c r="BA29" i="13" s="1"/>
  <c r="AB77" i="13"/>
  <c r="AT88" i="13"/>
  <c r="AR22" i="13"/>
  <c r="AR29" i="13"/>
  <c r="AP35" i="13"/>
  <c r="AP57" i="13"/>
  <c r="M31" i="13"/>
  <c r="AK17" i="13"/>
  <c r="AM17" i="13" s="1"/>
  <c r="AN17" i="13" s="1"/>
  <c r="BA17" i="13" s="1"/>
  <c r="AY22" i="13"/>
  <c r="AW29" i="13"/>
  <c r="AR57" i="13"/>
  <c r="AR45" i="13"/>
  <c r="AR56" i="13"/>
  <c r="AW57" i="13"/>
  <c r="AY59" i="13"/>
  <c r="M29" i="13"/>
  <c r="AB40" i="13"/>
  <c r="AP42" i="13"/>
  <c r="AY45" i="13"/>
  <c r="AW49" i="13"/>
  <c r="AN87" i="13"/>
  <c r="BA87" i="13" s="1"/>
  <c r="AT87" i="13"/>
  <c r="AP6" i="13"/>
  <c r="BD6" i="13"/>
  <c r="AP22" i="13"/>
  <c r="AR35" i="13"/>
  <c r="AP38" i="13"/>
  <c r="AW43" i="13"/>
  <c r="AY49" i="13"/>
  <c r="AP61" i="13"/>
  <c r="AR64" i="13"/>
  <c r="AY61" i="13"/>
  <c r="AP4" i="13"/>
  <c r="AR16" i="13"/>
  <c r="K24" i="13"/>
  <c r="AL24" i="13" s="1"/>
  <c r="AW24" i="13" s="1"/>
  <c r="AW22" i="13"/>
  <c r="AP28" i="13"/>
  <c r="AP34" i="13"/>
  <c r="AY35" i="13"/>
  <c r="AW38" i="13"/>
  <c r="AR42" i="13"/>
  <c r="AB54" i="13"/>
  <c r="AR51" i="13"/>
  <c r="AY52" i="13"/>
  <c r="AY56" i="13"/>
  <c r="AY57" i="13"/>
  <c r="BD61" i="13"/>
  <c r="AP66" i="13"/>
  <c r="AW88" i="13"/>
  <c r="AP90" i="13"/>
  <c r="AW16" i="13"/>
  <c r="AY38" i="13"/>
  <c r="BD43" i="13"/>
  <c r="AP81" i="13"/>
  <c r="AY90" i="13"/>
  <c r="AW20" i="13"/>
  <c r="BD28" i="13"/>
  <c r="AY42" i="13"/>
  <c r="AY54" i="13"/>
  <c r="AW59" i="13"/>
  <c r="AR81" i="13"/>
  <c r="BD87" i="13"/>
  <c r="AP13" i="13"/>
  <c r="AP49" i="13"/>
  <c r="AW50" i="13"/>
  <c r="AR38" i="13"/>
  <c r="AK10" i="13"/>
  <c r="AM10" i="13" s="1"/>
  <c r="AN10" i="13" s="1"/>
  <c r="BA10" i="13" s="1"/>
  <c r="BD15" i="13"/>
  <c r="AP45" i="13"/>
  <c r="AR49" i="13"/>
  <c r="AN56" i="13"/>
  <c r="BA56" i="13" s="1"/>
  <c r="AB70" i="13"/>
  <c r="AP85" i="13"/>
  <c r="AN57" i="13"/>
  <c r="BA57" i="13" s="1"/>
  <c r="AT57" i="13"/>
  <c r="AT60" i="13"/>
  <c r="AN60" i="13"/>
  <c r="BA60" i="13" s="1"/>
  <c r="P47" i="13"/>
  <c r="AL47" i="13"/>
  <c r="AY12" i="13"/>
  <c r="AW12" i="13"/>
  <c r="AR12" i="13"/>
  <c r="AP12" i="13"/>
  <c r="AB24" i="13"/>
  <c r="AN90" i="13"/>
  <c r="BA90" i="13" s="1"/>
  <c r="AW14" i="13"/>
  <c r="AK54" i="13"/>
  <c r="AM54" i="13" s="1"/>
  <c r="AN54" i="13" s="1"/>
  <c r="BA54" i="13" s="1"/>
  <c r="BD60" i="13"/>
  <c r="BD72" i="13"/>
  <c r="AY72" i="13"/>
  <c r="AW72" i="13"/>
  <c r="AR72" i="13"/>
  <c r="AP72" i="13"/>
  <c r="BD74" i="13"/>
  <c r="AY74" i="13"/>
  <c r="AW74" i="13"/>
  <c r="AR74" i="13"/>
  <c r="AP74" i="13"/>
  <c r="AY87" i="13"/>
  <c r="AW87" i="13"/>
  <c r="AR87" i="13"/>
  <c r="AP87" i="13"/>
  <c r="AT89" i="13"/>
  <c r="AB10" i="13"/>
  <c r="AY8" i="13"/>
  <c r="AW8" i="13"/>
  <c r="AR8" i="13"/>
  <c r="AP8" i="13"/>
  <c r="AR13" i="13"/>
  <c r="AT31" i="13"/>
  <c r="AN31" i="13"/>
  <c r="BA31" i="13" s="1"/>
  <c r="AW48" i="13"/>
  <c r="AR48" i="13"/>
  <c r="AY48" i="13"/>
  <c r="BD48" i="13"/>
  <c r="AP48" i="13"/>
  <c r="AR53" i="13"/>
  <c r="AP53" i="13"/>
  <c r="AW53" i="13"/>
  <c r="BD53" i="13"/>
  <c r="AY53" i="13"/>
  <c r="AP67" i="13"/>
  <c r="AR67" i="13"/>
  <c r="BD67" i="13"/>
  <c r="AY67" i="13"/>
  <c r="AW67" i="13"/>
  <c r="AP80" i="13"/>
  <c r="AR80" i="13"/>
  <c r="BD80" i="13"/>
  <c r="AY80" i="13"/>
  <c r="AW80" i="13"/>
  <c r="K84" i="13"/>
  <c r="AL84" i="13" s="1"/>
  <c r="AK77" i="13"/>
  <c r="AM77" i="13" s="1"/>
  <c r="AN77" i="13" s="1"/>
  <c r="BA77" i="13" s="1"/>
  <c r="AM71" i="13"/>
  <c r="AN71" i="13" s="1"/>
  <c r="BA71" i="13" s="1"/>
  <c r="AT86" i="13"/>
  <c r="AN86" i="13"/>
  <c r="BA86" i="13" s="1"/>
  <c r="BD9" i="13"/>
  <c r="AY9" i="13"/>
  <c r="AN26" i="13"/>
  <c r="BA26" i="13" s="1"/>
  <c r="AT26" i="13"/>
  <c r="AR60" i="13"/>
  <c r="AP60" i="13"/>
  <c r="AY60" i="13"/>
  <c r="AW60" i="13"/>
  <c r="AP5" i="13"/>
  <c r="BD5" i="13"/>
  <c r="AL18" i="13"/>
  <c r="AM41" i="13"/>
  <c r="AN41" i="13" s="1"/>
  <c r="BA41" i="13" s="1"/>
  <c r="AY6" i="13"/>
  <c r="AW6" i="13"/>
  <c r="AR6" i="13"/>
  <c r="BD12" i="13"/>
  <c r="AR21" i="13"/>
  <c r="AP21" i="13"/>
  <c r="BD21" i="13"/>
  <c r="AY25" i="13"/>
  <c r="AW25" i="13"/>
  <c r="AP25" i="13"/>
  <c r="BD25" i="13"/>
  <c r="AR25" i="13"/>
  <c r="AR31" i="13"/>
  <c r="AP31" i="13"/>
  <c r="AY31" i="13"/>
  <c r="AW31" i="13"/>
  <c r="AY37" i="13"/>
  <c r="AW37" i="13"/>
  <c r="AP37" i="13"/>
  <c r="BD37" i="13"/>
  <c r="AR37" i="13"/>
  <c r="AE40" i="13"/>
  <c r="AK40" i="13"/>
  <c r="AM40" i="13" s="1"/>
  <c r="AN40" i="13" s="1"/>
  <c r="BA40" i="13" s="1"/>
  <c r="AM48" i="13"/>
  <c r="AN48" i="13" s="1"/>
  <c r="BA48" i="13" s="1"/>
  <c r="AY68" i="13"/>
  <c r="BD68" i="13"/>
  <c r="AW68" i="13"/>
  <c r="AR68" i="13"/>
  <c r="AP68" i="13"/>
  <c r="K70" i="13"/>
  <c r="AL70" i="13" s="1"/>
  <c r="AK70" i="13"/>
  <c r="AM70" i="13" s="1"/>
  <c r="AN70" i="13" s="1"/>
  <c r="BA70" i="13" s="1"/>
  <c r="BD76" i="13"/>
  <c r="AW76" i="13"/>
  <c r="AR76" i="13"/>
  <c r="AP76" i="13"/>
  <c r="AK84" i="13"/>
  <c r="AM84" i="13" s="1"/>
  <c r="AN84" i="13" s="1"/>
  <c r="BA84" i="13" s="1"/>
  <c r="BD24" i="13"/>
  <c r="AR27" i="13"/>
  <c r="AP27" i="13"/>
  <c r="AY27" i="13"/>
  <c r="AW27" i="13"/>
  <c r="AP65" i="13"/>
  <c r="AR65" i="13"/>
  <c r="BD65" i="13"/>
  <c r="AW65" i="13"/>
  <c r="AY65" i="13"/>
  <c r="AR14" i="13"/>
  <c r="AP14" i="13"/>
  <c r="AN58" i="13"/>
  <c r="BA58" i="13" s="1"/>
  <c r="AT58" i="13"/>
  <c r="AM12" i="13"/>
  <c r="AN12" i="13" s="1"/>
  <c r="BA12" i="13" s="1"/>
  <c r="AN61" i="13"/>
  <c r="BA61" i="13" s="1"/>
  <c r="AT91" i="13"/>
  <c r="BF26" i="13"/>
  <c r="BD26" i="13"/>
  <c r="AP26" i="13"/>
  <c r="AY26" i="13"/>
  <c r="AW26" i="13"/>
  <c r="AR5" i="13"/>
  <c r="BD13" i="13"/>
  <c r="AY13" i="13"/>
  <c r="AP40" i="13"/>
  <c r="BD40" i="13"/>
  <c r="AW40" i="13"/>
  <c r="AY40" i="13"/>
  <c r="AP78" i="13"/>
  <c r="AR78" i="13"/>
  <c r="BD78" i="13"/>
  <c r="AY78" i="13"/>
  <c r="BD19" i="13"/>
  <c r="AY19" i="13"/>
  <c r="AW19" i="13"/>
  <c r="BF30" i="13"/>
  <c r="BD30" i="13"/>
  <c r="AP30" i="13"/>
  <c r="AY30" i="13"/>
  <c r="AW30" i="13"/>
  <c r="AP36" i="13"/>
  <c r="AR36" i="13"/>
  <c r="AY36" i="13"/>
  <c r="BD36" i="13"/>
  <c r="AY83" i="13"/>
  <c r="BD83" i="13"/>
  <c r="AW83" i="13"/>
  <c r="AR83" i="13"/>
  <c r="AP83" i="13"/>
  <c r="AR86" i="13"/>
  <c r="AW86" i="13"/>
  <c r="BD86" i="13"/>
  <c r="AY86" i="13"/>
  <c r="AP86" i="13"/>
  <c r="AP89" i="13"/>
  <c r="BF89" i="13"/>
  <c r="AW89" i="13"/>
  <c r="AR89" i="13"/>
  <c r="BD89" i="13"/>
  <c r="AP69" i="13"/>
  <c r="AR69" i="13"/>
  <c r="AY69" i="13"/>
  <c r="AW69" i="13"/>
  <c r="AP7" i="13"/>
  <c r="BD7" i="13"/>
  <c r="AK24" i="13"/>
  <c r="AM24" i="13" s="1"/>
  <c r="AM18" i="13"/>
  <c r="AN18" i="13" s="1"/>
  <c r="BA18" i="13" s="1"/>
  <c r="BF27" i="13"/>
  <c r="AT59" i="13"/>
  <c r="AW71" i="13"/>
  <c r="AR71" i="13"/>
  <c r="AY71" i="13"/>
  <c r="BD71" i="13"/>
  <c r="AP71" i="13"/>
  <c r="K10" i="13"/>
  <c r="AL10" i="13" s="1"/>
  <c r="AY4" i="13"/>
  <c r="AW4" i="13"/>
  <c r="AR4" i="13"/>
  <c r="AW7" i="13"/>
  <c r="AO9" i="13"/>
  <c r="K17" i="13"/>
  <c r="AL17" i="13" s="1"/>
  <c r="J17" i="13"/>
  <c r="AL11" i="13"/>
  <c r="BD14" i="13"/>
  <c r="AR19" i="13"/>
  <c r="AR23" i="13"/>
  <c r="AP23" i="13"/>
  <c r="AW23" i="13"/>
  <c r="AY23" i="13"/>
  <c r="BD23" i="13"/>
  <c r="AW5" i="13"/>
  <c r="AY7" i="13"/>
  <c r="AP9" i="13"/>
  <c r="AB17" i="13"/>
  <c r="AY15" i="13"/>
  <c r="AW15" i="13"/>
  <c r="AR15" i="13"/>
  <c r="AP16" i="13"/>
  <c r="BD16" i="13"/>
  <c r="BD20" i="13"/>
  <c r="AR20" i="13"/>
  <c r="AP20" i="13"/>
  <c r="AR24" i="13"/>
  <c r="AT27" i="13"/>
  <c r="AN27" i="13"/>
  <c r="BA27" i="13" s="1"/>
  <c r="AN30" i="13"/>
  <c r="BA30" i="13" s="1"/>
  <c r="AT30" i="13"/>
  <c r="BF31" i="13"/>
  <c r="P40" i="13"/>
  <c r="AR40" i="13"/>
  <c r="AB47" i="13"/>
  <c r="AE47" i="13" s="1"/>
  <c r="AE42" i="13"/>
  <c r="AK42" i="13" s="1"/>
  <c r="AM42" i="13" s="1"/>
  <c r="AN42" i="13" s="1"/>
  <c r="BA42" i="13" s="1"/>
  <c r="AR46" i="13"/>
  <c r="AP46" i="13"/>
  <c r="AW46" i="13"/>
  <c r="BD46" i="13"/>
  <c r="AY46" i="13"/>
  <c r="AE54" i="13"/>
  <c r="AP54" i="13"/>
  <c r="AW54" i="13"/>
  <c r="AR54" i="13"/>
  <c r="AP82" i="13"/>
  <c r="AR82" i="13"/>
  <c r="BD82" i="13"/>
  <c r="AY82" i="13"/>
  <c r="AW82" i="13"/>
  <c r="AW41" i="13"/>
  <c r="AR41" i="13"/>
  <c r="AY41" i="13"/>
  <c r="BD88" i="13"/>
  <c r="BF88" i="13"/>
  <c r="AR39" i="13"/>
  <c r="AP39" i="13"/>
  <c r="AW39" i="13"/>
  <c r="AP50" i="13"/>
  <c r="AR50" i="13"/>
  <c r="AY51" i="13"/>
  <c r="AW51" i="13"/>
  <c r="AW75" i="13"/>
  <c r="AR75" i="13"/>
  <c r="AY75" i="13"/>
  <c r="AR90" i="13"/>
  <c r="AW90" i="13"/>
  <c r="BF90" i="13"/>
  <c r="AW73" i="13"/>
  <c r="AR73" i="13"/>
  <c r="AY73" i="13"/>
  <c r="AW28" i="13"/>
  <c r="AY28" i="13"/>
  <c r="AY29" i="13"/>
  <c r="BD29" i="13"/>
  <c r="BF29" i="13"/>
  <c r="AW34" i="13"/>
  <c r="AR34" i="13"/>
  <c r="AY34" i="13"/>
  <c r="BF58" i="13"/>
  <c r="BD58" i="13"/>
  <c r="AP58" i="13"/>
  <c r="AY91" i="13"/>
  <c r="AW91" i="13"/>
  <c r="AR91" i="13"/>
  <c r="BF91" i="13"/>
  <c r="BD91" i="13"/>
  <c r="AP41" i="13"/>
  <c r="AP43" i="13"/>
  <c r="AR43" i="13"/>
  <c r="AY44" i="13"/>
  <c r="AW44" i="13"/>
  <c r="P54" i="13"/>
  <c r="AW55" i="13"/>
  <c r="AR55" i="13"/>
  <c r="AY55" i="13"/>
  <c r="AR58" i="13"/>
  <c r="AR61" i="13"/>
  <c r="AW61" i="13"/>
  <c r="AY64" i="13"/>
  <c r="BD64" i="13"/>
  <c r="AP73" i="13"/>
  <c r="AB84" i="13"/>
  <c r="AY79" i="13"/>
  <c r="BD79" i="13"/>
  <c r="AP88" i="13"/>
  <c r="AN28" i="13"/>
  <c r="BA28" i="13" s="1"/>
  <c r="AY39" i="13"/>
  <c r="AY50" i="13"/>
  <c r="AP51" i="13"/>
  <c r="AP59" i="13"/>
  <c r="BF59" i="13"/>
  <c r="AR59" i="13"/>
  <c r="AY66" i="13"/>
  <c r="BD66" i="13"/>
  <c r="K77" i="13"/>
  <c r="AL77" i="13" s="1"/>
  <c r="AP75" i="13"/>
  <c r="AY81" i="13"/>
  <c r="BD81" i="13"/>
  <c r="AR88" i="13"/>
  <c r="BF57" i="13"/>
  <c r="S91" i="11"/>
  <c r="S90" i="11"/>
  <c r="S89" i="11"/>
  <c r="S88" i="11"/>
  <c r="S87" i="11"/>
  <c r="S86" i="11"/>
  <c r="S85" i="11"/>
  <c r="S84" i="11"/>
  <c r="S83" i="11"/>
  <c r="S82" i="11"/>
  <c r="S81" i="11"/>
  <c r="S80" i="11"/>
  <c r="S79" i="11"/>
  <c r="S78" i="11"/>
  <c r="S77" i="11"/>
  <c r="S76" i="11"/>
  <c r="S75" i="11"/>
  <c r="S74" i="11"/>
  <c r="S73" i="11"/>
  <c r="S72" i="11"/>
  <c r="S71" i="11"/>
  <c r="S70" i="11"/>
  <c r="S69" i="11"/>
  <c r="S68" i="11"/>
  <c r="S67" i="11"/>
  <c r="S66" i="11"/>
  <c r="S65" i="11"/>
  <c r="S64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4" i="11"/>
  <c r="V4" i="11"/>
  <c r="AA91" i="11"/>
  <c r="AA90" i="11"/>
  <c r="AA89" i="11"/>
  <c r="AA88" i="11"/>
  <c r="AA87" i="11"/>
  <c r="AA86" i="11"/>
  <c r="AA61" i="11"/>
  <c r="AA60" i="11"/>
  <c r="AA59" i="11"/>
  <c r="AA58" i="11"/>
  <c r="AA57" i="11"/>
  <c r="AA56" i="11"/>
  <c r="AA27" i="11"/>
  <c r="AA28" i="11"/>
  <c r="AA29" i="11"/>
  <c r="AA30" i="11"/>
  <c r="AA31" i="11"/>
  <c r="AA26" i="11"/>
  <c r="Y91" i="11"/>
  <c r="Y90" i="11"/>
  <c r="Y89" i="11"/>
  <c r="Y88" i="11"/>
  <c r="Y87" i="11"/>
  <c r="Y86" i="11"/>
  <c r="Y85" i="11"/>
  <c r="Y84" i="11"/>
  <c r="Y83" i="11"/>
  <c r="Y82" i="11"/>
  <c r="Y81" i="11"/>
  <c r="Y80" i="11"/>
  <c r="Y79" i="11"/>
  <c r="Y78" i="11"/>
  <c r="Y77" i="11"/>
  <c r="Y76" i="11"/>
  <c r="Y75" i="11"/>
  <c r="Y74" i="11"/>
  <c r="Y73" i="11"/>
  <c r="Y72" i="11"/>
  <c r="Y71" i="11"/>
  <c r="Y70" i="11"/>
  <c r="Y69" i="11"/>
  <c r="Y68" i="11"/>
  <c r="Y67" i="11"/>
  <c r="Y66" i="11"/>
  <c r="Y65" i="11"/>
  <c r="Y64" i="11"/>
  <c r="Y61" i="11"/>
  <c r="Y60" i="11"/>
  <c r="Y59" i="11"/>
  <c r="Y58" i="11"/>
  <c r="Y57" i="11"/>
  <c r="Y56" i="11"/>
  <c r="Y55" i="11"/>
  <c r="Y54" i="11"/>
  <c r="Y53" i="11"/>
  <c r="Y52" i="11"/>
  <c r="Y51" i="11"/>
  <c r="Y50" i="11"/>
  <c r="Y49" i="11"/>
  <c r="Y48" i="11"/>
  <c r="Y47" i="11"/>
  <c r="Y46" i="11"/>
  <c r="Y45" i="11"/>
  <c r="Y44" i="11"/>
  <c r="Y43" i="11"/>
  <c r="Y42" i="11"/>
  <c r="Y41" i="11"/>
  <c r="Y40" i="11"/>
  <c r="Y39" i="11"/>
  <c r="Y38" i="11"/>
  <c r="Y37" i="11"/>
  <c r="Y36" i="11"/>
  <c r="Y35" i="11"/>
  <c r="Y3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4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4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4" i="11"/>
  <c r="L91" i="11"/>
  <c r="L90" i="11"/>
  <c r="L89" i="11"/>
  <c r="L88" i="11"/>
  <c r="L87" i="11"/>
  <c r="L86" i="11"/>
  <c r="L61" i="11"/>
  <c r="L60" i="11"/>
  <c r="L59" i="11"/>
  <c r="L58" i="11"/>
  <c r="L57" i="11"/>
  <c r="L56" i="11"/>
  <c r="L27" i="11"/>
  <c r="L28" i="11"/>
  <c r="L29" i="11"/>
  <c r="L30" i="11"/>
  <c r="L31" i="11"/>
  <c r="L26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4" i="11"/>
  <c r="H10" i="11"/>
  <c r="H5" i="11"/>
  <c r="H6" i="11"/>
  <c r="H7" i="11"/>
  <c r="H8" i="11"/>
  <c r="H9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4" i="11"/>
  <c r="F131" i="11"/>
  <c r="F130" i="11"/>
  <c r="F129" i="11"/>
  <c r="I123" i="11"/>
  <c r="I122" i="11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60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32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G127" i="10"/>
  <c r="G126" i="10"/>
  <c r="G125" i="10"/>
  <c r="F131" i="9"/>
  <c r="F130" i="9"/>
  <c r="F129" i="9"/>
  <c r="I123" i="9"/>
  <c r="I122" i="9"/>
  <c r="M27" i="13" l="1"/>
  <c r="M26" i="13"/>
  <c r="M30" i="13"/>
  <c r="M28" i="13"/>
  <c r="AP24" i="13"/>
  <c r="AO8" i="13"/>
  <c r="AY24" i="13"/>
  <c r="AO10" i="13"/>
  <c r="AY10" i="13"/>
  <c r="AW10" i="13"/>
  <c r="AR10" i="13"/>
  <c r="AP10" i="13"/>
  <c r="BD10" i="13"/>
  <c r="AY77" i="13"/>
  <c r="BD77" i="13"/>
  <c r="AW77" i="13"/>
  <c r="AR77" i="13"/>
  <c r="AP77" i="13"/>
  <c r="AN24" i="13"/>
  <c r="BA24" i="13" s="1"/>
  <c r="AO14" i="13"/>
  <c r="AO15" i="13"/>
  <c r="AO13" i="13"/>
  <c r="AK47" i="13"/>
  <c r="AM47" i="13" s="1"/>
  <c r="AN47" i="13" s="1"/>
  <c r="BA47" i="13" s="1"/>
  <c r="AW84" i="13"/>
  <c r="AR84" i="13"/>
  <c r="AY84" i="13"/>
  <c r="BD84" i="13"/>
  <c r="AP84" i="13"/>
  <c r="BD70" i="13"/>
  <c r="AY70" i="13"/>
  <c r="AW70" i="13"/>
  <c r="AR70" i="13"/>
  <c r="AP70" i="13"/>
  <c r="AR18" i="13"/>
  <c r="AP18" i="13"/>
  <c r="BD18" i="13"/>
  <c r="AY18" i="13"/>
  <c r="AW18" i="13"/>
  <c r="BD11" i="13"/>
  <c r="AP11" i="13"/>
  <c r="AY11" i="13"/>
  <c r="AR11" i="13"/>
  <c r="AW11" i="13"/>
  <c r="AP47" i="13"/>
  <c r="BD47" i="13"/>
  <c r="AY47" i="13"/>
  <c r="AW47" i="13"/>
  <c r="AR47" i="13"/>
  <c r="BD17" i="13"/>
  <c r="AY17" i="13"/>
  <c r="AW17" i="13"/>
  <c r="AR17" i="13"/>
  <c r="AP17" i="13"/>
  <c r="AJ49" i="1"/>
  <c r="AJ50" i="1"/>
  <c r="AJ51" i="1"/>
  <c r="AJ52" i="1"/>
  <c r="AJ53" i="1"/>
  <c r="AJ55" i="1"/>
  <c r="AJ56" i="1"/>
  <c r="AJ57" i="1"/>
  <c r="AJ58" i="1"/>
  <c r="AJ59" i="1"/>
  <c r="AJ60" i="1"/>
  <c r="AJ48" i="1"/>
  <c r="AJ42" i="1"/>
  <c r="AJ43" i="1"/>
  <c r="AJ44" i="1"/>
  <c r="AJ45" i="1"/>
  <c r="AJ46" i="1"/>
  <c r="AJ41" i="1"/>
  <c r="AJ35" i="1"/>
  <c r="AJ36" i="1"/>
  <c r="AJ37" i="1"/>
  <c r="AJ38" i="1"/>
  <c r="AJ39" i="1"/>
  <c r="AJ34" i="1"/>
  <c r="J123" i="1"/>
  <c r="J122" i="1"/>
  <c r="G131" i="1"/>
  <c r="G130" i="1"/>
  <c r="G129" i="1"/>
  <c r="N55" i="1"/>
  <c r="N56" i="1"/>
  <c r="N57" i="1"/>
  <c r="N58" i="1"/>
  <c r="N59" i="1"/>
  <c r="N60" i="1"/>
  <c r="N61" i="1"/>
  <c r="N36" i="1"/>
  <c r="N37" i="1"/>
  <c r="N38" i="1"/>
  <c r="N39" i="1"/>
  <c r="N41" i="1"/>
  <c r="N42" i="1"/>
  <c r="N43" i="1"/>
  <c r="N44" i="1"/>
  <c r="N45" i="1"/>
  <c r="N46" i="1"/>
  <c r="N48" i="1"/>
  <c r="N49" i="1"/>
  <c r="N50" i="1"/>
  <c r="N51" i="1"/>
  <c r="N52" i="1"/>
  <c r="N53" i="1"/>
  <c r="N35" i="1"/>
  <c r="N34" i="1"/>
  <c r="K78" i="4"/>
  <c r="J78" i="4" s="1"/>
  <c r="Z26" i="4"/>
  <c r="AB26" i="4"/>
  <c r="Z31" i="4"/>
  <c r="Z30" i="4"/>
  <c r="Z29" i="4"/>
  <c r="Z23" i="4"/>
  <c r="AB23" i="4" s="1"/>
  <c r="Z18" i="4"/>
  <c r="AB18" i="4" s="1"/>
  <c r="AA7" i="4"/>
  <c r="Z12" i="4"/>
  <c r="Q52" i="4"/>
  <c r="Q42" i="4" s="1"/>
  <c r="Q53" i="4"/>
  <c r="Q43" i="4" s="1"/>
  <c r="Q54" i="4"/>
  <c r="Q55" i="4"/>
  <c r="Q56" i="4"/>
  <c r="Q57" i="4"/>
  <c r="Q51" i="4"/>
  <c r="Q41" i="4" s="1"/>
  <c r="L52" i="4"/>
  <c r="L53" i="4"/>
  <c r="Q34" i="4" s="1"/>
  <c r="L54" i="4"/>
  <c r="Q35" i="4" s="1"/>
  <c r="L55" i="4"/>
  <c r="L56" i="4"/>
  <c r="L51" i="4"/>
  <c r="Q33" i="4"/>
  <c r="I57" i="4"/>
  <c r="L57" i="4" s="1"/>
  <c r="L42" i="4"/>
  <c r="L47" i="4" s="1"/>
  <c r="L43" i="4"/>
  <c r="L44" i="4"/>
  <c r="Q44" i="4" s="1"/>
  <c r="L45" i="4"/>
  <c r="Q45" i="4" s="1"/>
  <c r="L46" i="4"/>
  <c r="L41" i="4"/>
  <c r="L33" i="4"/>
  <c r="L34" i="4"/>
  <c r="L35" i="4"/>
  <c r="L36" i="4"/>
  <c r="Q36" i="4" s="1"/>
  <c r="L37" i="4"/>
  <c r="Q37" i="4" s="1"/>
  <c r="L32" i="4"/>
  <c r="L38" i="4" s="1"/>
  <c r="L23" i="4"/>
  <c r="N24" i="4" s="1"/>
  <c r="I29" i="4"/>
  <c r="I47" i="4"/>
  <c r="I38" i="4"/>
  <c r="L24" i="4"/>
  <c r="N25" i="4" s="1"/>
  <c r="L25" i="4"/>
  <c r="N26" i="4" s="1"/>
  <c r="L26" i="4"/>
  <c r="N27" i="4" s="1"/>
  <c r="L27" i="4"/>
  <c r="L28" i="4"/>
  <c r="N29" i="4" s="1"/>
  <c r="I12" i="4"/>
  <c r="N12" i="4" s="1"/>
  <c r="L16" i="4"/>
  <c r="N7" i="4" s="1"/>
  <c r="N16" i="4" s="1"/>
  <c r="L17" i="4"/>
  <c r="N8" i="4" s="1"/>
  <c r="N17" i="4" s="1"/>
  <c r="L18" i="4"/>
  <c r="N9" i="4" s="1"/>
  <c r="N18" i="4" s="1"/>
  <c r="L19" i="4"/>
  <c r="N10" i="4" s="1"/>
  <c r="N19" i="4" s="1"/>
  <c r="L20" i="4"/>
  <c r="N11" i="4" s="1"/>
  <c r="N20" i="4" s="1"/>
  <c r="L15" i="4"/>
  <c r="L21" i="4" s="1"/>
  <c r="Q38" i="4" l="1"/>
  <c r="S57" i="4"/>
  <c r="AB12" i="4"/>
  <c r="AW41" i="1"/>
  <c r="AU41" i="1"/>
  <c r="BB41" i="1"/>
  <c r="AN41" i="1"/>
  <c r="AP41" i="1"/>
  <c r="AW60" i="1"/>
  <c r="BD60" i="1"/>
  <c r="BB60" i="1"/>
  <c r="AU60" i="1"/>
  <c r="AP60" i="1"/>
  <c r="AN60" i="1"/>
  <c r="BB52" i="1"/>
  <c r="AW52" i="1"/>
  <c r="AU52" i="1"/>
  <c r="AP52" i="1"/>
  <c r="AN52" i="1"/>
  <c r="N28" i="4"/>
  <c r="L29" i="4"/>
  <c r="N30" i="4" s="1"/>
  <c r="Q47" i="4"/>
  <c r="BB34" i="1"/>
  <c r="AW34" i="1"/>
  <c r="AU34" i="1"/>
  <c r="AP34" i="1"/>
  <c r="AN34" i="1"/>
  <c r="BD59" i="1"/>
  <c r="BB59" i="1"/>
  <c r="AW59" i="1"/>
  <c r="AU59" i="1"/>
  <c r="AP59" i="1"/>
  <c r="AN59" i="1"/>
  <c r="BB51" i="1"/>
  <c r="AW51" i="1"/>
  <c r="AU51" i="1"/>
  <c r="AP51" i="1"/>
  <c r="AN51" i="1"/>
  <c r="Q46" i="4"/>
  <c r="AW46" i="1"/>
  <c r="AU46" i="1"/>
  <c r="BB46" i="1"/>
  <c r="AP46" i="1"/>
  <c r="AN46" i="1"/>
  <c r="AW58" i="1"/>
  <c r="AU58" i="1"/>
  <c r="BD58" i="1"/>
  <c r="BB58" i="1"/>
  <c r="AP58" i="1"/>
  <c r="AN58" i="1"/>
  <c r="BB50" i="1"/>
  <c r="AW50" i="1"/>
  <c r="AU50" i="1"/>
  <c r="AP50" i="1"/>
  <c r="AN50" i="1"/>
  <c r="N6" i="4"/>
  <c r="N15" i="4" s="1"/>
  <c r="Q32" i="4"/>
  <c r="AW39" i="1"/>
  <c r="AU39" i="1"/>
  <c r="BB39" i="1"/>
  <c r="AP39" i="1"/>
  <c r="AN39" i="1"/>
  <c r="BB45" i="1"/>
  <c r="AW45" i="1"/>
  <c r="AU45" i="1"/>
  <c r="AP45" i="1"/>
  <c r="AN45" i="1"/>
  <c r="AU57" i="1"/>
  <c r="BD57" i="1"/>
  <c r="BB57" i="1"/>
  <c r="AW57" i="1"/>
  <c r="AP57" i="1"/>
  <c r="AN57" i="1"/>
  <c r="AU49" i="1"/>
  <c r="BB49" i="1"/>
  <c r="AW49" i="1"/>
  <c r="AP49" i="1"/>
  <c r="AN49" i="1"/>
  <c r="AW38" i="1"/>
  <c r="AU38" i="1"/>
  <c r="BB38" i="1"/>
  <c r="AP38" i="1"/>
  <c r="AN38" i="1"/>
  <c r="BB44" i="1"/>
  <c r="AW44" i="1"/>
  <c r="AU44" i="1"/>
  <c r="AP44" i="1"/>
  <c r="AN44" i="1"/>
  <c r="BD56" i="1"/>
  <c r="AW56" i="1"/>
  <c r="BB56" i="1"/>
  <c r="AU56" i="1"/>
  <c r="AP56" i="1"/>
  <c r="AN56" i="1"/>
  <c r="BD61" i="1"/>
  <c r="BB61" i="1"/>
  <c r="AW61" i="1"/>
  <c r="AU61" i="1"/>
  <c r="AP61" i="1"/>
  <c r="AN61" i="1"/>
  <c r="BB37" i="1"/>
  <c r="AW37" i="1"/>
  <c r="AU37" i="1"/>
  <c r="AP37" i="1"/>
  <c r="AN37" i="1"/>
  <c r="BB43" i="1"/>
  <c r="AW43" i="1"/>
  <c r="AU43" i="1"/>
  <c r="AP43" i="1"/>
  <c r="AN43" i="1"/>
  <c r="AW55" i="1"/>
  <c r="AU55" i="1"/>
  <c r="BB55" i="1"/>
  <c r="AP55" i="1"/>
  <c r="AN55" i="1"/>
  <c r="BB36" i="1"/>
  <c r="AU36" i="1"/>
  <c r="AW36" i="1"/>
  <c r="AP36" i="1"/>
  <c r="AN36" i="1"/>
  <c r="AW42" i="1"/>
  <c r="AU42" i="1"/>
  <c r="BB42" i="1"/>
  <c r="AP42" i="1"/>
  <c r="AN42" i="1"/>
  <c r="BB35" i="1"/>
  <c r="AW35" i="1"/>
  <c r="AU35" i="1"/>
  <c r="AP35" i="1"/>
  <c r="AN35" i="1"/>
  <c r="AW48" i="1"/>
  <c r="AU48" i="1"/>
  <c r="BB48" i="1"/>
  <c r="AP48" i="1"/>
  <c r="AN48" i="1"/>
  <c r="BB53" i="1"/>
  <c r="AW53" i="1"/>
  <c r="AU53" i="1"/>
  <c r="AP53" i="1"/>
  <c r="AN53" i="1"/>
  <c r="N21" i="4"/>
  <c r="O40" i="1" l="1"/>
  <c r="AH84" i="1"/>
  <c r="AG84" i="1"/>
  <c r="AF84" i="1"/>
  <c r="AE84" i="1"/>
  <c r="AD84" i="1"/>
  <c r="AC84" i="1"/>
  <c r="AB84" i="1"/>
  <c r="AA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AH77" i="1"/>
  <c r="AG77" i="1"/>
  <c r="AF77" i="1"/>
  <c r="AE77" i="1"/>
  <c r="AD77" i="1"/>
  <c r="AC77" i="1"/>
  <c r="AB77" i="1"/>
  <c r="AA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AH70" i="1"/>
  <c r="AG70" i="1"/>
  <c r="AF70" i="1"/>
  <c r="AE70" i="1"/>
  <c r="AD70" i="1"/>
  <c r="AC70" i="1"/>
  <c r="AB70" i="1"/>
  <c r="AA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AH54" i="1"/>
  <c r="AG54" i="1"/>
  <c r="AF54" i="1"/>
  <c r="AE54" i="1"/>
  <c r="AD54" i="1"/>
  <c r="AB54" i="1"/>
  <c r="AA54" i="1"/>
  <c r="Y54" i="1"/>
  <c r="X54" i="1"/>
  <c r="W54" i="1"/>
  <c r="V54" i="1"/>
  <c r="U54" i="1"/>
  <c r="T54" i="1"/>
  <c r="S54" i="1"/>
  <c r="R54" i="1"/>
  <c r="Q54" i="1"/>
  <c r="P54" i="1"/>
  <c r="O54" i="1"/>
  <c r="M54" i="1"/>
  <c r="L54" i="1"/>
  <c r="K54" i="1"/>
  <c r="AH47" i="1"/>
  <c r="AG47" i="1"/>
  <c r="AF47" i="1"/>
  <c r="AE47" i="1"/>
  <c r="AD47" i="1"/>
  <c r="AB47" i="1"/>
  <c r="AA47" i="1"/>
  <c r="Y47" i="1"/>
  <c r="X47" i="1"/>
  <c r="W47" i="1"/>
  <c r="V47" i="1"/>
  <c r="U47" i="1"/>
  <c r="T47" i="1"/>
  <c r="S47" i="1"/>
  <c r="R47" i="1"/>
  <c r="Q47" i="1"/>
  <c r="P47" i="1"/>
  <c r="O47" i="1"/>
  <c r="M47" i="1"/>
  <c r="L47" i="1"/>
  <c r="K47" i="1"/>
  <c r="AH40" i="1"/>
  <c r="AG40" i="1"/>
  <c r="AF40" i="1"/>
  <c r="AE40" i="1"/>
  <c r="AD40" i="1"/>
  <c r="AB40" i="1"/>
  <c r="AA40" i="1"/>
  <c r="Y40" i="1"/>
  <c r="X40" i="1"/>
  <c r="W40" i="1"/>
  <c r="V40" i="1"/>
  <c r="U40" i="1"/>
  <c r="T40" i="1"/>
  <c r="S40" i="1"/>
  <c r="R40" i="1"/>
  <c r="Q40" i="1"/>
  <c r="P40" i="1"/>
  <c r="M40" i="1"/>
  <c r="L40" i="1"/>
  <c r="AI91" i="1"/>
  <c r="AK91" i="1" s="1"/>
  <c r="AI90" i="1"/>
  <c r="AK90" i="1" s="1"/>
  <c r="AI89" i="1"/>
  <c r="AK89" i="1" s="1"/>
  <c r="AI88" i="1"/>
  <c r="AK88" i="1" s="1"/>
  <c r="AI87" i="1"/>
  <c r="AK87" i="1" s="1"/>
  <c r="AI86" i="1"/>
  <c r="AK86" i="1" s="1"/>
  <c r="AI85" i="1"/>
  <c r="AK85" i="1" s="1"/>
  <c r="AL85" i="1" s="1"/>
  <c r="AY85" i="1" s="1"/>
  <c r="AI59" i="1"/>
  <c r="AK59" i="1" s="1"/>
  <c r="AI58" i="1"/>
  <c r="AK58" i="1" s="1"/>
  <c r="AI57" i="1"/>
  <c r="AK57" i="1" s="1"/>
  <c r="AI83" i="1"/>
  <c r="AK83" i="1" s="1"/>
  <c r="AL83" i="1" s="1"/>
  <c r="AY83" i="1" s="1"/>
  <c r="AI82" i="1"/>
  <c r="AK82" i="1" s="1"/>
  <c r="AL82" i="1" s="1"/>
  <c r="AY82" i="1" s="1"/>
  <c r="AI81" i="1"/>
  <c r="AK81" i="1" s="1"/>
  <c r="AL81" i="1" s="1"/>
  <c r="AY81" i="1" s="1"/>
  <c r="AI80" i="1"/>
  <c r="AK80" i="1" s="1"/>
  <c r="AL80" i="1" s="1"/>
  <c r="AY80" i="1" s="1"/>
  <c r="AI79" i="1"/>
  <c r="AK79" i="1" s="1"/>
  <c r="AL79" i="1" s="1"/>
  <c r="AY79" i="1" s="1"/>
  <c r="AI78" i="1"/>
  <c r="AK78" i="1" s="1"/>
  <c r="AL78" i="1" s="1"/>
  <c r="AY78" i="1" s="1"/>
  <c r="AI76" i="1"/>
  <c r="AK76" i="1" s="1"/>
  <c r="AL76" i="1" s="1"/>
  <c r="AY76" i="1" s="1"/>
  <c r="AI75" i="1"/>
  <c r="AK75" i="1" s="1"/>
  <c r="AL75" i="1" s="1"/>
  <c r="AY75" i="1" s="1"/>
  <c r="AI74" i="1"/>
  <c r="AK74" i="1" s="1"/>
  <c r="AL74" i="1" s="1"/>
  <c r="AY74" i="1" s="1"/>
  <c r="AI73" i="1"/>
  <c r="AK73" i="1" s="1"/>
  <c r="AL73" i="1" s="1"/>
  <c r="AY73" i="1" s="1"/>
  <c r="AI72" i="1"/>
  <c r="AK72" i="1" s="1"/>
  <c r="AL72" i="1" s="1"/>
  <c r="AY72" i="1" s="1"/>
  <c r="AI71" i="1"/>
  <c r="AK71" i="1" s="1"/>
  <c r="AL71" i="1" s="1"/>
  <c r="AY71" i="1" s="1"/>
  <c r="AI69" i="1"/>
  <c r="AK69" i="1" s="1"/>
  <c r="AL69" i="1" s="1"/>
  <c r="AY69" i="1" s="1"/>
  <c r="AI68" i="1"/>
  <c r="AK68" i="1" s="1"/>
  <c r="AL68" i="1" s="1"/>
  <c r="AY68" i="1" s="1"/>
  <c r="AI67" i="1"/>
  <c r="AK67" i="1" s="1"/>
  <c r="AL67" i="1" s="1"/>
  <c r="AY67" i="1" s="1"/>
  <c r="AI66" i="1"/>
  <c r="AK66" i="1" s="1"/>
  <c r="AL66" i="1" s="1"/>
  <c r="AY66" i="1" s="1"/>
  <c r="AI65" i="1"/>
  <c r="AK65" i="1" s="1"/>
  <c r="AL65" i="1" s="1"/>
  <c r="AY65" i="1" s="1"/>
  <c r="AI64" i="1"/>
  <c r="AK64" i="1" s="1"/>
  <c r="AL64" i="1" s="1"/>
  <c r="AY64" i="1" s="1"/>
  <c r="AI51" i="1"/>
  <c r="AI50" i="1"/>
  <c r="AK50" i="1" s="1"/>
  <c r="AL50" i="1" s="1"/>
  <c r="AY50" i="1" s="1"/>
  <c r="AI42" i="1"/>
  <c r="AI41" i="1"/>
  <c r="AK41" i="1" s="1"/>
  <c r="AL41" i="1" s="1"/>
  <c r="AY41" i="1" s="1"/>
  <c r="K87" i="1"/>
  <c r="AJ87" i="1" s="1"/>
  <c r="Z91" i="1"/>
  <c r="Z90" i="1"/>
  <c r="Z89" i="1"/>
  <c r="Z88" i="1"/>
  <c r="Z87" i="1"/>
  <c r="Z86" i="1"/>
  <c r="Z85" i="1"/>
  <c r="Z83" i="1"/>
  <c r="Z82" i="1"/>
  <c r="Z81" i="1"/>
  <c r="Z80" i="1"/>
  <c r="Z79" i="1"/>
  <c r="Z78" i="1"/>
  <c r="Z84" i="1" s="1"/>
  <c r="Z76" i="1"/>
  <c r="Z75" i="1"/>
  <c r="Z74" i="1"/>
  <c r="Z73" i="1"/>
  <c r="Z72" i="1"/>
  <c r="Z71" i="1"/>
  <c r="Z77" i="1" s="1"/>
  <c r="Z69" i="1"/>
  <c r="Z68" i="1"/>
  <c r="Z67" i="1"/>
  <c r="Z66" i="1"/>
  <c r="Z65" i="1"/>
  <c r="Z64" i="1"/>
  <c r="Z70" i="1" s="1"/>
  <c r="Z61" i="1"/>
  <c r="AC61" i="1" s="1"/>
  <c r="AI61" i="1" s="1"/>
  <c r="AK61" i="1" s="1"/>
  <c r="Z60" i="1"/>
  <c r="AC60" i="1" s="1"/>
  <c r="AI60" i="1" s="1"/>
  <c r="AK60" i="1" s="1"/>
  <c r="Z59" i="1"/>
  <c r="AC59" i="1" s="1"/>
  <c r="Z58" i="1"/>
  <c r="AC58" i="1" s="1"/>
  <c r="Z57" i="1"/>
  <c r="AC57" i="1" s="1"/>
  <c r="Z56" i="1"/>
  <c r="AC56" i="1" s="1"/>
  <c r="AI56" i="1" s="1"/>
  <c r="AK56" i="1" s="1"/>
  <c r="Z55" i="1"/>
  <c r="AC55" i="1" s="1"/>
  <c r="AI55" i="1" s="1"/>
  <c r="AK55" i="1" s="1"/>
  <c r="AL55" i="1" s="1"/>
  <c r="AY55" i="1" s="1"/>
  <c r="Z53" i="1"/>
  <c r="AC53" i="1" s="1"/>
  <c r="AI53" i="1" s="1"/>
  <c r="AK53" i="1" s="1"/>
  <c r="AL53" i="1" s="1"/>
  <c r="AY53" i="1" s="1"/>
  <c r="Z52" i="1"/>
  <c r="AC52" i="1" s="1"/>
  <c r="AI52" i="1" s="1"/>
  <c r="AK52" i="1" s="1"/>
  <c r="AL52" i="1" s="1"/>
  <c r="AY52" i="1" s="1"/>
  <c r="Z51" i="1"/>
  <c r="AC51" i="1" s="1"/>
  <c r="Z50" i="1"/>
  <c r="AC50" i="1" s="1"/>
  <c r="Z49" i="1"/>
  <c r="AC49" i="1" s="1"/>
  <c r="AI49" i="1" s="1"/>
  <c r="AK49" i="1" s="1"/>
  <c r="AL49" i="1" s="1"/>
  <c r="AY49" i="1" s="1"/>
  <c r="Z48" i="1"/>
  <c r="AC48" i="1" s="1"/>
  <c r="AI48" i="1" s="1"/>
  <c r="AK48" i="1" s="1"/>
  <c r="AL48" i="1" s="1"/>
  <c r="AY48" i="1" s="1"/>
  <c r="Z46" i="1"/>
  <c r="AC46" i="1" s="1"/>
  <c r="AI46" i="1" s="1"/>
  <c r="AK46" i="1" s="1"/>
  <c r="AL46" i="1" s="1"/>
  <c r="AY46" i="1" s="1"/>
  <c r="Z45" i="1"/>
  <c r="AC45" i="1" s="1"/>
  <c r="AI45" i="1" s="1"/>
  <c r="AK45" i="1" s="1"/>
  <c r="AL45" i="1" s="1"/>
  <c r="AY45" i="1" s="1"/>
  <c r="Z44" i="1"/>
  <c r="AC44" i="1" s="1"/>
  <c r="AI44" i="1" s="1"/>
  <c r="AK44" i="1" s="1"/>
  <c r="AL44" i="1" s="1"/>
  <c r="AY44" i="1" s="1"/>
  <c r="Z43" i="1"/>
  <c r="AC43" i="1" s="1"/>
  <c r="AI43" i="1" s="1"/>
  <c r="AK43" i="1" s="1"/>
  <c r="AL43" i="1" s="1"/>
  <c r="AY43" i="1" s="1"/>
  <c r="Z42" i="1"/>
  <c r="AC42" i="1" s="1"/>
  <c r="Z41" i="1"/>
  <c r="AC41" i="1" s="1"/>
  <c r="Z39" i="1"/>
  <c r="AC39" i="1" s="1"/>
  <c r="AI39" i="1" s="1"/>
  <c r="AK39" i="1" s="1"/>
  <c r="AL39" i="1" s="1"/>
  <c r="AY39" i="1" s="1"/>
  <c r="Z38" i="1"/>
  <c r="AC38" i="1" s="1"/>
  <c r="AI38" i="1" s="1"/>
  <c r="AK38" i="1" s="1"/>
  <c r="AL38" i="1" s="1"/>
  <c r="AY38" i="1" s="1"/>
  <c r="Z37" i="1"/>
  <c r="AC37" i="1" s="1"/>
  <c r="AI37" i="1" s="1"/>
  <c r="AK37" i="1" s="1"/>
  <c r="AL37" i="1" s="1"/>
  <c r="AY37" i="1" s="1"/>
  <c r="Z36" i="1"/>
  <c r="AC36" i="1" s="1"/>
  <c r="AI36" i="1" s="1"/>
  <c r="AK36" i="1" s="1"/>
  <c r="AL36" i="1" s="1"/>
  <c r="AY36" i="1" s="1"/>
  <c r="Z35" i="1"/>
  <c r="AC35" i="1" s="1"/>
  <c r="AI35" i="1" s="1"/>
  <c r="AK35" i="1" s="1"/>
  <c r="AL35" i="1" s="1"/>
  <c r="AY35" i="1" s="1"/>
  <c r="Z34" i="1"/>
  <c r="AC34" i="1" s="1"/>
  <c r="AI34" i="1" s="1"/>
  <c r="AK34" i="1" s="1"/>
  <c r="AL34" i="1" s="1"/>
  <c r="AY34" i="1" s="1"/>
  <c r="K91" i="1"/>
  <c r="AJ91" i="1" s="1"/>
  <c r="K90" i="1"/>
  <c r="AJ90" i="1" s="1"/>
  <c r="K89" i="1"/>
  <c r="AJ89" i="1" s="1"/>
  <c r="K88" i="1"/>
  <c r="AJ88" i="1" s="1"/>
  <c r="K86" i="1"/>
  <c r="AJ86" i="1" s="1"/>
  <c r="K83" i="1"/>
  <c r="AJ83" i="1" s="1"/>
  <c r="K82" i="1"/>
  <c r="AJ82" i="1" s="1"/>
  <c r="K81" i="1"/>
  <c r="AJ81" i="1" s="1"/>
  <c r="K80" i="1"/>
  <c r="AJ80" i="1" s="1"/>
  <c r="K79" i="1"/>
  <c r="AJ79" i="1" s="1"/>
  <c r="K78" i="1"/>
  <c r="AJ78" i="1" s="1"/>
  <c r="K76" i="1"/>
  <c r="AJ76" i="1" s="1"/>
  <c r="K75" i="1"/>
  <c r="AJ75" i="1" s="1"/>
  <c r="K74" i="1"/>
  <c r="AJ74" i="1" s="1"/>
  <c r="K73" i="1"/>
  <c r="AJ73" i="1" s="1"/>
  <c r="K72" i="1"/>
  <c r="AJ72" i="1" s="1"/>
  <c r="K71" i="1"/>
  <c r="AJ71" i="1" s="1"/>
  <c r="K69" i="1"/>
  <c r="AJ69" i="1" s="1"/>
  <c r="K68" i="1"/>
  <c r="AJ68" i="1" s="1"/>
  <c r="K67" i="1"/>
  <c r="AJ67" i="1" s="1"/>
  <c r="K66" i="1"/>
  <c r="AJ66" i="1" s="1"/>
  <c r="K65" i="1"/>
  <c r="AJ65" i="1" s="1"/>
  <c r="K64" i="1"/>
  <c r="AJ64" i="1" s="1"/>
  <c r="K40" i="1"/>
  <c r="AH24" i="1"/>
  <c r="AG24" i="1"/>
  <c r="AF24" i="1"/>
  <c r="AE24" i="1"/>
  <c r="AD24" i="1"/>
  <c r="AC24" i="1"/>
  <c r="AB24" i="1"/>
  <c r="AA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AA17" i="1"/>
  <c r="AB17" i="1"/>
  <c r="AC17" i="1"/>
  <c r="AD17" i="1"/>
  <c r="AE17" i="1"/>
  <c r="AF17" i="1"/>
  <c r="AG17" i="1"/>
  <c r="AH17" i="1"/>
  <c r="T10" i="1"/>
  <c r="U10" i="1"/>
  <c r="V10" i="1"/>
  <c r="W10" i="1"/>
  <c r="X10" i="1"/>
  <c r="Y10" i="1"/>
  <c r="AA10" i="1"/>
  <c r="AB10" i="1"/>
  <c r="AC10" i="1"/>
  <c r="AD10" i="1"/>
  <c r="AE10" i="1"/>
  <c r="AF10" i="1"/>
  <c r="AG10" i="1"/>
  <c r="AH10" i="1"/>
  <c r="M10" i="1"/>
  <c r="N10" i="1"/>
  <c r="O10" i="1"/>
  <c r="P10" i="1"/>
  <c r="Q10" i="1"/>
  <c r="R10" i="1"/>
  <c r="S10" i="1"/>
  <c r="L10" i="1"/>
  <c r="AI31" i="1"/>
  <c r="AK31" i="1" s="1"/>
  <c r="AI30" i="1"/>
  <c r="AK30" i="1" s="1"/>
  <c r="AI29" i="1"/>
  <c r="AK29" i="1" s="1"/>
  <c r="AI28" i="1"/>
  <c r="AK28" i="1" s="1"/>
  <c r="AI27" i="1"/>
  <c r="AK27" i="1" s="1"/>
  <c r="AI26" i="1"/>
  <c r="AK26" i="1" s="1"/>
  <c r="AI25" i="1"/>
  <c r="AK25" i="1" s="1"/>
  <c r="AL25" i="1" s="1"/>
  <c r="AY25" i="1" s="1"/>
  <c r="Z31" i="1"/>
  <c r="Z30" i="1"/>
  <c r="Z29" i="1"/>
  <c r="Z28" i="1"/>
  <c r="Z27" i="1"/>
  <c r="Z26" i="1"/>
  <c r="Z25" i="1"/>
  <c r="K31" i="1"/>
  <c r="K30" i="1"/>
  <c r="AJ30" i="1" s="1"/>
  <c r="K29" i="1"/>
  <c r="AJ29" i="1" s="1"/>
  <c r="K28" i="1"/>
  <c r="AJ28" i="1" s="1"/>
  <c r="K27" i="1"/>
  <c r="AJ27" i="1" s="1"/>
  <c r="K26" i="1"/>
  <c r="AJ26" i="1" s="1"/>
  <c r="AI23" i="1"/>
  <c r="AK23" i="1" s="1"/>
  <c r="AL23" i="1" s="1"/>
  <c r="AY23" i="1" s="1"/>
  <c r="AI22" i="1"/>
  <c r="AK22" i="1" s="1"/>
  <c r="AL22" i="1" s="1"/>
  <c r="AY22" i="1" s="1"/>
  <c r="AI21" i="1"/>
  <c r="AK21" i="1" s="1"/>
  <c r="AL21" i="1" s="1"/>
  <c r="AY21" i="1" s="1"/>
  <c r="AI20" i="1"/>
  <c r="AK20" i="1" s="1"/>
  <c r="AL20" i="1" s="1"/>
  <c r="AY20" i="1" s="1"/>
  <c r="AI19" i="1"/>
  <c r="AK19" i="1" s="1"/>
  <c r="AL19" i="1" s="1"/>
  <c r="AY19" i="1" s="1"/>
  <c r="AI18" i="1"/>
  <c r="AK18" i="1" s="1"/>
  <c r="AL18" i="1" s="1"/>
  <c r="AY18" i="1" s="1"/>
  <c r="AI16" i="1"/>
  <c r="AK16" i="1" s="1"/>
  <c r="AL16" i="1" s="1"/>
  <c r="AY16" i="1" s="1"/>
  <c r="AI15" i="1"/>
  <c r="AK15" i="1" s="1"/>
  <c r="AL15" i="1" s="1"/>
  <c r="AY15" i="1" s="1"/>
  <c r="AI14" i="1"/>
  <c r="AK14" i="1" s="1"/>
  <c r="AL14" i="1" s="1"/>
  <c r="AY14" i="1" s="1"/>
  <c r="AI13" i="1"/>
  <c r="AK13" i="1" s="1"/>
  <c r="AL13" i="1" s="1"/>
  <c r="AY13" i="1" s="1"/>
  <c r="AI12" i="1"/>
  <c r="AK12" i="1" s="1"/>
  <c r="AL12" i="1" s="1"/>
  <c r="AY12" i="1" s="1"/>
  <c r="AI11" i="1"/>
  <c r="AK11" i="1" s="1"/>
  <c r="AL11" i="1" s="1"/>
  <c r="AY11" i="1" s="1"/>
  <c r="Z23" i="1"/>
  <c r="Z22" i="1"/>
  <c r="Z21" i="1"/>
  <c r="Z20" i="1"/>
  <c r="Z19" i="1"/>
  <c r="Z18" i="1"/>
  <c r="Z16" i="1"/>
  <c r="Z15" i="1"/>
  <c r="Z14" i="1"/>
  <c r="Z13" i="1"/>
  <c r="Z12" i="1"/>
  <c r="Z11" i="1"/>
  <c r="K23" i="1"/>
  <c r="AJ23" i="1" s="1"/>
  <c r="K22" i="1"/>
  <c r="AJ22" i="1" s="1"/>
  <c r="K21" i="1"/>
  <c r="AJ21" i="1" s="1"/>
  <c r="K20" i="1"/>
  <c r="AJ20" i="1" s="1"/>
  <c r="K19" i="1"/>
  <c r="AJ19" i="1" s="1"/>
  <c r="K18" i="1"/>
  <c r="AJ18" i="1" s="1"/>
  <c r="K16" i="1"/>
  <c r="AJ16" i="1" s="1"/>
  <c r="K15" i="1"/>
  <c r="AJ15" i="1" s="1"/>
  <c r="K14" i="1"/>
  <c r="AJ14" i="1" s="1"/>
  <c r="K13" i="1"/>
  <c r="K12" i="1"/>
  <c r="AJ12" i="1" s="1"/>
  <c r="K11" i="1"/>
  <c r="AJ11" i="1" s="1"/>
  <c r="AI5" i="1"/>
  <c r="AK5" i="1" s="1"/>
  <c r="AL5" i="1" s="1"/>
  <c r="AY5" i="1" s="1"/>
  <c r="AI6" i="1"/>
  <c r="AK6" i="1" s="1"/>
  <c r="AL6" i="1" s="1"/>
  <c r="AY6" i="1" s="1"/>
  <c r="AI7" i="1"/>
  <c r="AK7" i="1" s="1"/>
  <c r="AL7" i="1" s="1"/>
  <c r="AY7" i="1" s="1"/>
  <c r="AI8" i="1"/>
  <c r="AK8" i="1" s="1"/>
  <c r="AL8" i="1" s="1"/>
  <c r="AY8" i="1" s="1"/>
  <c r="AI9" i="1"/>
  <c r="AK9" i="1" s="1"/>
  <c r="AL9" i="1" s="1"/>
  <c r="AY9" i="1" s="1"/>
  <c r="Z5" i="1"/>
  <c r="Z6" i="1"/>
  <c r="Z7" i="1"/>
  <c r="Z8" i="1"/>
  <c r="Z9" i="1"/>
  <c r="K5" i="1"/>
  <c r="AJ5" i="1" s="1"/>
  <c r="K6" i="1"/>
  <c r="AJ6" i="1" s="1"/>
  <c r="K7" i="1"/>
  <c r="AJ7" i="1" s="1"/>
  <c r="K8" i="1"/>
  <c r="AJ8" i="1" s="1"/>
  <c r="K9" i="1"/>
  <c r="AJ9" i="1" s="1"/>
  <c r="AI4" i="1"/>
  <c r="Z4" i="1"/>
  <c r="K4" i="1"/>
  <c r="AJ85" i="1" l="1"/>
  <c r="BB85" i="1" s="1"/>
  <c r="AJ25" i="1"/>
  <c r="AU25" i="1" s="1"/>
  <c r="AR60" i="1"/>
  <c r="AL60" i="1"/>
  <c r="AY60" i="1" s="1"/>
  <c r="AR61" i="1"/>
  <c r="AL61" i="1"/>
  <c r="AY61" i="1" s="1"/>
  <c r="AR56" i="1"/>
  <c r="AL56" i="1"/>
  <c r="AY56" i="1" s="1"/>
  <c r="AW74" i="1"/>
  <c r="AU74" i="1"/>
  <c r="BB74" i="1"/>
  <c r="AP74" i="1"/>
  <c r="AN74" i="1"/>
  <c r="AI54" i="1"/>
  <c r="AK54" i="1" s="1"/>
  <c r="AL54" i="1" s="1"/>
  <c r="AY54" i="1" s="1"/>
  <c r="AK51" i="1"/>
  <c r="AL51" i="1" s="1"/>
  <c r="AY51" i="1" s="1"/>
  <c r="AU66" i="1"/>
  <c r="BB66" i="1"/>
  <c r="AW66" i="1"/>
  <c r="AP66" i="1"/>
  <c r="AN66" i="1"/>
  <c r="AU75" i="1"/>
  <c r="BB75" i="1"/>
  <c r="AW75" i="1"/>
  <c r="AP75" i="1"/>
  <c r="AN75" i="1"/>
  <c r="BD87" i="1"/>
  <c r="BB87" i="1"/>
  <c r="AP87" i="1"/>
  <c r="AU87" i="1"/>
  <c r="AW87" i="1"/>
  <c r="AN87" i="1"/>
  <c r="AR59" i="1"/>
  <c r="AL59" i="1"/>
  <c r="AY59" i="1" s="1"/>
  <c r="AR90" i="1"/>
  <c r="AL90" i="1"/>
  <c r="AY90" i="1" s="1"/>
  <c r="AW6" i="1"/>
  <c r="AU6" i="1"/>
  <c r="BB6" i="1"/>
  <c r="AP6" i="1"/>
  <c r="AN6" i="1"/>
  <c r="AW16" i="1"/>
  <c r="AU16" i="1"/>
  <c r="BB16" i="1"/>
  <c r="AP16" i="1"/>
  <c r="AN16" i="1"/>
  <c r="AR28" i="1"/>
  <c r="AL28" i="1"/>
  <c r="AY28" i="1" s="1"/>
  <c r="BB27" i="1"/>
  <c r="AW27" i="1"/>
  <c r="AU27" i="1"/>
  <c r="BD27" i="1"/>
  <c r="AP27" i="1"/>
  <c r="AN27" i="1"/>
  <c r="BB19" i="1"/>
  <c r="AW19" i="1"/>
  <c r="AU19" i="1"/>
  <c r="AP19" i="1"/>
  <c r="AN19" i="1"/>
  <c r="BB28" i="1"/>
  <c r="AW28" i="1"/>
  <c r="AU28" i="1"/>
  <c r="BD28" i="1"/>
  <c r="AP28" i="1"/>
  <c r="AN28" i="1"/>
  <c r="AR30" i="1"/>
  <c r="AL30" i="1"/>
  <c r="AY30" i="1" s="1"/>
  <c r="BB67" i="1"/>
  <c r="AW67" i="1"/>
  <c r="AU67" i="1"/>
  <c r="AN67" i="1"/>
  <c r="AP67" i="1"/>
  <c r="AW76" i="1"/>
  <c r="AU76" i="1"/>
  <c r="BB76" i="1"/>
  <c r="AP76" i="1"/>
  <c r="AN76" i="1"/>
  <c r="BB86" i="1"/>
  <c r="BD86" i="1"/>
  <c r="AW86" i="1"/>
  <c r="AU86" i="1"/>
  <c r="AN86" i="1"/>
  <c r="AP86" i="1"/>
  <c r="AR91" i="1"/>
  <c r="AL91" i="1"/>
  <c r="AY91" i="1" s="1"/>
  <c r="Z54" i="1"/>
  <c r="AC54" i="1" s="1"/>
  <c r="K70" i="1"/>
  <c r="AJ70" i="1" s="1"/>
  <c r="AI70" i="1"/>
  <c r="AK70" i="1" s="1"/>
  <c r="AL70" i="1" s="1"/>
  <c r="AY70" i="1" s="1"/>
  <c r="AW15" i="1"/>
  <c r="AU15" i="1"/>
  <c r="BB15" i="1"/>
  <c r="AP15" i="1"/>
  <c r="AN15" i="1"/>
  <c r="AR27" i="1"/>
  <c r="AL27" i="1"/>
  <c r="AY27" i="1" s="1"/>
  <c r="AW73" i="1"/>
  <c r="AU73" i="1"/>
  <c r="BB73" i="1"/>
  <c r="AP73" i="1"/>
  <c r="AN73" i="1"/>
  <c r="AR88" i="1"/>
  <c r="AL88" i="1"/>
  <c r="AY88" i="1" s="1"/>
  <c r="AW65" i="1"/>
  <c r="AU65" i="1"/>
  <c r="BB65" i="1"/>
  <c r="AP65" i="1"/>
  <c r="AN65" i="1"/>
  <c r="BB11" i="1"/>
  <c r="AW11" i="1"/>
  <c r="AU11" i="1"/>
  <c r="AP11" i="1"/>
  <c r="AN11" i="1"/>
  <c r="BB20" i="1"/>
  <c r="AW20" i="1"/>
  <c r="AU20" i="1"/>
  <c r="AN20" i="1"/>
  <c r="AP20" i="1"/>
  <c r="BB29" i="1"/>
  <c r="AW29" i="1"/>
  <c r="BD29" i="1"/>
  <c r="AU29" i="1"/>
  <c r="AN29" i="1"/>
  <c r="AP29" i="1"/>
  <c r="AR31" i="1"/>
  <c r="AL31" i="1"/>
  <c r="AY31" i="1" s="1"/>
  <c r="BB68" i="1"/>
  <c r="AW68" i="1"/>
  <c r="AU68" i="1"/>
  <c r="AP68" i="1"/>
  <c r="AN68" i="1"/>
  <c r="AU78" i="1"/>
  <c r="BB78" i="1"/>
  <c r="AW78" i="1"/>
  <c r="AP78" i="1"/>
  <c r="AN78" i="1"/>
  <c r="BD88" i="1"/>
  <c r="BB88" i="1"/>
  <c r="AW88" i="1"/>
  <c r="AU88" i="1"/>
  <c r="AP88" i="1"/>
  <c r="AN88" i="1"/>
  <c r="K77" i="1"/>
  <c r="AJ77" i="1" s="1"/>
  <c r="AI77" i="1"/>
  <c r="AK77" i="1" s="1"/>
  <c r="AL77" i="1" s="1"/>
  <c r="AY77" i="1" s="1"/>
  <c r="BB82" i="1"/>
  <c r="AW82" i="1"/>
  <c r="AU82" i="1"/>
  <c r="AN82" i="1"/>
  <c r="AP82" i="1"/>
  <c r="BB26" i="1"/>
  <c r="AU26" i="1"/>
  <c r="AW26" i="1"/>
  <c r="BD26" i="1"/>
  <c r="AP26" i="1"/>
  <c r="AN26" i="1"/>
  <c r="AR58" i="1"/>
  <c r="AL58" i="1"/>
  <c r="AY58" i="1" s="1"/>
  <c r="AW9" i="1"/>
  <c r="AU9" i="1"/>
  <c r="BB9" i="1"/>
  <c r="AP9" i="1"/>
  <c r="AN9" i="1"/>
  <c r="BB12" i="1"/>
  <c r="AW12" i="1"/>
  <c r="AU12" i="1"/>
  <c r="AP12" i="1"/>
  <c r="AN12" i="1"/>
  <c r="BB21" i="1"/>
  <c r="AW21" i="1"/>
  <c r="AU21" i="1"/>
  <c r="AP21" i="1"/>
  <c r="AN21" i="1"/>
  <c r="BD30" i="1"/>
  <c r="AU30" i="1"/>
  <c r="BB30" i="1"/>
  <c r="AW30" i="1"/>
  <c r="AP30" i="1"/>
  <c r="AN30" i="1"/>
  <c r="BB69" i="1"/>
  <c r="AW69" i="1"/>
  <c r="AU69" i="1"/>
  <c r="AP69" i="1"/>
  <c r="AN69" i="1"/>
  <c r="BB79" i="1"/>
  <c r="AU79" i="1"/>
  <c r="AW79" i="1"/>
  <c r="AN79" i="1"/>
  <c r="AP79" i="1"/>
  <c r="BD89" i="1"/>
  <c r="BB89" i="1"/>
  <c r="AP89" i="1"/>
  <c r="AW89" i="1"/>
  <c r="AN89" i="1"/>
  <c r="AU89" i="1"/>
  <c r="Z47" i="1"/>
  <c r="AC47" i="1" s="1"/>
  <c r="AJ54" i="1"/>
  <c r="N54" i="1"/>
  <c r="K84" i="1"/>
  <c r="AJ84" i="1" s="1"/>
  <c r="AI84" i="1"/>
  <c r="AK84" i="1" s="1"/>
  <c r="AL84" i="1" s="1"/>
  <c r="AY84" i="1" s="1"/>
  <c r="AW64" i="1"/>
  <c r="AU64" i="1"/>
  <c r="BB64" i="1"/>
  <c r="AP64" i="1"/>
  <c r="AN64" i="1"/>
  <c r="AR57" i="1"/>
  <c r="AL57" i="1"/>
  <c r="AY57" i="1" s="1"/>
  <c r="BB83" i="1"/>
  <c r="AU83" i="1"/>
  <c r="AW83" i="1"/>
  <c r="AN83" i="1"/>
  <c r="AP83" i="1"/>
  <c r="AI47" i="1"/>
  <c r="AK47" i="1" s="1"/>
  <c r="AL47" i="1" s="1"/>
  <c r="AY47" i="1" s="1"/>
  <c r="AK42" i="1"/>
  <c r="AL42" i="1" s="1"/>
  <c r="AY42" i="1" s="1"/>
  <c r="AW4" i="1"/>
  <c r="AU4" i="1"/>
  <c r="BB4" i="1"/>
  <c r="AP4" i="1"/>
  <c r="AN4" i="1"/>
  <c r="AI10" i="1"/>
  <c r="AK10" i="1" s="1"/>
  <c r="AL10" i="1" s="1"/>
  <c r="AY10" i="1" s="1"/>
  <c r="AK4" i="1"/>
  <c r="AL4" i="1" s="1"/>
  <c r="AY4" i="1" s="1"/>
  <c r="AW8" i="1"/>
  <c r="AU8" i="1"/>
  <c r="BB8" i="1"/>
  <c r="AP8" i="1"/>
  <c r="AN8" i="1"/>
  <c r="BB13" i="1"/>
  <c r="AU13" i="1"/>
  <c r="AW13" i="1"/>
  <c r="AP13" i="1"/>
  <c r="AN13" i="1"/>
  <c r="AW22" i="1"/>
  <c r="BB22" i="1"/>
  <c r="AU22" i="1"/>
  <c r="AP22" i="1"/>
  <c r="AN22" i="1"/>
  <c r="AW31" i="1"/>
  <c r="AU31" i="1"/>
  <c r="BD31" i="1"/>
  <c r="BB31" i="1"/>
  <c r="AP31" i="1"/>
  <c r="BB71" i="1"/>
  <c r="AW71" i="1"/>
  <c r="AU71" i="1"/>
  <c r="AP71" i="1"/>
  <c r="AN71" i="1"/>
  <c r="BB80" i="1"/>
  <c r="AN80" i="1"/>
  <c r="AP80" i="1"/>
  <c r="AU80" i="1"/>
  <c r="AW80" i="1"/>
  <c r="BD90" i="1"/>
  <c r="BB90" i="1"/>
  <c r="AN90" i="1"/>
  <c r="AW90" i="1"/>
  <c r="AU90" i="1"/>
  <c r="AP90" i="1"/>
  <c r="AR86" i="1"/>
  <c r="AL86" i="1"/>
  <c r="AY86" i="1" s="1"/>
  <c r="AW25" i="1"/>
  <c r="AN25" i="1"/>
  <c r="BB5" i="1"/>
  <c r="AW5" i="1"/>
  <c r="AU5" i="1"/>
  <c r="AN5" i="1"/>
  <c r="AP5" i="1"/>
  <c r="AR89" i="1"/>
  <c r="AL89" i="1"/>
  <c r="AY89" i="1" s="1"/>
  <c r="BB18" i="1"/>
  <c r="AW18" i="1"/>
  <c r="AU18" i="1"/>
  <c r="AP18" i="1"/>
  <c r="AN18" i="1"/>
  <c r="AR29" i="1"/>
  <c r="AL29" i="1"/>
  <c r="AY29" i="1" s="1"/>
  <c r="AW7" i="1"/>
  <c r="AU7" i="1"/>
  <c r="BB7" i="1"/>
  <c r="AP7" i="1"/>
  <c r="AN7" i="1"/>
  <c r="AW14" i="1"/>
  <c r="BB14" i="1"/>
  <c r="AU14" i="1"/>
  <c r="AP14" i="1"/>
  <c r="AN14" i="1"/>
  <c r="AW23" i="1"/>
  <c r="AU23" i="1"/>
  <c r="BB23" i="1"/>
  <c r="AP23" i="1"/>
  <c r="AN23" i="1"/>
  <c r="AR26" i="1"/>
  <c r="AL26" i="1"/>
  <c r="AY26" i="1" s="1"/>
  <c r="AJ40" i="1"/>
  <c r="N40" i="1"/>
  <c r="AW72" i="1"/>
  <c r="AU72" i="1"/>
  <c r="BB72" i="1"/>
  <c r="AP72" i="1"/>
  <c r="AN72" i="1"/>
  <c r="BB81" i="1"/>
  <c r="AW81" i="1"/>
  <c r="AU81" i="1"/>
  <c r="AN81" i="1"/>
  <c r="AP81" i="1"/>
  <c r="AW91" i="1"/>
  <c r="AU91" i="1"/>
  <c r="BD91" i="1"/>
  <c r="BB91" i="1"/>
  <c r="AP91" i="1"/>
  <c r="AN91" i="1"/>
  <c r="AR87" i="1"/>
  <c r="AL87" i="1"/>
  <c r="AY87" i="1" s="1"/>
  <c r="N47" i="1"/>
  <c r="AJ47" i="1"/>
  <c r="Z40" i="1"/>
  <c r="AC40" i="1" s="1"/>
  <c r="AI40" i="1"/>
  <c r="AK40" i="1" s="1"/>
  <c r="AL40" i="1" s="1"/>
  <c r="AY40" i="1" s="1"/>
  <c r="K24" i="1"/>
  <c r="AJ24" i="1" s="1"/>
  <c r="AI24" i="1"/>
  <c r="AK24" i="1" s="1"/>
  <c r="AL24" i="1" s="1"/>
  <c r="AY24" i="1" s="1"/>
  <c r="Z17" i="1"/>
  <c r="Z10" i="1"/>
  <c r="K17" i="1"/>
  <c r="AJ17" i="1" s="1"/>
  <c r="AI17" i="1"/>
  <c r="AK17" i="1" s="1"/>
  <c r="AL17" i="1" s="1"/>
  <c r="AY17" i="1" s="1"/>
  <c r="K10" i="1"/>
  <c r="AJ10" i="1" s="1"/>
  <c r="Z24" i="1"/>
  <c r="AP25" i="1" l="1"/>
  <c r="BB25" i="1"/>
  <c r="AU85" i="1"/>
  <c r="AW85" i="1"/>
  <c r="AN85" i="1"/>
  <c r="AP85" i="1"/>
  <c r="BB77" i="1"/>
  <c r="AW77" i="1"/>
  <c r="AU77" i="1"/>
  <c r="AP77" i="1"/>
  <c r="AN77" i="1"/>
  <c r="AW47" i="1"/>
  <c r="AU47" i="1"/>
  <c r="BB47" i="1"/>
  <c r="AP47" i="1"/>
  <c r="AN47" i="1"/>
  <c r="BB17" i="1"/>
  <c r="AW17" i="1"/>
  <c r="AU17" i="1"/>
  <c r="AP17" i="1"/>
  <c r="AN17" i="1"/>
  <c r="AW54" i="1"/>
  <c r="AU54" i="1"/>
  <c r="BB54" i="1"/>
  <c r="AP54" i="1"/>
  <c r="AN54" i="1"/>
  <c r="BB10" i="1"/>
  <c r="AU10" i="1"/>
  <c r="AW10" i="1"/>
  <c r="AP10" i="1"/>
  <c r="AN10" i="1"/>
  <c r="BB84" i="1"/>
  <c r="AN84" i="1"/>
  <c r="AW84" i="1"/>
  <c r="AP84" i="1"/>
  <c r="AU84" i="1"/>
  <c r="AW24" i="1"/>
  <c r="AU24" i="1"/>
  <c r="BB24" i="1"/>
  <c r="AP24" i="1"/>
  <c r="AN24" i="1"/>
  <c r="AU40" i="1"/>
  <c r="BB40" i="1"/>
  <c r="AW40" i="1"/>
  <c r="AP40" i="1"/>
  <c r="AN40" i="1"/>
  <c r="BB70" i="1"/>
  <c r="AW70" i="1"/>
  <c r="AU70" i="1"/>
  <c r="AP70" i="1"/>
  <c r="AN70" i="1"/>
</calcChain>
</file>

<file path=xl/sharedStrings.xml><?xml version="1.0" encoding="utf-8"?>
<sst xmlns="http://schemas.openxmlformats.org/spreadsheetml/2006/main" count="3428" uniqueCount="283">
  <si>
    <t>Year</t>
  </si>
  <si>
    <t>Dataset</t>
  </si>
  <si>
    <t>Folder</t>
  </si>
  <si>
    <t>Ecoinvent process</t>
  </si>
  <si>
    <t>Reference product</t>
  </si>
  <si>
    <t>Amount</t>
  </si>
  <si>
    <t>Unit</t>
  </si>
  <si>
    <t>Region</t>
  </si>
  <si>
    <t>IPCC GWP 100a</t>
  </si>
  <si>
    <t>Non-renewable, biomass</t>
  </si>
  <si>
    <t>Renewable, wind, solar, geothe</t>
  </si>
  <si>
    <t>Renewable, biomass</t>
  </si>
  <si>
    <t>Renewable, water</t>
  </si>
  <si>
    <t>Non renewable, fossil</t>
  </si>
  <si>
    <t>Non-renewable, nuclear</t>
  </si>
  <si>
    <t>CED</t>
  </si>
  <si>
    <t>kg CO2 eq</t>
  </si>
  <si>
    <t>MJ</t>
  </si>
  <si>
    <t>Global</t>
  </si>
  <si>
    <t>CN</t>
  </si>
  <si>
    <t>DE</t>
  </si>
  <si>
    <t>JP</t>
  </si>
  <si>
    <t>MX</t>
  </si>
  <si>
    <t>MY</t>
  </si>
  <si>
    <t>TW</t>
  </si>
  <si>
    <t>Technology</t>
  </si>
  <si>
    <t>sc-Si</t>
  </si>
  <si>
    <t>KR</t>
  </si>
  <si>
    <t>SG</t>
  </si>
  <si>
    <t>TH</t>
  </si>
  <si>
    <t>VN</t>
  </si>
  <si>
    <t>photovoltaic panel, single-Si wafer</t>
  </si>
  <si>
    <t>m2</t>
  </si>
  <si>
    <t>Metallurgival Grade Si</t>
  </si>
  <si>
    <t>Electronics Grade Si</t>
  </si>
  <si>
    <t>Solar Grade Si</t>
  </si>
  <si>
    <t>Crystals/Ingots</t>
  </si>
  <si>
    <t>Wafer</t>
  </si>
  <si>
    <t>Cell</t>
  </si>
  <si>
    <t>Panel</t>
  </si>
  <si>
    <t>Transportation</t>
  </si>
  <si>
    <t>Biomass(non-renewable)</t>
  </si>
  <si>
    <t>Fossil(non-renewable)</t>
  </si>
  <si>
    <t>Water(renewable)</t>
  </si>
  <si>
    <t>Nuclear(non-renewable)</t>
  </si>
  <si>
    <t>Biomass(renewable)</t>
  </si>
  <si>
    <t>Others(wind,solar,geothermal)(renewable)</t>
  </si>
  <si>
    <t>Reshored</t>
  </si>
  <si>
    <t>US</t>
  </si>
  <si>
    <t>China</t>
  </si>
  <si>
    <t>Germany</t>
  </si>
  <si>
    <t>Japan</t>
  </si>
  <si>
    <t>Mexico</t>
  </si>
  <si>
    <t>Malaysia</t>
  </si>
  <si>
    <t>Taiwan</t>
  </si>
  <si>
    <t>m arket shares</t>
  </si>
  <si>
    <t>South Korea</t>
  </si>
  <si>
    <t>Singapore</t>
  </si>
  <si>
    <t>Thailand</t>
  </si>
  <si>
    <t>Vietnam</t>
  </si>
  <si>
    <t>r-SI</t>
  </si>
  <si>
    <t xml:space="preserve">photovoltaic panel, ribbon-Si </t>
  </si>
  <si>
    <t>mc-Si</t>
  </si>
  <si>
    <t>mc-SI</t>
  </si>
  <si>
    <t>photovoltaic panel, multi-Si wafer</t>
  </si>
  <si>
    <t>Name</t>
  </si>
  <si>
    <t>Category</t>
  </si>
  <si>
    <t>Inventory result</t>
  </si>
  <si>
    <t>Impact factor</t>
  </si>
  <si>
    <t>Impact result</t>
  </si>
  <si>
    <t>panel</t>
  </si>
  <si>
    <t>1m2</t>
  </si>
  <si>
    <t>cell</t>
  </si>
  <si>
    <t>panel needed</t>
  </si>
  <si>
    <t>cradle to cell</t>
  </si>
  <si>
    <t>all</t>
  </si>
  <si>
    <t>cradle to wafer</t>
  </si>
  <si>
    <t>cell needed</t>
  </si>
  <si>
    <t>wafer</t>
  </si>
  <si>
    <t>electronics grade silicon</t>
  </si>
  <si>
    <t>1 kg</t>
  </si>
  <si>
    <t>solar grade silicon</t>
  </si>
  <si>
    <t>wafer needed</t>
  </si>
  <si>
    <t>cradle to electronics</t>
  </si>
  <si>
    <t>cradle to solar</t>
  </si>
  <si>
    <t>metallurgical grade</t>
  </si>
  <si>
    <t>cradle to metallurgical for electronics route</t>
  </si>
  <si>
    <t>cradle to metallurgical for solar route</t>
  </si>
  <si>
    <t>kg</t>
  </si>
  <si>
    <t>electronics alone</t>
  </si>
  <si>
    <t>solar alone</t>
  </si>
  <si>
    <t>all without transportation</t>
  </si>
  <si>
    <t>panel alone</t>
  </si>
  <si>
    <t>cell alone</t>
  </si>
  <si>
    <t>electronics grade</t>
  </si>
  <si>
    <t>solar grade</t>
  </si>
  <si>
    <t>wafer alone</t>
  </si>
  <si>
    <t>metallurgical alone</t>
  </si>
  <si>
    <t>lectronics alone</t>
  </si>
  <si>
    <t>metallurgical grade silicon</t>
  </si>
  <si>
    <t>parameters</t>
  </si>
  <si>
    <t>meta needed for solar</t>
  </si>
  <si>
    <t>irradiation</t>
  </si>
  <si>
    <t>low</t>
  </si>
  <si>
    <t>high</t>
  </si>
  <si>
    <t>kWh / (m2 year)</t>
  </si>
  <si>
    <t>thermal to electricity conversion efficiency</t>
  </si>
  <si>
    <t>lifetime</t>
  </si>
  <si>
    <t>years</t>
  </si>
  <si>
    <t>medium</t>
  </si>
  <si>
    <t>performance ratio</t>
  </si>
  <si>
    <t>PV efficiency</t>
  </si>
  <si>
    <t>Photovoltaics: Life-cycle analyses</t>
  </si>
  <si>
    <t>Updated sustainability status of crystalline silicon-based</t>
  </si>
  <si>
    <t>photovoltaic systems: Life-cycle energy and environmental</t>
  </si>
  <si>
    <t>impact reduction trends</t>
  </si>
  <si>
    <t>best cell so far</t>
  </si>
  <si>
    <t>NREL</t>
  </si>
  <si>
    <t>19%, 20%, 21%</t>
  </si>
  <si>
    <t>r-Si</t>
  </si>
  <si>
    <t>dajun</t>
  </si>
  <si>
    <t>carbon emission factor</t>
  </si>
  <si>
    <t>EPBT</t>
  </si>
  <si>
    <t>Status and perspectives of crystalline silicon photovoltaics in research and industry</t>
  </si>
  <si>
    <t>16%, 17%, 18%</t>
  </si>
  <si>
    <t>R-Si</t>
  </si>
  <si>
    <t>https://www.sciencedirect.com/science/article/pii/S136403211500146X#bib43</t>
  </si>
  <si>
    <t>roof top</t>
  </si>
  <si>
    <t>ground mount</t>
  </si>
  <si>
    <t>consider degradation</t>
  </si>
  <si>
    <t>13%-18%</t>
  </si>
  <si>
    <t>15%-21%</t>
  </si>
  <si>
    <t>sensitivity</t>
  </si>
  <si>
    <t>22%, 23%, 24%</t>
  </si>
  <si>
    <t>https://www.nature.com/articles/s41578-022-00423-2</t>
  </si>
  <si>
    <t>18%-24%</t>
  </si>
  <si>
    <t>https://onlinelibrary.wiley.com/doi/10.1002/pip.1219</t>
  </si>
  <si>
    <t>EROI</t>
  </si>
  <si>
    <t>sensitivity analysis</t>
  </si>
  <si>
    <t>https://www.mdpi.com/1996-1073/13/15/3934</t>
  </si>
  <si>
    <t>solar irradiation</t>
  </si>
  <si>
    <t>lower bound</t>
  </si>
  <si>
    <t>baseline</t>
  </si>
  <si>
    <t>upper bound</t>
  </si>
  <si>
    <t>conversion efficiency</t>
  </si>
  <si>
    <t>uppper bound</t>
  </si>
  <si>
    <t>25 years</t>
  </si>
  <si>
    <t>30 years</t>
  </si>
  <si>
    <t>module efficiency</t>
  </si>
  <si>
    <t>Weighted Average</t>
  </si>
  <si>
    <t>normalized carbon emission factor</t>
  </si>
  <si>
    <t>2010 Outsourced Case (China)</t>
  </si>
  <si>
    <t>2010 Outsourced Case (Germany)</t>
  </si>
  <si>
    <t>2010 Outsourced Case (Japan)</t>
  </si>
  <si>
    <t>2010 Outsourced Case (Mexico)</t>
  </si>
  <si>
    <t>2010 Outsourced Case (Malaysia)</t>
  </si>
  <si>
    <t>2010 Outsourced Case (Taiwan)</t>
  </si>
  <si>
    <t>2010 Outsourced Case</t>
  </si>
  <si>
    <t>2015 Outsourced Case (China)</t>
  </si>
  <si>
    <t>2015 Outsourced Case (Japan)</t>
  </si>
  <si>
    <t>2015 Outsourced Case (South Korea)</t>
  </si>
  <si>
    <t>2015 Outsourced Case (Mexico)</t>
  </si>
  <si>
    <t>2015 Outsourced Case (Malaysia)</t>
  </si>
  <si>
    <t>2015 Outsourced Case (Taiwan)</t>
  </si>
  <si>
    <t>2015 Outsourced Case</t>
  </si>
  <si>
    <t>2020 Outsourced Case (China)</t>
  </si>
  <si>
    <t>2020 Outsourced Case (South Korea)</t>
  </si>
  <si>
    <t>2020 Outsourced Case (Malaysia)</t>
  </si>
  <si>
    <t>2020 Outsourced Case (Singapore)</t>
  </si>
  <si>
    <t>2020 Outsourced Case (Thailand)</t>
  </si>
  <si>
    <t>2020 Outsourced Case (Vietnam)</t>
  </si>
  <si>
    <t>2020 Outsourced Case</t>
  </si>
  <si>
    <t>2020 Reshored Scenario</t>
  </si>
  <si>
    <t>2025 Reshored Scenario</t>
  </si>
  <si>
    <t>2030 Reshored Scenario</t>
  </si>
  <si>
    <t>2035 Reshored Scenario</t>
  </si>
  <si>
    <t>2040 Reshored Scenario</t>
  </si>
  <si>
    <t>2045 Reshored Scenario</t>
  </si>
  <si>
    <t>2050 Reshored Scenario</t>
  </si>
  <si>
    <t>normalized EPBT</t>
  </si>
  <si>
    <t>carbon emission factor (also EPBT)</t>
  </si>
  <si>
    <t>EPBT (also carbon emission factor)</t>
  </si>
  <si>
    <t>market shares</t>
  </si>
  <si>
    <t>Case / Scenario</t>
  </si>
  <si>
    <t>EPBT（years)</t>
  </si>
  <si>
    <t>Carbon Emission Factor (kg CO2 per kWh)</t>
  </si>
  <si>
    <t>Year, Manufacturing location, Process</t>
  </si>
  <si>
    <t>2010 CN photovoltaic panel production, single-Si wafer</t>
  </si>
  <si>
    <t>2010 DE photovoltaic panel production, single-Si wafer</t>
  </si>
  <si>
    <t>2010 JP photovoltaic panel production, single-Si wafer</t>
  </si>
  <si>
    <t>2010 MX photovoltaic panel production, single-Si wafer</t>
  </si>
  <si>
    <t>2010 MY photovoltaic panel production, single-Si wafer</t>
  </si>
  <si>
    <t>2010 TW photovoltaic panel production, single-Si wafer</t>
  </si>
  <si>
    <t>2015 CN photovoltaic panel production, single-Si wafer</t>
  </si>
  <si>
    <t>2015 JP photovoltaic panel production, single-Si wafer</t>
  </si>
  <si>
    <t>2015 KR photovoltaic panel production, single-Si wafer</t>
  </si>
  <si>
    <t>2015 MX photovoltaic panel production, single-Si wafer</t>
  </si>
  <si>
    <t>2015 MY photovoltaic panel production, single-Si wafer</t>
  </si>
  <si>
    <t>2015 TW photovoltaic panel production, single-Si wafer</t>
  </si>
  <si>
    <t>2020 KR photovoltaic panel production, single-Si wafer</t>
  </si>
  <si>
    <t>2020 CN photovoltaic panel production, single-Si wafer</t>
  </si>
  <si>
    <t>2020 MY photovoltaic panel production, single-Si wafer</t>
  </si>
  <si>
    <t>2020 SG photovoltaic panel production, single-Si wafer</t>
  </si>
  <si>
    <t xml:space="preserve">2020 TH photovoltaic panel production, single-Si wafer </t>
  </si>
  <si>
    <t>2020 VN photovoltaic panel production, single-Si wafer</t>
  </si>
  <si>
    <t>2020 US photovoltaic panel production, single-Si wafer</t>
  </si>
  <si>
    <t>2025 US photovoltaic panel production, single-Si wafer</t>
  </si>
  <si>
    <t>2030 US photovoltaic panel production, single-Si wafer</t>
  </si>
  <si>
    <t>2035 US photovoltaic panel production, single-Si wafer</t>
  </si>
  <si>
    <t>2040 US photovoltaic panel production, single-Si wafer</t>
  </si>
  <si>
    <t>2045 US photovoltaic panel production, single-Si wafer</t>
  </si>
  <si>
    <t>2050 US photovoltaic panel production, single-Si wafer</t>
  </si>
  <si>
    <t>2010 CN photovoltaic panel production, ribbon-Si</t>
  </si>
  <si>
    <t>2010 DE photovoltaic panel production, ribbon-Si</t>
  </si>
  <si>
    <t>2010 JP photovoltaic panel production, ribbon-Si</t>
  </si>
  <si>
    <t>2010 MX photovoltaic panel production, ribbon-Si</t>
  </si>
  <si>
    <t>2010 MY photovoltaic panel production, ribbon-Si</t>
  </si>
  <si>
    <t>2010 TW photovoltaic panel production, ribbon-Si</t>
  </si>
  <si>
    <t>2015 CN photovoltaic panel production, ribbon-Si</t>
  </si>
  <si>
    <t>2015 JP photovoltaic panel production, ribbon-Si</t>
  </si>
  <si>
    <t>2015 KR photovoltaic panel production, ribbon-Si</t>
  </si>
  <si>
    <t>2015 MX photovoltaic panel production, ribbon-Si</t>
  </si>
  <si>
    <t xml:space="preserve">2015 MY photovoltaic panel production, ribbon-Si </t>
  </si>
  <si>
    <t>2015 TW photovoltaic panel production, ribbon-Si</t>
  </si>
  <si>
    <t>2020 CN photovoltaic panel production, ribbon-Si</t>
  </si>
  <si>
    <t>2020 KR photovoltaic panel production, ribbon-Si</t>
  </si>
  <si>
    <t>2020 MY photovoltaic panel production, ribbon-Si</t>
  </si>
  <si>
    <t>2020 SG photovoltaic panel production, ribbon-Si</t>
  </si>
  <si>
    <t>2020 TH photovoltaic panel production, ribbon-Si</t>
  </si>
  <si>
    <t>2020 VN photovoltaic panel production, ribbon-Si</t>
  </si>
  <si>
    <t>2020 US photovoltaic panel production, ribbon-Si</t>
  </si>
  <si>
    <t>2025 US photovoltaic panel production, ribbon-Si</t>
  </si>
  <si>
    <t>2030 US photovoltaic panel production, ribbon-Si</t>
  </si>
  <si>
    <t>2035 US photovoltaic panel production, ribbon-Si</t>
  </si>
  <si>
    <t>2040 US photovoltaic panel production, ribbon-Si</t>
  </si>
  <si>
    <t>2045 US photovoltaic panel production, ribbon-Si</t>
  </si>
  <si>
    <t>2050 US photovoltaic panel production, ribbon-Si</t>
  </si>
  <si>
    <t>2010 CN photovoltaic panel production, multi-Si wafer</t>
  </si>
  <si>
    <t>2010 DE photovoltaic panel production, multi-Si wafer</t>
  </si>
  <si>
    <t>2010 JP photovoltaic panel production, multi-Si wafer</t>
  </si>
  <si>
    <t>2010 MX photovoltaic panel production, multi-Si wafer</t>
  </si>
  <si>
    <t>2010 MY photovoltaic panel production, multi-Si wafer</t>
  </si>
  <si>
    <t>2010 TW photovoltaic panel production, multi-Si wafer</t>
  </si>
  <si>
    <t>2015 CN photovoltaic panel production, multi-Si wafer</t>
  </si>
  <si>
    <t>2015 JP photovoltaic panel production, multi-Si wafer</t>
  </si>
  <si>
    <t>2015 KR photovoltaic panel production, multi-Si wafer</t>
  </si>
  <si>
    <t>2015 MX photovoltaic panel production, multi-Si wafer</t>
  </si>
  <si>
    <t>2015 MY photovoltaic panel production, multi-Si wafer</t>
  </si>
  <si>
    <t>2015 TW photovoltaic panel production, multi-Si wafer</t>
  </si>
  <si>
    <t>2020 CN photovoltaic panel production, multi-Si wafer</t>
  </si>
  <si>
    <t>2020 KR photovoltaic panel production, multi-Si wafer</t>
  </si>
  <si>
    <t>2020 MY photovoltaic panel production, multi-Si wafer</t>
  </si>
  <si>
    <t>2020 SG photovoltaic panel production, multi-Si wafer</t>
  </si>
  <si>
    <t>2020 TH photovoltaic panel production, multi-Si wafer</t>
  </si>
  <si>
    <t>2020 VN photovoltaic panel production, multi-Si wafer</t>
  </si>
  <si>
    <t>2020 US photovoltaic panel production, multi-Si wafer</t>
  </si>
  <si>
    <t>2025 US photovoltaic panel production, multi-Si wafer</t>
  </si>
  <si>
    <t>2030 US photovoltaic panel production, multi-Si wafer</t>
  </si>
  <si>
    <t>2035 US photovoltaic panel production, multi-Si wafer</t>
  </si>
  <si>
    <t>2040 US photovoltaic panel production, multi-Si wafer</t>
  </si>
  <si>
    <t>2045 US photovoltaic panel production, multi-Si wafer</t>
  </si>
  <si>
    <t>2050 US photovoltaic panel production, multi-Si wafer</t>
  </si>
  <si>
    <t>2015 Average Global photovoltaic panel production, multi-Si wafer</t>
  </si>
  <si>
    <t>2020 Average Global photovoltaic panel production, multi-Si wafer</t>
  </si>
  <si>
    <t>2010 Average Global photovoltaic panel production, multi-Si wafer</t>
  </si>
  <si>
    <t>2020 Average Global photovoltaic panel production, ribbon-Si</t>
  </si>
  <si>
    <t>2015 Average Global photovoltaic panel production, ribbon-Si</t>
  </si>
  <si>
    <t>2010 Average Global photovoltaic panel production, ribbon-Si</t>
  </si>
  <si>
    <t>2010 Average Global photovoltaic panel production, single-Si wafer</t>
  </si>
  <si>
    <t>2015 Average Global photovoltaic panel production, single-Si wafer</t>
  </si>
  <si>
    <t>2020 Average Global photovoltaic panel production, single-Si wafer</t>
  </si>
  <si>
    <t>CED (MJ)</t>
  </si>
  <si>
    <t>Energy Impact Analysis</t>
  </si>
  <si>
    <t>Energy Stage Breakdown</t>
  </si>
  <si>
    <t>IPCC GWP 100a (kg CO2 eq)</t>
  </si>
  <si>
    <t>GWP Stage Breakdown</t>
  </si>
  <si>
    <t xml:space="preserve">2025 reshored </t>
  </si>
  <si>
    <t>2030 reshored</t>
  </si>
  <si>
    <t>emission reduction compared to 2020 offshore case</t>
  </si>
  <si>
    <t xml:space="preserve">2035 reshored </t>
  </si>
  <si>
    <t xml:space="preserve">2040 reshored </t>
  </si>
  <si>
    <t xml:space="preserve">2045 reshored </t>
  </si>
  <si>
    <t xml:space="preserve">2050 reshored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</si>
</sst>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8"/>
      <color rgb="FF2E2E2E"/>
      <name val="Arial"/>
      <family val="2"/>
    </font>
    <font>
      <sz val="8"/>
      <color rgb="FF505050"/>
      <name val="Georgia"/>
      <family val="1"/>
    </font>
    <font>
      <sz val="8"/>
      <color rgb="FF222222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16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164" fontId="4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/>
    </xf>
    <xf numFmtId="9" fontId="0" fillId="0" borderId="0" xfId="0" applyNumberFormat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10" fontId="0" fillId="0" borderId="0" xfId="0" applyNumberFormat="1"/>
    <xf numFmtId="0" fontId="2" fillId="0" borderId="0" xfId="0" applyFont="1"/>
    <xf numFmtId="10" fontId="2" fillId="0" borderId="0" xfId="0" applyNumberFormat="1" applyFont="1"/>
    <xf numFmtId="9" fontId="2" fillId="0" borderId="0" xfId="0" applyNumberFormat="1" applyFont="1"/>
    <xf numFmtId="0" fontId="8" fillId="0" borderId="0" xfId="0" applyFont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horizontal="left"/>
    </xf>
    <xf numFmtId="9" fontId="2" fillId="3" borderId="0" xfId="1" applyFont="1" applyFill="1"/>
    <xf numFmtId="0" fontId="9" fillId="3" borderId="0" xfId="2" applyFill="1"/>
    <xf numFmtId="0" fontId="2" fillId="3" borderId="0" xfId="0" applyFont="1" applyFill="1"/>
    <xf numFmtId="0" fontId="2" fillId="3" borderId="0" xfId="0" applyFont="1" applyFill="1" applyAlignment="1">
      <alignment horizontal="left"/>
    </xf>
    <xf numFmtId="10" fontId="4" fillId="3" borderId="0" xfId="0" applyNumberFormat="1" applyFont="1" applyFill="1"/>
    <xf numFmtId="0" fontId="4" fillId="3" borderId="0" xfId="0" applyFont="1" applyFill="1"/>
    <xf numFmtId="10" fontId="0" fillId="3" borderId="0" xfId="0" applyNumberFormat="1" applyFill="1"/>
    <xf numFmtId="0" fontId="4" fillId="0" borderId="0" xfId="0" applyFont="1"/>
    <xf numFmtId="164" fontId="0" fillId="2" borderId="0" xfId="0" applyNumberFormat="1" applyFill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9" fontId="0" fillId="0" borderId="2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2" fillId="0" borderId="0" xfId="0" applyNumberFormat="1" applyFont="1"/>
    <xf numFmtId="2" fontId="4" fillId="0" borderId="0" xfId="0" applyNumberFormat="1" applyFont="1"/>
    <xf numFmtId="2" fontId="0" fillId="3" borderId="0" xfId="0" applyNumberFormat="1" applyFill="1"/>
    <xf numFmtId="2" fontId="4" fillId="3" borderId="0" xfId="0" applyNumberFormat="1" applyFont="1" applyFill="1"/>
    <xf numFmtId="2" fontId="2" fillId="3" borderId="0" xfId="1" applyNumberFormat="1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horizontal="left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2" fontId="3" fillId="2" borderId="0" xfId="0" applyNumberFormat="1" applyFont="1" applyFill="1" applyAlignment="1">
      <alignment horizontal="center" vertical="center"/>
    </xf>
    <xf numFmtId="9" fontId="2" fillId="2" borderId="0" xfId="0" applyNumberFormat="1" applyFont="1" applyFill="1"/>
    <xf numFmtId="0" fontId="0" fillId="2" borderId="0" xfId="0" applyFill="1" applyAlignment="1">
      <alignment horizontal="left"/>
    </xf>
    <xf numFmtId="9" fontId="0" fillId="2" borderId="0" xfId="0" applyNumberFormat="1" applyFill="1"/>
    <xf numFmtId="0" fontId="9" fillId="2" borderId="0" xfId="2" applyFill="1"/>
    <xf numFmtId="0" fontId="7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2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2" fontId="0" fillId="0" borderId="5" xfId="0" applyNumberFormat="1" applyBorder="1"/>
    <xf numFmtId="0" fontId="10" fillId="0" borderId="0" xfId="0" applyFont="1"/>
    <xf numFmtId="0" fontId="11" fillId="0" borderId="6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/>
    </xf>
    <xf numFmtId="164" fontId="11" fillId="0" borderId="4" xfId="0" applyNumberFormat="1" applyFont="1" applyBorder="1" applyAlignment="1">
      <alignment horizontal="center"/>
    </xf>
    <xf numFmtId="164" fontId="11" fillId="0" borderId="0" xfId="0" applyNumberFormat="1" applyFont="1" applyAlignment="1">
      <alignment horizontal="left" vertical="center"/>
    </xf>
    <xf numFmtId="164" fontId="12" fillId="0" borderId="0" xfId="0" applyNumberFormat="1" applyFont="1" applyAlignment="1">
      <alignment horizontal="left" vertical="center"/>
    </xf>
    <xf numFmtId="2" fontId="11" fillId="0" borderId="0" xfId="0" applyNumberFormat="1" applyFont="1" applyAlignment="1">
      <alignment horizontal="left" vertical="center"/>
    </xf>
    <xf numFmtId="164" fontId="11" fillId="0" borderId="4" xfId="0" applyNumberFormat="1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/>
    <xf numFmtId="165" fontId="0" fillId="0" borderId="0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136403211500146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ciencedirect.com/science/article/pii/S136403211500146X" TargetMode="External"/><Relationship Id="rId1" Type="http://schemas.openxmlformats.org/officeDocument/2006/relationships/hyperlink" Target="https://www.sciencedirect.com/science/article/pii/S136403211500146X" TargetMode="External"/><Relationship Id="rId6" Type="http://schemas.openxmlformats.org/officeDocument/2006/relationships/hyperlink" Target="https://www.nature.com/articles/s41578-022-00423-2" TargetMode="External"/><Relationship Id="rId5" Type="http://schemas.openxmlformats.org/officeDocument/2006/relationships/hyperlink" Target="https://www.nature.com/articles/s41578-022-00423-2" TargetMode="External"/><Relationship Id="rId4" Type="http://schemas.openxmlformats.org/officeDocument/2006/relationships/hyperlink" Target="https://www.nature.com/articles/s41578-022-00423-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136403211500146X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sciencedirect.com/science/article/pii/S136403211500146X" TargetMode="External"/><Relationship Id="rId1" Type="http://schemas.openxmlformats.org/officeDocument/2006/relationships/hyperlink" Target="https://www.sciencedirect.com/science/article/pii/S136403211500146X" TargetMode="External"/><Relationship Id="rId6" Type="http://schemas.openxmlformats.org/officeDocument/2006/relationships/hyperlink" Target="https://www.nature.com/articles/s41578-022-00423-2" TargetMode="External"/><Relationship Id="rId5" Type="http://schemas.openxmlformats.org/officeDocument/2006/relationships/hyperlink" Target="https://www.nature.com/articles/s41578-022-00423-2" TargetMode="External"/><Relationship Id="rId4" Type="http://schemas.openxmlformats.org/officeDocument/2006/relationships/hyperlink" Target="https://www.nature.com/articles/s41578-022-00423-2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136403211500146X" TargetMode="External"/><Relationship Id="rId2" Type="http://schemas.openxmlformats.org/officeDocument/2006/relationships/hyperlink" Target="https://www.sciencedirect.com/science/article/pii/S136403211500146X" TargetMode="External"/><Relationship Id="rId1" Type="http://schemas.openxmlformats.org/officeDocument/2006/relationships/hyperlink" Target="https://www.sciencedirect.com/science/article/pii/S136403211500146X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136403211500146X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sciencedirect.com/science/article/pii/S136403211500146X" TargetMode="External"/><Relationship Id="rId1" Type="http://schemas.openxmlformats.org/officeDocument/2006/relationships/hyperlink" Target="https://www.sciencedirect.com/science/article/pii/S136403211500146X" TargetMode="External"/><Relationship Id="rId6" Type="http://schemas.openxmlformats.org/officeDocument/2006/relationships/hyperlink" Target="https://www.nature.com/articles/s41578-022-00423-2" TargetMode="External"/><Relationship Id="rId5" Type="http://schemas.openxmlformats.org/officeDocument/2006/relationships/hyperlink" Target="https://www.nature.com/articles/s41578-022-00423-2" TargetMode="External"/><Relationship Id="rId4" Type="http://schemas.openxmlformats.org/officeDocument/2006/relationships/hyperlink" Target="https://www.nature.com/articles/s41578-022-00423-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136403211500146X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www.sciencedirect.com/science/article/pii/S136403211500146X" TargetMode="External"/><Relationship Id="rId1" Type="http://schemas.openxmlformats.org/officeDocument/2006/relationships/hyperlink" Target="https://www.sciencedirect.com/science/article/pii/S136403211500146X" TargetMode="External"/><Relationship Id="rId6" Type="http://schemas.openxmlformats.org/officeDocument/2006/relationships/hyperlink" Target="https://www.nature.com/articles/s41578-022-00423-2" TargetMode="External"/><Relationship Id="rId5" Type="http://schemas.openxmlformats.org/officeDocument/2006/relationships/hyperlink" Target="https://www.nature.com/articles/s41578-022-00423-2" TargetMode="External"/><Relationship Id="rId4" Type="http://schemas.openxmlformats.org/officeDocument/2006/relationships/hyperlink" Target="https://www.nature.com/articles/s41578-022-00423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D5725-78AB-42C3-9201-918150FDE139}">
  <dimension ref="A1:BF133"/>
  <sheetViews>
    <sheetView tabSelected="1" zoomScale="70" zoomScaleNormal="70" workbookViewId="0">
      <selection activeCell="F22" sqref="F22"/>
    </sheetView>
  </sheetViews>
  <sheetFormatPr defaultRowHeight="15" x14ac:dyDescent="0.25"/>
  <cols>
    <col min="5" max="5" width="79" customWidth="1"/>
    <col min="6" max="6" width="28.42578125" customWidth="1"/>
    <col min="7" max="7" width="10.7109375" customWidth="1"/>
    <col min="9" max="9" width="16.42578125" customWidth="1"/>
    <col min="10" max="10" width="14.7109375" style="1" customWidth="1"/>
    <col min="11" max="13" width="31.5703125" customWidth="1"/>
    <col min="14" max="15" width="10.28515625" bestFit="1" customWidth="1"/>
    <col min="16" max="17" width="11.42578125" bestFit="1" customWidth="1"/>
    <col min="18" max="20" width="10.5703125" bestFit="1" customWidth="1"/>
    <col min="21" max="22" width="9.28515625" bestFit="1" customWidth="1"/>
    <col min="23" max="23" width="13.140625" bestFit="1" customWidth="1"/>
    <col min="24" max="24" width="11.85546875" bestFit="1" customWidth="1"/>
    <col min="25" max="25" width="12.28515625" bestFit="1" customWidth="1"/>
    <col min="26" max="26" width="11.42578125" bestFit="1" customWidth="1"/>
    <col min="27" max="27" width="11.85546875" bestFit="1" customWidth="1"/>
    <col min="28" max="28" width="13.140625" bestFit="1" customWidth="1"/>
    <col min="29" max="30" width="11.85546875" bestFit="1" customWidth="1"/>
    <col min="31" max="32" width="12.7109375" bestFit="1" customWidth="1"/>
    <col min="33" max="35" width="11.85546875" bestFit="1" customWidth="1"/>
    <col min="36" max="36" width="10.5703125" bestFit="1" customWidth="1"/>
    <col min="37" max="37" width="13.140625" bestFit="1" customWidth="1"/>
    <col min="38" max="38" width="22.42578125" customWidth="1"/>
    <col min="39" max="39" width="11" customWidth="1"/>
    <col min="40" max="40" width="9.140625" style="42"/>
    <col min="41" max="41" width="17.42578125" style="1" customWidth="1"/>
    <col min="44" max="44" width="9.140625" style="51"/>
    <col min="47" max="47" width="9.140625" style="51"/>
    <col min="51" max="51" width="9.140625" style="51"/>
    <col min="54" max="54" width="9.140625" style="51"/>
    <col min="55" max="55" width="9.140625" style="1"/>
  </cols>
  <sheetData>
    <row r="1" spans="1:58" x14ac:dyDescent="0.25">
      <c r="AO1" s="101" t="s">
        <v>121</v>
      </c>
      <c r="AP1" s="102"/>
      <c r="AQ1" s="102"/>
      <c r="AR1" s="102"/>
      <c r="AS1" s="102" t="s">
        <v>122</v>
      </c>
      <c r="AT1" s="102"/>
      <c r="AU1" s="102"/>
      <c r="AV1" s="102" t="s">
        <v>121</v>
      </c>
      <c r="AW1" s="102"/>
      <c r="AX1" s="102"/>
      <c r="AY1" s="102"/>
      <c r="AZ1" s="102" t="s">
        <v>137</v>
      </c>
      <c r="BA1" s="102"/>
      <c r="BB1" s="102"/>
      <c r="BC1" s="102" t="s">
        <v>121</v>
      </c>
      <c r="BD1" s="102"/>
      <c r="BE1" s="102"/>
      <c r="BF1" s="102"/>
    </row>
    <row r="2" spans="1:58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 t="s">
        <v>16</v>
      </c>
      <c r="L2" s="4"/>
      <c r="M2" s="4"/>
      <c r="N2" s="4" t="s">
        <v>16</v>
      </c>
      <c r="O2" s="4" t="s">
        <v>16</v>
      </c>
      <c r="P2" s="4" t="s">
        <v>16</v>
      </c>
      <c r="Q2" s="4" t="s">
        <v>16</v>
      </c>
      <c r="R2" s="4" t="s">
        <v>16</v>
      </c>
      <c r="S2" s="4" t="s">
        <v>16</v>
      </c>
      <c r="T2" s="4" t="s">
        <v>16</v>
      </c>
      <c r="U2" s="4" t="s">
        <v>16</v>
      </c>
      <c r="V2" s="4" t="s">
        <v>17</v>
      </c>
      <c r="W2" s="4" t="s">
        <v>17</v>
      </c>
      <c r="X2" s="4" t="s">
        <v>17</v>
      </c>
      <c r="Y2" s="4" t="s">
        <v>17</v>
      </c>
      <c r="Z2" s="4" t="s">
        <v>17</v>
      </c>
      <c r="AA2" s="4" t="s">
        <v>17</v>
      </c>
      <c r="AB2" s="4" t="s">
        <v>17</v>
      </c>
      <c r="AC2" s="4" t="s">
        <v>17</v>
      </c>
      <c r="AD2" s="4" t="s">
        <v>17</v>
      </c>
      <c r="AE2" s="4" t="s">
        <v>17</v>
      </c>
      <c r="AF2" s="4" t="s">
        <v>17</v>
      </c>
      <c r="AG2" s="4" t="s">
        <v>17</v>
      </c>
      <c r="AH2" s="4" t="s">
        <v>17</v>
      </c>
      <c r="AI2" s="4" t="s">
        <v>17</v>
      </c>
      <c r="AJ2" s="4" t="s">
        <v>17</v>
      </c>
      <c r="AK2" s="4" t="s">
        <v>17</v>
      </c>
      <c r="AL2" s="3"/>
      <c r="AM2" s="3"/>
      <c r="AO2" s="1" t="s">
        <v>138</v>
      </c>
      <c r="AP2" s="44" t="s">
        <v>141</v>
      </c>
      <c r="AQ2" s="44" t="s">
        <v>142</v>
      </c>
      <c r="AR2" s="50" t="s">
        <v>143</v>
      </c>
      <c r="AS2" s="44" t="s">
        <v>138</v>
      </c>
      <c r="AT2" s="44" t="s">
        <v>145</v>
      </c>
      <c r="AU2" s="50" t="s">
        <v>142</v>
      </c>
      <c r="AV2" s="44" t="s">
        <v>138</v>
      </c>
      <c r="AW2" s="44" t="s">
        <v>141</v>
      </c>
      <c r="AX2" s="44" t="s">
        <v>142</v>
      </c>
      <c r="AY2" s="50" t="s">
        <v>143</v>
      </c>
      <c r="AZ2" s="44" t="s">
        <v>138</v>
      </c>
      <c r="BA2" s="44" t="s">
        <v>141</v>
      </c>
      <c r="BB2" s="50" t="s">
        <v>142</v>
      </c>
      <c r="BC2" s="1" t="s">
        <v>138</v>
      </c>
      <c r="BD2" s="44" t="s">
        <v>141</v>
      </c>
      <c r="BE2" s="44" t="s">
        <v>142</v>
      </c>
      <c r="BF2" s="44" t="s">
        <v>143</v>
      </c>
    </row>
    <row r="3" spans="1:58" x14ac:dyDescent="0.25">
      <c r="A3" s="4" t="s">
        <v>0</v>
      </c>
      <c r="B3" s="4" t="s">
        <v>1</v>
      </c>
      <c r="C3" s="4" t="s">
        <v>2</v>
      </c>
      <c r="D3" s="4" t="s">
        <v>25</v>
      </c>
      <c r="E3" s="4" t="s">
        <v>186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182</v>
      </c>
      <c r="K3" s="4" t="s">
        <v>8</v>
      </c>
      <c r="L3" s="4"/>
      <c r="M3" s="4"/>
      <c r="N3" s="5" t="s">
        <v>33</v>
      </c>
      <c r="O3" s="5" t="s">
        <v>34</v>
      </c>
      <c r="P3" s="5" t="s">
        <v>35</v>
      </c>
      <c r="Q3" s="5" t="s">
        <v>36</v>
      </c>
      <c r="R3" s="5" t="s">
        <v>37</v>
      </c>
      <c r="S3" s="5" t="s">
        <v>38</v>
      </c>
      <c r="T3" s="5" t="s">
        <v>39</v>
      </c>
      <c r="U3" s="5" t="s">
        <v>40</v>
      </c>
      <c r="V3" s="5" t="s">
        <v>41</v>
      </c>
      <c r="W3" s="5" t="s">
        <v>42</v>
      </c>
      <c r="X3" s="5" t="s">
        <v>43</v>
      </c>
      <c r="Y3" s="5" t="s">
        <v>44</v>
      </c>
      <c r="Z3" s="5" t="s">
        <v>45</v>
      </c>
      <c r="AA3" s="5" t="s">
        <v>46</v>
      </c>
      <c r="AB3" s="4" t="s">
        <v>15</v>
      </c>
      <c r="AC3" s="5" t="s">
        <v>33</v>
      </c>
      <c r="AD3" s="5" t="s">
        <v>34</v>
      </c>
      <c r="AE3" s="5" t="s">
        <v>35</v>
      </c>
      <c r="AF3" s="5" t="s">
        <v>36</v>
      </c>
      <c r="AG3" s="5" t="s">
        <v>37</v>
      </c>
      <c r="AH3" s="5" t="s">
        <v>38</v>
      </c>
      <c r="AI3" s="5" t="s">
        <v>39</v>
      </c>
      <c r="AJ3" s="5" t="s">
        <v>40</v>
      </c>
      <c r="AK3" s="4" t="s">
        <v>15</v>
      </c>
      <c r="AL3" s="6" t="s">
        <v>121</v>
      </c>
      <c r="AM3" s="6" t="s">
        <v>122</v>
      </c>
      <c r="AN3" s="13" t="s">
        <v>137</v>
      </c>
      <c r="AO3" s="49" t="s">
        <v>140</v>
      </c>
      <c r="AP3" s="44">
        <v>1000</v>
      </c>
      <c r="AQ3" s="44">
        <v>1700</v>
      </c>
      <c r="AR3" s="50">
        <v>2300</v>
      </c>
      <c r="AS3" s="44" t="s">
        <v>144</v>
      </c>
      <c r="AT3" s="45">
        <v>0.7</v>
      </c>
      <c r="AU3" s="52">
        <v>0.3</v>
      </c>
      <c r="AV3" s="44" t="s">
        <v>110</v>
      </c>
      <c r="AW3" s="44">
        <v>0.7</v>
      </c>
      <c r="AX3" s="44">
        <v>0.8</v>
      </c>
      <c r="AY3" s="50">
        <v>0.9</v>
      </c>
      <c r="AZ3" s="44" t="s">
        <v>107</v>
      </c>
      <c r="BA3" s="44" t="s">
        <v>146</v>
      </c>
      <c r="BB3" s="50" t="s">
        <v>147</v>
      </c>
      <c r="BC3" s="1" t="s">
        <v>148</v>
      </c>
      <c r="BD3" s="45">
        <v>0.18</v>
      </c>
      <c r="BE3" s="46">
        <v>0.20499999999999999</v>
      </c>
      <c r="BF3" s="45">
        <v>0.24</v>
      </c>
    </row>
    <row r="4" spans="1:58" x14ac:dyDescent="0.25">
      <c r="A4" s="4">
        <v>2010</v>
      </c>
      <c r="B4" s="4" t="s">
        <v>18</v>
      </c>
      <c r="C4" s="4" t="s">
        <v>19</v>
      </c>
      <c r="D4" s="4" t="s">
        <v>26</v>
      </c>
      <c r="E4" s="4" t="s">
        <v>187</v>
      </c>
      <c r="F4" s="4" t="s">
        <v>31</v>
      </c>
      <c r="G4" s="4">
        <v>1</v>
      </c>
      <c r="H4" s="4" t="s">
        <v>32</v>
      </c>
      <c r="I4" s="4" t="s">
        <v>49</v>
      </c>
      <c r="J4" s="12">
        <v>0.14592989871628637</v>
      </c>
      <c r="K4" s="6">
        <f>SUM(N4:U4)</f>
        <v>395.79079446630004</v>
      </c>
      <c r="L4" s="6"/>
      <c r="M4" s="6"/>
      <c r="N4" s="7">
        <v>19.900874701999999</v>
      </c>
      <c r="O4" s="7">
        <v>20.784450361999998</v>
      </c>
      <c r="P4" s="7">
        <v>113.22357630199998</v>
      </c>
      <c r="Q4" s="7">
        <v>109.87642057800005</v>
      </c>
      <c r="R4" s="7">
        <v>39.071338981499991</v>
      </c>
      <c r="S4" s="7">
        <v>38.566519522499959</v>
      </c>
      <c r="T4" s="7">
        <v>51.40326955200004</v>
      </c>
      <c r="U4" s="6">
        <v>2.9643444662999996</v>
      </c>
      <c r="V4" s="6">
        <v>5.8409999999999997E-2</v>
      </c>
      <c r="W4" s="6">
        <v>4106.9685134800002</v>
      </c>
      <c r="X4" s="6">
        <v>260.01896738557997</v>
      </c>
      <c r="Y4" s="6">
        <v>213.78842844106001</v>
      </c>
      <c r="Z4" s="6">
        <v>128.20138641996999</v>
      </c>
      <c r="AA4" s="6">
        <v>30.267852445203001</v>
      </c>
      <c r="AB4" s="6">
        <f>SUM(V4:AA4)</f>
        <v>4739.3035581718132</v>
      </c>
      <c r="AC4" s="7">
        <v>224.20150132300003</v>
      </c>
      <c r="AD4" s="7">
        <v>223.56372481599996</v>
      </c>
      <c r="AE4" s="7">
        <v>1238.9337949229998</v>
      </c>
      <c r="AF4" s="7">
        <v>1232.667692626</v>
      </c>
      <c r="AG4" s="7">
        <v>686.23131030149989</v>
      </c>
      <c r="AH4" s="7">
        <v>396.57372658910026</v>
      </c>
      <c r="AI4" s="7">
        <v>696.51457942140041</v>
      </c>
      <c r="AJ4" s="6">
        <v>40.617228171812997</v>
      </c>
      <c r="AK4" s="6">
        <f>SUM(AC4:AJ4)</f>
        <v>4739.3035581718132</v>
      </c>
      <c r="AL4" s="3">
        <f>K4*1000/(30*$G$103*$G$96*$G$105)</f>
        <v>69.291105473792015</v>
      </c>
      <c r="AM4" s="3">
        <f t="shared" ref="AM4:AM10" si="0">AK4*$G$98/($G$103*$G$96*$G$105)*0.277778</f>
        <v>2.0742766761268645</v>
      </c>
      <c r="AN4" s="42">
        <f>30/AM4</f>
        <v>14.46287293555104</v>
      </c>
      <c r="AO4" s="1" t="s">
        <v>121</v>
      </c>
      <c r="AP4" s="3">
        <f t="shared" ref="AP4:AP30" si="1">AL4*$AQ$3/$AP$3</f>
        <v>117.79487930544643</v>
      </c>
      <c r="AQ4" s="44" t="s">
        <v>121</v>
      </c>
      <c r="AR4" s="42">
        <f>AL4*$AQ$3/$AR$3</f>
        <v>51.215164915411492</v>
      </c>
      <c r="AS4" s="44" t="s">
        <v>122</v>
      </c>
      <c r="AT4" s="3"/>
      <c r="AU4" s="42"/>
      <c r="AV4" s="3" t="s">
        <v>121</v>
      </c>
      <c r="AW4" s="3">
        <f>AL4*$AX$3/$AW$3</f>
        <v>79.189834827190879</v>
      </c>
      <c r="AX4" s="3"/>
      <c r="AY4" s="42">
        <f>AL4*$AX$3/$AY$3</f>
        <v>61.592093754481795</v>
      </c>
      <c r="AZ4" s="3" t="s">
        <v>137</v>
      </c>
      <c r="BA4" s="3">
        <f>AN4/30*25</f>
        <v>12.052394112959201</v>
      </c>
      <c r="BB4" s="42"/>
      <c r="BC4" s="48" t="s">
        <v>121</v>
      </c>
      <c r="BD4" s="3">
        <f>AL4*BE$3/BD$3</f>
        <v>78.914870122929798</v>
      </c>
      <c r="BE4" s="3"/>
      <c r="BF4" s="3"/>
    </row>
    <row r="5" spans="1:58" x14ac:dyDescent="0.25">
      <c r="A5" s="4">
        <v>2010</v>
      </c>
      <c r="B5" s="4" t="s">
        <v>18</v>
      </c>
      <c r="C5" s="4" t="s">
        <v>20</v>
      </c>
      <c r="D5" s="4" t="s">
        <v>26</v>
      </c>
      <c r="E5" s="4" t="s">
        <v>188</v>
      </c>
      <c r="F5" s="4" t="s">
        <v>31</v>
      </c>
      <c r="G5" s="4">
        <v>1</v>
      </c>
      <c r="H5" s="4" t="s">
        <v>32</v>
      </c>
      <c r="I5" s="4" t="s">
        <v>50</v>
      </c>
      <c r="J5" s="12">
        <v>6.1044273387890396E-2</v>
      </c>
      <c r="K5" s="6">
        <f t="shared" ref="K5:K9" si="2">SUM(N5:U5)</f>
        <v>293.18981242550001</v>
      </c>
      <c r="L5" s="6"/>
      <c r="M5" s="6"/>
      <c r="N5" s="7">
        <v>14.999002041000001</v>
      </c>
      <c r="O5" s="7">
        <v>14.254108471999999</v>
      </c>
      <c r="P5" s="7">
        <v>78.742366601000001</v>
      </c>
      <c r="Q5" s="7">
        <v>72.236114927000003</v>
      </c>
      <c r="R5" s="7">
        <v>33.040273738499991</v>
      </c>
      <c r="S5" s="7">
        <v>28.148309514699974</v>
      </c>
      <c r="T5" s="7">
        <v>49.748384705800049</v>
      </c>
      <c r="U5" s="6">
        <v>2.0212524254999997</v>
      </c>
      <c r="V5" s="6">
        <v>4.9950000000000001E-2</v>
      </c>
      <c r="W5" s="6">
        <v>3585.5459698000004</v>
      </c>
      <c r="X5" s="6">
        <v>109.4443545883</v>
      </c>
      <c r="Y5" s="6">
        <v>989.1176637881</v>
      </c>
      <c r="Z5" s="6">
        <v>96.217806198450006</v>
      </c>
      <c r="AA5" s="6">
        <v>100.137626552155</v>
      </c>
      <c r="AB5" s="6">
        <f t="shared" ref="AB5:AB9" si="3">SUM(V5:AA5)</f>
        <v>4880.5133709270049</v>
      </c>
      <c r="AC5" s="7">
        <v>231.18992385000001</v>
      </c>
      <c r="AD5" s="7">
        <v>243.02945538</v>
      </c>
      <c r="AE5" s="7">
        <v>1345.8425188740002</v>
      </c>
      <c r="AF5" s="7">
        <v>1282.6300907999998</v>
      </c>
      <c r="AG5" s="7">
        <v>633.95120344950055</v>
      </c>
      <c r="AH5" s="7">
        <v>410.80536496769901</v>
      </c>
      <c r="AI5" s="7">
        <v>705.36976267879982</v>
      </c>
      <c r="AJ5" s="6">
        <v>27.695050927005006</v>
      </c>
      <c r="AK5" s="6">
        <f t="shared" ref="AK5:AK9" si="4">SUM(AC5:AJ5)</f>
        <v>4880.513370927004</v>
      </c>
      <c r="AL5" s="3">
        <f t="shared" ref="AL5:AL10" si="5">K5*1000/(30*$G$103*$G$96*$G$105)</f>
        <v>51.328748673932068</v>
      </c>
      <c r="AM5" s="3">
        <f t="shared" si="0"/>
        <v>2.1360807402563466</v>
      </c>
      <c r="AN5" s="42">
        <f t="shared" ref="AN5:AN31" si="6">30/AM5</f>
        <v>14.044412944989974</v>
      </c>
      <c r="AP5" s="3">
        <f t="shared" si="1"/>
        <v>87.258872745684528</v>
      </c>
      <c r="AQ5" s="44"/>
      <c r="AR5" s="42">
        <f t="shared" ref="AR5:AR31" si="7">AL5*$AQ$3/$AR$3</f>
        <v>37.93864032421066</v>
      </c>
      <c r="AS5" s="44"/>
      <c r="AT5" s="3"/>
      <c r="AU5" s="42"/>
      <c r="AV5" s="3"/>
      <c r="AW5" s="3">
        <f t="shared" ref="AW5:AW31" si="8">AL5*$AX$3/$AW$3</f>
        <v>58.661427055922374</v>
      </c>
      <c r="AX5" s="3"/>
      <c r="AY5" s="42">
        <f t="shared" ref="AY5:AY31" si="9">AL5*$AX$3/$AY$3</f>
        <v>45.625554376828511</v>
      </c>
      <c r="AZ5" s="3"/>
      <c r="BA5" s="3">
        <f t="shared" ref="BA5:BA31" si="10">AN5/30*25</f>
        <v>11.70367745415831</v>
      </c>
      <c r="BB5" s="42"/>
      <c r="BC5" s="48"/>
      <c r="BD5" s="3">
        <f t="shared" ref="BD5:BD30" si="11">AL5*BE$3/BD$3</f>
        <v>58.457741545311521</v>
      </c>
      <c r="BE5" s="3"/>
      <c r="BF5" s="3"/>
    </row>
    <row r="6" spans="1:58" x14ac:dyDescent="0.25">
      <c r="A6" s="4">
        <v>2010</v>
      </c>
      <c r="B6" s="4" t="s">
        <v>18</v>
      </c>
      <c r="C6" s="4" t="s">
        <v>21</v>
      </c>
      <c r="D6" s="4" t="s">
        <v>26</v>
      </c>
      <c r="E6" s="4" t="s">
        <v>189</v>
      </c>
      <c r="F6" s="4" t="s">
        <v>31</v>
      </c>
      <c r="G6" s="4">
        <v>1</v>
      </c>
      <c r="H6" s="4" t="s">
        <v>32</v>
      </c>
      <c r="I6" s="4" t="s">
        <v>51</v>
      </c>
      <c r="J6" s="12">
        <v>5.6839615257396746E-2</v>
      </c>
      <c r="K6" s="6">
        <f t="shared" si="2"/>
        <v>277.02541263045003</v>
      </c>
      <c r="L6" s="6"/>
      <c r="M6" s="6"/>
      <c r="N6" s="7">
        <v>13.752954067999999</v>
      </c>
      <c r="O6" s="7">
        <v>12.199871677999999</v>
      </c>
      <c r="P6" s="7">
        <v>67.579745395999993</v>
      </c>
      <c r="Q6" s="7">
        <v>69.834965906999997</v>
      </c>
      <c r="R6" s="7">
        <v>35.603853046500006</v>
      </c>
      <c r="S6" s="7">
        <v>26.146976315499984</v>
      </c>
      <c r="T6" s="7">
        <v>49.336213589000039</v>
      </c>
      <c r="U6" s="6">
        <v>2.57083263045</v>
      </c>
      <c r="V6" s="6">
        <v>6.1339999999999999E-2</v>
      </c>
      <c r="W6" s="6">
        <v>3533.8488228199999</v>
      </c>
      <c r="X6" s="6">
        <v>152.37678118297001</v>
      </c>
      <c r="Y6" s="6">
        <v>1097.08717893379</v>
      </c>
      <c r="Z6" s="6">
        <v>116.339052478855</v>
      </c>
      <c r="AA6" s="6">
        <v>27.900752746914499</v>
      </c>
      <c r="AB6" s="6">
        <f t="shared" si="3"/>
        <v>4927.6139281625292</v>
      </c>
      <c r="AC6" s="7">
        <v>233.49998259199998</v>
      </c>
      <c r="AD6" s="7">
        <v>238.93140818800001</v>
      </c>
      <c r="AE6" s="7">
        <v>1320.6434839999997</v>
      </c>
      <c r="AF6" s="7">
        <v>1292.9380586770003</v>
      </c>
      <c r="AG6" s="7">
        <v>691.47543365699994</v>
      </c>
      <c r="AH6" s="7">
        <v>415.25926010699959</v>
      </c>
      <c r="AI6" s="7">
        <v>699.6409427790004</v>
      </c>
      <c r="AJ6" s="6">
        <v>35.225358162529503</v>
      </c>
      <c r="AK6" s="6">
        <f t="shared" si="4"/>
        <v>4927.6139281625292</v>
      </c>
      <c r="AL6" s="3">
        <f t="shared" si="5"/>
        <v>48.49884674902836</v>
      </c>
      <c r="AM6" s="3">
        <f t="shared" si="0"/>
        <v>2.1566954964345553</v>
      </c>
      <c r="AN6" s="42">
        <f t="shared" si="6"/>
        <v>13.910169539277074</v>
      </c>
      <c r="AP6" s="3">
        <f t="shared" si="1"/>
        <v>82.448039473348203</v>
      </c>
      <c r="AQ6" s="44"/>
      <c r="AR6" s="42">
        <f t="shared" si="7"/>
        <v>35.846973684064437</v>
      </c>
      <c r="AS6" s="44"/>
      <c r="AT6" s="3"/>
      <c r="AU6" s="42"/>
      <c r="AV6" s="3"/>
      <c r="AW6" s="3">
        <f t="shared" si="8"/>
        <v>55.42725342746099</v>
      </c>
      <c r="AX6" s="3"/>
      <c r="AY6" s="42">
        <f t="shared" si="9"/>
        <v>43.110085999136324</v>
      </c>
      <c r="AZ6" s="3"/>
      <c r="BA6" s="3">
        <f t="shared" si="10"/>
        <v>11.591807949397563</v>
      </c>
      <c r="BB6" s="42"/>
      <c r="BC6" s="48"/>
      <c r="BD6" s="3">
        <f t="shared" si="11"/>
        <v>55.234797686393414</v>
      </c>
      <c r="BE6" s="3"/>
      <c r="BF6" s="3"/>
    </row>
    <row r="7" spans="1:58" x14ac:dyDescent="0.25">
      <c r="A7" s="4">
        <v>2010</v>
      </c>
      <c r="B7" s="4" t="s">
        <v>18</v>
      </c>
      <c r="C7" s="4" t="s">
        <v>22</v>
      </c>
      <c r="D7" s="4" t="s">
        <v>26</v>
      </c>
      <c r="E7" s="4" t="s">
        <v>190</v>
      </c>
      <c r="F7" s="4" t="s">
        <v>31</v>
      </c>
      <c r="G7" s="4">
        <v>1</v>
      </c>
      <c r="H7" s="4" t="s">
        <v>32</v>
      </c>
      <c r="I7" s="4" t="s">
        <v>52</v>
      </c>
      <c r="J7" s="12">
        <v>1.9122845523667789E-2</v>
      </c>
      <c r="K7" s="6">
        <f t="shared" si="2"/>
        <v>290.18299700000006</v>
      </c>
      <c r="L7" s="6"/>
      <c r="M7" s="6"/>
      <c r="N7" s="7">
        <v>14.638328412000002</v>
      </c>
      <c r="O7" s="7">
        <v>13.121503843999999</v>
      </c>
      <c r="P7" s="7">
        <v>72.479966955999998</v>
      </c>
      <c r="Q7" s="7">
        <v>75.581590641000005</v>
      </c>
      <c r="R7" s="7">
        <v>36.10324615799999</v>
      </c>
      <c r="S7" s="7">
        <v>27.928987918099978</v>
      </c>
      <c r="T7" s="7">
        <v>49.633886070900019</v>
      </c>
      <c r="U7" s="6">
        <v>0.69548699999999997</v>
      </c>
      <c r="V7" s="6">
        <v>5.4539999999999998E-2</v>
      </c>
      <c r="W7" s="6">
        <v>3965.9993100000002</v>
      </c>
      <c r="X7" s="6">
        <v>219.8752313</v>
      </c>
      <c r="Y7" s="6">
        <v>234.23221150000001</v>
      </c>
      <c r="Z7" s="6">
        <v>80.748633080000005</v>
      </c>
      <c r="AA7" s="6">
        <v>73.8439784941</v>
      </c>
      <c r="AB7" s="6">
        <f t="shared" si="3"/>
        <v>4574.7539043741008</v>
      </c>
      <c r="AC7" s="7">
        <v>218.17765180600003</v>
      </c>
      <c r="AD7" s="7">
        <v>212.10760191399993</v>
      </c>
      <c r="AE7" s="7">
        <v>1178.0216047820002</v>
      </c>
      <c r="AF7" s="7">
        <v>1193.4817716979996</v>
      </c>
      <c r="AG7" s="7">
        <v>682.8341776530001</v>
      </c>
      <c r="AH7" s="7">
        <v>384.41913523030007</v>
      </c>
      <c r="AI7" s="7">
        <v>694.48923691670007</v>
      </c>
      <c r="AJ7" s="6">
        <v>11.2227243741</v>
      </c>
      <c r="AK7" s="6">
        <f t="shared" si="4"/>
        <v>4574.7539043740999</v>
      </c>
      <c r="AL7" s="3">
        <f t="shared" si="5"/>
        <v>50.802345413165263</v>
      </c>
      <c r="AM7" s="3">
        <f t="shared" si="0"/>
        <v>2.0022573372624399</v>
      </c>
      <c r="AN7" s="42">
        <f t="shared" si="6"/>
        <v>14.983089057382157</v>
      </c>
      <c r="AP7" s="3">
        <f t="shared" si="1"/>
        <v>86.36398720238094</v>
      </c>
      <c r="AQ7" s="44"/>
      <c r="AR7" s="42">
        <f t="shared" si="7"/>
        <v>37.549559653209108</v>
      </c>
      <c r="AS7" s="44"/>
      <c r="AT7" s="3"/>
      <c r="AU7" s="42"/>
      <c r="AV7" s="3"/>
      <c r="AW7" s="3">
        <f t="shared" si="8"/>
        <v>58.059823329331735</v>
      </c>
      <c r="AX7" s="3"/>
      <c r="AY7" s="42">
        <f t="shared" si="9"/>
        <v>45.157640367258011</v>
      </c>
      <c r="AZ7" s="3"/>
      <c r="BA7" s="3">
        <f t="shared" si="10"/>
        <v>12.485907547818464</v>
      </c>
      <c r="BB7" s="42"/>
      <c r="BC7" s="48"/>
      <c r="BD7" s="3">
        <f t="shared" si="11"/>
        <v>57.858226720549325</v>
      </c>
      <c r="BE7" s="3"/>
      <c r="BF7" s="3"/>
    </row>
    <row r="8" spans="1:58" x14ac:dyDescent="0.25">
      <c r="A8" s="4">
        <v>2010</v>
      </c>
      <c r="B8" s="4" t="s">
        <v>18</v>
      </c>
      <c r="C8" s="4" t="s">
        <v>23</v>
      </c>
      <c r="D8" s="4" t="s">
        <v>26</v>
      </c>
      <c r="E8" s="4" t="s">
        <v>191</v>
      </c>
      <c r="F8" s="4" t="s">
        <v>31</v>
      </c>
      <c r="G8" s="4">
        <v>1</v>
      </c>
      <c r="H8" s="4" t="s">
        <v>32</v>
      </c>
      <c r="I8" s="4" t="s">
        <v>53</v>
      </c>
      <c r="J8" s="12">
        <v>0.29638843777954382</v>
      </c>
      <c r="K8" s="6">
        <f t="shared" si="2"/>
        <v>353.50448997680002</v>
      </c>
      <c r="L8" s="6"/>
      <c r="M8" s="6"/>
      <c r="N8" s="7">
        <v>17.728566615000002</v>
      </c>
      <c r="O8" s="7">
        <v>17.569549623999997</v>
      </c>
      <c r="P8" s="7">
        <v>96.130061574999985</v>
      </c>
      <c r="Q8" s="7">
        <v>95.639828176000009</v>
      </c>
      <c r="R8" s="7">
        <v>37.846165290000016</v>
      </c>
      <c r="S8" s="7">
        <v>34.14887693999998</v>
      </c>
      <c r="T8" s="7">
        <v>50.672891780000043</v>
      </c>
      <c r="U8" s="6">
        <v>3.7685499767999997</v>
      </c>
      <c r="V8" s="6">
        <v>5.7750000000000003E-2</v>
      </c>
      <c r="W8" s="6">
        <v>4652.0028892799992</v>
      </c>
      <c r="X8" s="6">
        <v>130.30439093487999</v>
      </c>
      <c r="Y8" s="6">
        <v>145.89539385616001</v>
      </c>
      <c r="Z8" s="6">
        <v>116.86378877992</v>
      </c>
      <c r="AA8" s="6">
        <v>18.549329621207999</v>
      </c>
      <c r="AB8" s="6">
        <f t="shared" si="3"/>
        <v>5063.6735424721664</v>
      </c>
      <c r="AC8" s="7">
        <v>240.56454690500001</v>
      </c>
      <c r="AD8" s="7">
        <v>246.23738669200003</v>
      </c>
      <c r="AE8" s="7">
        <v>1359.4886529689998</v>
      </c>
      <c r="AF8" s="7">
        <v>1338.7917756419999</v>
      </c>
      <c r="AG8" s="7">
        <v>695.46025128899964</v>
      </c>
      <c r="AH8" s="7">
        <v>429.47835000030045</v>
      </c>
      <c r="AI8" s="7">
        <v>702.01618650269847</v>
      </c>
      <c r="AJ8" s="6">
        <v>51.636392472167991</v>
      </c>
      <c r="AK8" s="6">
        <f t="shared" si="4"/>
        <v>5063.6735424721664</v>
      </c>
      <c r="AL8" s="3">
        <f t="shared" si="5"/>
        <v>61.888040962324915</v>
      </c>
      <c r="AM8" s="3">
        <f t="shared" si="0"/>
        <v>2.216245445295431</v>
      </c>
      <c r="AN8" s="42">
        <f t="shared" si="6"/>
        <v>13.536406837826993</v>
      </c>
      <c r="AO8" s="1">
        <f>1-AL25/AL24</f>
        <v>0.23370826969689662</v>
      </c>
      <c r="AP8" s="3">
        <f t="shared" si="1"/>
        <v>105.20966963595235</v>
      </c>
      <c r="AQ8" s="44"/>
      <c r="AR8" s="42">
        <f t="shared" si="7"/>
        <v>45.743334624327105</v>
      </c>
      <c r="AS8" s="44"/>
      <c r="AT8" s="3"/>
      <c r="AU8" s="42"/>
      <c r="AV8" s="3"/>
      <c r="AW8" s="3">
        <f t="shared" si="8"/>
        <v>70.729189671228482</v>
      </c>
      <c r="AX8" s="3"/>
      <c r="AY8" s="42">
        <f t="shared" si="9"/>
        <v>55.011591966511034</v>
      </c>
      <c r="AZ8" s="3"/>
      <c r="BA8" s="3">
        <f t="shared" si="10"/>
        <v>11.280339031522495</v>
      </c>
      <c r="BB8" s="42"/>
      <c r="BC8" s="48"/>
      <c r="BD8" s="3">
        <f t="shared" si="11"/>
        <v>70.483602207092261</v>
      </c>
      <c r="BE8" s="3"/>
      <c r="BF8" s="3"/>
    </row>
    <row r="9" spans="1:58" x14ac:dyDescent="0.25">
      <c r="A9" s="4">
        <v>2010</v>
      </c>
      <c r="B9" s="4" t="s">
        <v>18</v>
      </c>
      <c r="C9" s="4" t="s">
        <v>24</v>
      </c>
      <c r="D9" s="4" t="s">
        <v>26</v>
      </c>
      <c r="E9" s="4" t="s">
        <v>192</v>
      </c>
      <c r="F9" s="4" t="s">
        <v>31</v>
      </c>
      <c r="G9" s="4">
        <v>1</v>
      </c>
      <c r="H9" s="4" t="s">
        <v>32</v>
      </c>
      <c r="I9" s="4" t="s">
        <v>54</v>
      </c>
      <c r="J9" s="12">
        <v>0.42067492933521489</v>
      </c>
      <c r="K9" s="6">
        <f t="shared" si="2"/>
        <v>346.71775278500002</v>
      </c>
      <c r="L9" s="6"/>
      <c r="M9" s="6"/>
      <c r="N9" s="7">
        <v>17.326727001999998</v>
      </c>
      <c r="O9" s="7">
        <v>17.266237501999999</v>
      </c>
      <c r="P9" s="7">
        <v>94.517401449999994</v>
      </c>
      <c r="Q9" s="7">
        <v>93.031638083000018</v>
      </c>
      <c r="R9" s="7">
        <v>37.619483585999973</v>
      </c>
      <c r="S9" s="7">
        <v>33.340066724600035</v>
      </c>
      <c r="T9" s="7">
        <v>50.537785652399975</v>
      </c>
      <c r="U9" s="6">
        <v>3.0784127849999998</v>
      </c>
      <c r="V9" s="6">
        <v>5.8599999999999999E-2</v>
      </c>
      <c r="W9" s="6">
        <v>4148.9250160000001</v>
      </c>
      <c r="X9" s="6">
        <v>92.774854981000004</v>
      </c>
      <c r="Y9" s="6">
        <v>748.09213176699996</v>
      </c>
      <c r="Z9" s="6">
        <v>79.124675591499994</v>
      </c>
      <c r="AA9" s="6">
        <v>23.63204548085</v>
      </c>
      <c r="AB9" s="6">
        <f t="shared" si="3"/>
        <v>5092.6073238203508</v>
      </c>
      <c r="AC9" s="7">
        <v>241.29399489499994</v>
      </c>
      <c r="AD9" s="7">
        <v>251.11301065000001</v>
      </c>
      <c r="AE9" s="7">
        <v>1385.412771279</v>
      </c>
      <c r="AF9" s="7">
        <v>1343.528030787</v>
      </c>
      <c r="AG9" s="7">
        <v>695.8711895309998</v>
      </c>
      <c r="AH9" s="7">
        <v>430.94669162150012</v>
      </c>
      <c r="AI9" s="7">
        <v>702.26145123649985</v>
      </c>
      <c r="AJ9" s="6">
        <v>42.180183820350003</v>
      </c>
      <c r="AK9" s="6">
        <f t="shared" si="4"/>
        <v>5092.6073238203498</v>
      </c>
      <c r="AL9" s="3">
        <f t="shared" si="5"/>
        <v>60.699886692051813</v>
      </c>
      <c r="AM9" s="3">
        <f t="shared" si="0"/>
        <v>2.2289090502040483</v>
      </c>
      <c r="AN9" s="42">
        <f t="shared" si="6"/>
        <v>13.459499389288052</v>
      </c>
      <c r="AO9" s="1">
        <f>1-AL28/AL24</f>
        <v>0.30889066185497493</v>
      </c>
      <c r="AP9" s="3">
        <f t="shared" si="1"/>
        <v>103.18980737648808</v>
      </c>
      <c r="AQ9" s="44"/>
      <c r="AR9" s="42">
        <f t="shared" si="7"/>
        <v>44.865133641951338</v>
      </c>
      <c r="AS9" s="44"/>
      <c r="AT9" s="3"/>
      <c r="AU9" s="42"/>
      <c r="AV9" s="3"/>
      <c r="AW9" s="3">
        <f t="shared" si="8"/>
        <v>69.371299076630649</v>
      </c>
      <c r="AX9" s="3"/>
      <c r="AY9" s="42">
        <f t="shared" si="9"/>
        <v>53.955454837379392</v>
      </c>
      <c r="AZ9" s="3"/>
      <c r="BA9" s="3">
        <f t="shared" si="10"/>
        <v>11.216249491073377</v>
      </c>
      <c r="BB9" s="42"/>
      <c r="BC9" s="48"/>
      <c r="BD9" s="3">
        <f t="shared" si="11"/>
        <v>69.13042651039234</v>
      </c>
      <c r="BE9" s="3"/>
      <c r="BF9" s="3"/>
    </row>
    <row r="10" spans="1:58" x14ac:dyDescent="0.25">
      <c r="A10" s="4">
        <v>2010</v>
      </c>
      <c r="B10" s="4" t="s">
        <v>18</v>
      </c>
      <c r="C10" s="4"/>
      <c r="D10" s="4"/>
      <c r="E10" s="4"/>
      <c r="F10" s="4"/>
      <c r="G10" s="4"/>
      <c r="H10" s="4"/>
      <c r="I10" s="4"/>
      <c r="J10" s="8"/>
      <c r="K10" s="10">
        <f>$J4*K4+$J5*K5+$J6*K6+$J7*K7+$J8*K8+$J9*K9</f>
        <v>347.58052179358708</v>
      </c>
      <c r="L10" s="10"/>
      <c r="M10" s="10"/>
      <c r="N10" s="6">
        <f>$J4*N4+$J5*N5+$J6*N6+$J7*N7+$J8*N8+$J9*N9</f>
        <v>17.424836741857192</v>
      </c>
      <c r="O10" s="6">
        <f t="shared" ref="O10:AJ10" si="12">$J4*O4+$J5*O5+$J6*O6+$J7*O7+$J8*O8+$J9*O9</f>
        <v>17.318445540666328</v>
      </c>
      <c r="P10" s="6">
        <f t="shared" si="12"/>
        <v>94.809645465001594</v>
      </c>
      <c r="Q10" s="6">
        <f t="shared" si="12"/>
        <v>93.341200789360684</v>
      </c>
      <c r="R10" s="6">
        <f t="shared" si="12"/>
        <v>37.475441556627374</v>
      </c>
      <c r="S10" s="6">
        <f t="shared" si="12"/>
        <v>33.513229686262846</v>
      </c>
      <c r="T10" s="6">
        <f t="shared" si="12"/>
        <v>50.570359091252492</v>
      </c>
      <c r="U10" s="6">
        <f t="shared" si="12"/>
        <v>3.1273629225585449</v>
      </c>
      <c r="V10" s="6">
        <f t="shared" si="12"/>
        <v>5.7870411975305222E-2</v>
      </c>
      <c r="W10" s="6">
        <f t="shared" si="12"/>
        <v>4219.0589540699584</v>
      </c>
      <c r="X10" s="6">
        <f t="shared" si="12"/>
        <v>135.13994080459264</v>
      </c>
      <c r="Y10" s="6">
        <f t="shared" si="12"/>
        <v>516.3606048733626</v>
      </c>
      <c r="Z10" s="6">
        <f t="shared" si="12"/>
        <v>100.66161512346446</v>
      </c>
      <c r="AA10" s="6">
        <f t="shared" si="12"/>
        <v>28.967004229465111</v>
      </c>
      <c r="AB10" s="10">
        <f t="shared" si="12"/>
        <v>5000.2459895128177</v>
      </c>
      <c r="AC10" s="6">
        <f t="shared" si="12"/>
        <v>237.0816344952531</v>
      </c>
      <c r="AD10" s="6">
        <f t="shared" si="12"/>
        <v>243.71592082957352</v>
      </c>
      <c r="AE10" s="6">
        <f t="shared" si="12"/>
        <v>1346.2905922534223</v>
      </c>
      <c r="AF10" s="6">
        <f t="shared" si="12"/>
        <v>1316.4841251222563</v>
      </c>
      <c r="AG10" s="6">
        <f t="shared" si="12"/>
        <v>690.06362719242111</v>
      </c>
      <c r="AH10" s="6">
        <f t="shared" si="12"/>
        <v>422.48452934073646</v>
      </c>
      <c r="AI10" s="6">
        <f t="shared" si="12"/>
        <v>701.24228625043406</v>
      </c>
      <c r="AJ10" s="6">
        <f t="shared" si="12"/>
        <v>42.883274028720777</v>
      </c>
      <c r="AK10" s="10">
        <f>$J4*AK4+$J5*AK5+$J6*AK6+$J7*AK7+$J8*AK8+$J9*AK9</f>
        <v>5000.2459895128177</v>
      </c>
      <c r="AL10" s="41">
        <f t="shared" si="5"/>
        <v>60.85093168655235</v>
      </c>
      <c r="AM10" s="41">
        <f t="shared" si="0"/>
        <v>2.1884847644037158</v>
      </c>
      <c r="AN10" s="43">
        <f t="shared" si="6"/>
        <v>13.708114622481245</v>
      </c>
      <c r="AO10" s="1">
        <f>1-AL31/AL24</f>
        <v>0.33371227535556491</v>
      </c>
      <c r="AP10" s="41">
        <f t="shared" si="1"/>
        <v>103.446583867139</v>
      </c>
      <c r="AQ10" s="53"/>
      <c r="AR10" s="43">
        <f t="shared" si="7"/>
        <v>44.976775594408259</v>
      </c>
      <c r="AS10" s="53"/>
      <c r="AT10" s="41"/>
      <c r="AU10" s="43"/>
      <c r="AV10" s="41"/>
      <c r="AW10" s="41">
        <f t="shared" si="8"/>
        <v>69.543921927488412</v>
      </c>
      <c r="AX10" s="41"/>
      <c r="AY10" s="43">
        <f t="shared" si="9"/>
        <v>54.089717054713198</v>
      </c>
      <c r="AZ10" s="41"/>
      <c r="BA10" s="41">
        <f t="shared" si="10"/>
        <v>11.423428852067705</v>
      </c>
      <c r="BB10" s="43"/>
      <c r="BC10" s="54"/>
      <c r="BD10" s="41">
        <f t="shared" si="11"/>
        <v>69.302449976351284</v>
      </c>
      <c r="BE10" s="3"/>
      <c r="BF10" s="3"/>
    </row>
    <row r="11" spans="1:58" x14ac:dyDescent="0.25">
      <c r="A11" s="4">
        <v>2015</v>
      </c>
      <c r="B11" s="4" t="s">
        <v>18</v>
      </c>
      <c r="C11" s="4" t="s">
        <v>19</v>
      </c>
      <c r="D11" s="4" t="s">
        <v>26</v>
      </c>
      <c r="E11" s="4" t="s">
        <v>193</v>
      </c>
      <c r="F11" s="4" t="s">
        <v>31</v>
      </c>
      <c r="G11" s="4">
        <v>1</v>
      </c>
      <c r="H11" s="4" t="s">
        <v>32</v>
      </c>
      <c r="I11" s="4" t="s">
        <v>49</v>
      </c>
      <c r="J11" s="12">
        <v>0.36245376315328581</v>
      </c>
      <c r="K11" s="6">
        <f>SUM(N11:U11)</f>
        <v>374.15053446630003</v>
      </c>
      <c r="L11" s="6"/>
      <c r="M11" s="6"/>
      <c r="N11" s="7">
        <v>18.787431636000001</v>
      </c>
      <c r="O11" s="7">
        <v>19.192495321999999</v>
      </c>
      <c r="P11" s="7">
        <v>104.75922158799999</v>
      </c>
      <c r="Q11" s="7">
        <v>102.64932573600001</v>
      </c>
      <c r="R11" s="7">
        <v>38.443348541999967</v>
      </c>
      <c r="S11" s="7">
        <v>36.325463169499983</v>
      </c>
      <c r="T11" s="7">
        <v>51.028904006500056</v>
      </c>
      <c r="U11" s="6">
        <v>2.9643444662999996</v>
      </c>
      <c r="V11" s="6">
        <v>5.8790000000000002E-2</v>
      </c>
      <c r="W11" s="6">
        <v>3920.8993634800004</v>
      </c>
      <c r="X11" s="6">
        <v>281.99506738558</v>
      </c>
      <c r="Y11" s="6">
        <v>255.41528844106</v>
      </c>
      <c r="Z11" s="6">
        <v>139.34066641996998</v>
      </c>
      <c r="AA11" s="6">
        <v>52.636512445203003</v>
      </c>
      <c r="AB11" s="6">
        <f>SUM(V11:AA11)</f>
        <v>4650.345688171813</v>
      </c>
      <c r="AC11" s="7">
        <v>219.63631852000003</v>
      </c>
      <c r="AD11" s="7">
        <v>217.00000348399996</v>
      </c>
      <c r="AE11" s="7">
        <v>1204.0347592719997</v>
      </c>
      <c r="AF11" s="7">
        <v>1203.0359919080001</v>
      </c>
      <c r="AG11" s="7">
        <v>683.65649554500033</v>
      </c>
      <c r="AH11" s="7">
        <v>387.3852057952995</v>
      </c>
      <c r="AI11" s="7">
        <v>694.97968547570053</v>
      </c>
      <c r="AJ11" s="6">
        <v>40.617228171812997</v>
      </c>
      <c r="AK11" s="6">
        <f>SUM(AC11:AJ11)</f>
        <v>4650.345688171813</v>
      </c>
      <c r="AL11" s="3">
        <f>K11*1000/(30*$G$103*$G$96*$G$109)</f>
        <v>53.94327198187716</v>
      </c>
      <c r="AM11" s="3">
        <f>AK11*$G$98/($G$103*$G$96*$G$109)*0.277778</f>
        <v>1.6761640024684124</v>
      </c>
      <c r="AN11" s="42">
        <f t="shared" si="6"/>
        <v>17.89800995357276</v>
      </c>
      <c r="AP11" s="3">
        <f t="shared" si="1"/>
        <v>91.703562369191175</v>
      </c>
      <c r="AQ11" s="44"/>
      <c r="AR11" s="42">
        <f t="shared" si="7"/>
        <v>39.87111407356138</v>
      </c>
      <c r="AS11" s="44"/>
      <c r="AT11" s="3"/>
      <c r="AU11" s="42"/>
      <c r="AV11" s="3"/>
      <c r="AW11" s="3">
        <f t="shared" si="8"/>
        <v>61.649453693573911</v>
      </c>
      <c r="AX11" s="3"/>
      <c r="AY11" s="42">
        <f t="shared" si="9"/>
        <v>47.949575095001926</v>
      </c>
      <c r="AZ11" s="3"/>
      <c r="BA11" s="3">
        <f t="shared" si="10"/>
        <v>14.915008294643966</v>
      </c>
      <c r="BB11" s="42"/>
      <c r="BC11" s="48"/>
      <c r="BD11" s="3">
        <f t="shared" si="11"/>
        <v>61.435393090471216</v>
      </c>
      <c r="BE11" s="3"/>
      <c r="BF11" s="3"/>
    </row>
    <row r="12" spans="1:58" x14ac:dyDescent="0.25">
      <c r="A12" s="4">
        <v>2015</v>
      </c>
      <c r="B12" s="4" t="s">
        <v>18</v>
      </c>
      <c r="C12" s="4" t="s">
        <v>21</v>
      </c>
      <c r="D12" s="4" t="s">
        <v>26</v>
      </c>
      <c r="E12" s="4" t="s">
        <v>194</v>
      </c>
      <c r="F12" s="4" t="s">
        <v>31</v>
      </c>
      <c r="G12" s="4">
        <v>1</v>
      </c>
      <c r="H12" s="4" t="s">
        <v>32</v>
      </c>
      <c r="I12" s="4" t="s">
        <v>51</v>
      </c>
      <c r="J12" s="12">
        <v>6.9116063002115188E-2</v>
      </c>
      <c r="K12" s="6">
        <f t="shared" ref="K12:K16" si="13">SUM(N12:U12)</f>
        <v>316.68811263045001</v>
      </c>
      <c r="L12" s="6"/>
      <c r="M12" s="6"/>
      <c r="N12" s="7">
        <v>15.777627588000001</v>
      </c>
      <c r="O12" s="7">
        <v>15.14408018</v>
      </c>
      <c r="P12" s="7">
        <v>83.233993732000002</v>
      </c>
      <c r="Q12" s="7">
        <v>82.976732982000001</v>
      </c>
      <c r="R12" s="7">
        <v>36.745777651499964</v>
      </c>
      <c r="S12" s="7">
        <v>30.222118454999986</v>
      </c>
      <c r="T12" s="7">
        <v>50.016949411500036</v>
      </c>
      <c r="U12" s="6">
        <v>2.57083263045</v>
      </c>
      <c r="V12" s="6">
        <v>6.4640000000000003E-2</v>
      </c>
      <c r="W12" s="6">
        <v>4063.2371328199997</v>
      </c>
      <c r="X12" s="6">
        <v>161.74489118297001</v>
      </c>
      <c r="Y12" s="6">
        <v>214.43130893379001</v>
      </c>
      <c r="Z12" s="6">
        <v>135.99824247885502</v>
      </c>
      <c r="AA12" s="6">
        <v>30.5222527469145</v>
      </c>
      <c r="AB12" s="6">
        <f t="shared" ref="AB12:AB16" si="14">SUM(V12:AA12)</f>
        <v>4605.9984681625292</v>
      </c>
      <c r="AC12" s="7">
        <v>216.86189423200008</v>
      </c>
      <c r="AD12" s="7">
        <v>215.42068834999995</v>
      </c>
      <c r="AE12" s="7">
        <v>1195.6379679119996</v>
      </c>
      <c r="AF12" s="7">
        <v>1184.9433008160004</v>
      </c>
      <c r="AG12" s="7">
        <v>682.09140464700022</v>
      </c>
      <c r="AH12" s="7">
        <v>381.77100427979985</v>
      </c>
      <c r="AI12" s="7">
        <v>694.04684976320095</v>
      </c>
      <c r="AJ12" s="6">
        <v>35.225358162529503</v>
      </c>
      <c r="AK12" s="6">
        <f t="shared" ref="AK12:AK16" si="15">SUM(AC12:AJ12)</f>
        <v>4605.9984681625301</v>
      </c>
      <c r="AL12" s="3">
        <f t="shared" ref="AL12:AL17" si="16">K12*1000/(30*$G$103*$G$96*$G$109)</f>
        <v>45.658609087435117</v>
      </c>
      <c r="AM12" s="3">
        <f t="shared" ref="AM12:AM17" si="17">AK12*$G$98/($G$103*$G$96*$G$109)*0.277778</f>
        <v>1.6601795534030077</v>
      </c>
      <c r="AN12" s="42">
        <f t="shared" si="6"/>
        <v>18.070334584296326</v>
      </c>
      <c r="AP12" s="3">
        <f t="shared" si="1"/>
        <v>77.619635448639698</v>
      </c>
      <c r="AQ12" s="44"/>
      <c r="AR12" s="42">
        <f t="shared" si="7"/>
        <v>33.74766758636509</v>
      </c>
      <c r="AS12" s="44"/>
      <c r="AT12" s="3"/>
      <c r="AU12" s="42"/>
      <c r="AV12" s="3"/>
      <c r="AW12" s="3">
        <f t="shared" si="8"/>
        <v>52.181267528497287</v>
      </c>
      <c r="AX12" s="3"/>
      <c r="AY12" s="42">
        <f t="shared" si="9"/>
        <v>40.585430299942331</v>
      </c>
      <c r="AZ12" s="3"/>
      <c r="BA12" s="3">
        <f t="shared" si="10"/>
        <v>15.058612153580272</v>
      </c>
      <c r="BB12" s="42"/>
      <c r="BC12" s="48"/>
      <c r="BD12" s="3">
        <f t="shared" si="11"/>
        <v>52.000082571801109</v>
      </c>
      <c r="BE12" s="3"/>
      <c r="BF12" s="3"/>
    </row>
    <row r="13" spans="1:58" x14ac:dyDescent="0.25">
      <c r="A13" s="4">
        <v>2015</v>
      </c>
      <c r="B13" s="4" t="s">
        <v>18</v>
      </c>
      <c r="C13" s="4" t="s">
        <v>27</v>
      </c>
      <c r="D13" s="4" t="s">
        <v>26</v>
      </c>
      <c r="E13" s="4" t="s">
        <v>195</v>
      </c>
      <c r="F13" s="4" t="s">
        <v>31</v>
      </c>
      <c r="G13" s="4">
        <v>1</v>
      </c>
      <c r="H13" s="4" t="s">
        <v>32</v>
      </c>
      <c r="I13" s="4" t="s">
        <v>56</v>
      </c>
      <c r="J13" s="12">
        <v>5.4906800535959713E-2</v>
      </c>
      <c r="K13" s="6">
        <f t="shared" si="13"/>
        <v>307.34381326969998</v>
      </c>
      <c r="L13" s="6"/>
      <c r="M13" s="6"/>
      <c r="N13" s="7">
        <v>15.329667298</v>
      </c>
      <c r="O13" s="7">
        <v>14.378254146</v>
      </c>
      <c r="P13" s="7">
        <v>79.162108498000009</v>
      </c>
      <c r="Q13" s="7">
        <v>80.069065230999996</v>
      </c>
      <c r="R13" s="7">
        <v>36.493132501499986</v>
      </c>
      <c r="S13" s="7">
        <v>29.320496857900025</v>
      </c>
      <c r="T13" s="7">
        <v>49.866335467599981</v>
      </c>
      <c r="U13" s="6">
        <v>2.7247532696999999</v>
      </c>
      <c r="V13" s="6">
        <v>5.7500000000000002E-2</v>
      </c>
      <c r="W13" s="6">
        <v>3840.4030521199998</v>
      </c>
      <c r="X13" s="6">
        <v>77.070091432020007</v>
      </c>
      <c r="Y13" s="6">
        <v>1212.8553575221401</v>
      </c>
      <c r="Z13" s="6">
        <v>92.53245175843</v>
      </c>
      <c r="AA13" s="6">
        <v>21.713744520956997</v>
      </c>
      <c r="AB13" s="6">
        <f t="shared" si="14"/>
        <v>5244.6321973535478</v>
      </c>
      <c r="AC13" s="7">
        <v>250.190789395</v>
      </c>
      <c r="AD13" s="7">
        <v>261.29376035599995</v>
      </c>
      <c r="AE13" s="7">
        <v>1439.543004915</v>
      </c>
      <c r="AF13" s="7">
        <v>1401.2745630810002</v>
      </c>
      <c r="AG13" s="7">
        <v>700.88935796550049</v>
      </c>
      <c r="AH13" s="7">
        <v>448.85361161150013</v>
      </c>
      <c r="AI13" s="7">
        <v>705.2527426759998</v>
      </c>
      <c r="AJ13" s="6">
        <v>37.334367353546995</v>
      </c>
      <c r="AK13" s="6">
        <f t="shared" si="15"/>
        <v>5244.6321973535478</v>
      </c>
      <c r="AL13" s="3">
        <f>K13*1000/(30*$G$103*$G$96*$G$109)</f>
        <v>44.311391763220868</v>
      </c>
      <c r="AM13" s="3">
        <f t="shared" si="17"/>
        <v>1.8903677887324488</v>
      </c>
      <c r="AN13" s="42">
        <f t="shared" si="6"/>
        <v>15.869927629329711</v>
      </c>
      <c r="AO13" s="1">
        <f>1-AM25/AM24</f>
        <v>3.7696889524074573E-2</v>
      </c>
      <c r="AP13" s="3">
        <f t="shared" si="1"/>
        <v>75.329365997475463</v>
      </c>
      <c r="AQ13" s="44"/>
      <c r="AR13" s="42">
        <f t="shared" si="7"/>
        <v>32.751898259771941</v>
      </c>
      <c r="AS13" s="44"/>
      <c r="AT13" s="3"/>
      <c r="AU13" s="42"/>
      <c r="AV13" s="3"/>
      <c r="AW13" s="3">
        <f t="shared" si="8"/>
        <v>50.641590586538136</v>
      </c>
      <c r="AX13" s="3"/>
      <c r="AY13" s="42">
        <f t="shared" si="9"/>
        <v>39.387903789529659</v>
      </c>
      <c r="AZ13" s="3"/>
      <c r="BA13" s="3">
        <f t="shared" si="10"/>
        <v>13.224939691108093</v>
      </c>
      <c r="BB13" s="42"/>
      <c r="BC13" s="48"/>
      <c r="BD13" s="3">
        <f t="shared" si="11"/>
        <v>50.465751730334873</v>
      </c>
      <c r="BE13" s="3"/>
      <c r="BF13" s="3"/>
    </row>
    <row r="14" spans="1:58" x14ac:dyDescent="0.25">
      <c r="A14" s="4">
        <v>2015</v>
      </c>
      <c r="B14" s="4" t="s">
        <v>18</v>
      </c>
      <c r="C14" s="4" t="s">
        <v>22</v>
      </c>
      <c r="D14" s="4" t="s">
        <v>26</v>
      </c>
      <c r="E14" s="4" t="s">
        <v>196</v>
      </c>
      <c r="F14" s="4" t="s">
        <v>31</v>
      </c>
      <c r="G14" s="4">
        <v>1</v>
      </c>
      <c r="H14" s="4" t="s">
        <v>32</v>
      </c>
      <c r="I14" s="4" t="s">
        <v>52</v>
      </c>
      <c r="J14" s="12">
        <v>5.8678570306366001E-2</v>
      </c>
      <c r="K14" s="6">
        <f t="shared" si="13"/>
        <v>280.55107700000002</v>
      </c>
      <c r="L14" s="6"/>
      <c r="M14" s="6"/>
      <c r="N14" s="7">
        <v>14.138885168000002</v>
      </c>
      <c r="O14" s="7">
        <v>12.419287221999999</v>
      </c>
      <c r="P14" s="7">
        <v>68.746318079999995</v>
      </c>
      <c r="Q14" s="7">
        <v>72.339823887000009</v>
      </c>
      <c r="R14" s="7">
        <v>35.821557829499994</v>
      </c>
      <c r="S14" s="7">
        <v>26.923743622099977</v>
      </c>
      <c r="T14" s="7">
        <v>49.465974191400022</v>
      </c>
      <c r="U14" s="6">
        <v>0.69548699999999997</v>
      </c>
      <c r="V14" s="6">
        <v>5.4469999999999998E-2</v>
      </c>
      <c r="W14" s="6">
        <v>3880.7853500000001</v>
      </c>
      <c r="X14" s="6">
        <v>182.43306129999999</v>
      </c>
      <c r="Y14" s="6">
        <v>292.50922150000002</v>
      </c>
      <c r="Z14" s="6">
        <v>88.241303080000009</v>
      </c>
      <c r="AA14" s="6">
        <v>91.843368494099991</v>
      </c>
      <c r="AB14" s="6">
        <f t="shared" si="14"/>
        <v>4535.8667743741007</v>
      </c>
      <c r="AC14" s="7">
        <v>216.16593181500002</v>
      </c>
      <c r="AD14" s="7">
        <v>209.26484248399998</v>
      </c>
      <c r="AE14" s="7">
        <v>1162.9067778630001</v>
      </c>
      <c r="AF14" s="7">
        <v>1180.4240754309994</v>
      </c>
      <c r="AG14" s="7">
        <v>681.69952470450062</v>
      </c>
      <c r="AH14" s="7">
        <v>380.37005089159948</v>
      </c>
      <c r="AI14" s="7">
        <v>693.81284681090028</v>
      </c>
      <c r="AJ14" s="6">
        <v>11.2227243741</v>
      </c>
      <c r="AK14" s="6">
        <f t="shared" si="15"/>
        <v>4535.8667743740998</v>
      </c>
      <c r="AL14" s="3">
        <f t="shared" si="16"/>
        <v>40.448540513264128</v>
      </c>
      <c r="AM14" s="3">
        <f t="shared" si="17"/>
        <v>1.6349013851886962</v>
      </c>
      <c r="AN14" s="42">
        <f t="shared" si="6"/>
        <v>18.349730614814714</v>
      </c>
      <c r="AO14" s="1">
        <f>1-AM28/AM24</f>
        <v>0.13536954362328824</v>
      </c>
      <c r="AP14" s="3">
        <f t="shared" si="1"/>
        <v>68.762518872549009</v>
      </c>
      <c r="AQ14" s="44"/>
      <c r="AR14" s="42">
        <f t="shared" si="7"/>
        <v>29.896747335890876</v>
      </c>
      <c r="AS14" s="44"/>
      <c r="AT14" s="3"/>
      <c r="AU14" s="42"/>
      <c r="AV14" s="3"/>
      <c r="AW14" s="3">
        <f t="shared" si="8"/>
        <v>46.226903443730443</v>
      </c>
      <c r="AX14" s="3"/>
      <c r="AY14" s="42">
        <f t="shared" si="9"/>
        <v>35.954258234012563</v>
      </c>
      <c r="AZ14" s="3"/>
      <c r="BA14" s="3">
        <f t="shared" si="10"/>
        <v>15.291442179012263</v>
      </c>
      <c r="BB14" s="42"/>
      <c r="BC14" s="48"/>
      <c r="BD14" s="3">
        <f t="shared" si="11"/>
        <v>46.06639336232859</v>
      </c>
      <c r="BE14" s="3"/>
      <c r="BF14" s="3"/>
    </row>
    <row r="15" spans="1:58" x14ac:dyDescent="0.25">
      <c r="A15" s="4">
        <v>2015</v>
      </c>
      <c r="B15" s="4" t="s">
        <v>18</v>
      </c>
      <c r="C15" s="4" t="s">
        <v>23</v>
      </c>
      <c r="D15" s="4" t="s">
        <v>26</v>
      </c>
      <c r="E15" s="4" t="s">
        <v>197</v>
      </c>
      <c r="F15" s="4" t="s">
        <v>31</v>
      </c>
      <c r="G15" s="4">
        <v>1</v>
      </c>
      <c r="H15" s="4" t="s">
        <v>32</v>
      </c>
      <c r="I15" s="4" t="s">
        <v>53</v>
      </c>
      <c r="J15" s="12">
        <v>0.37167849707604594</v>
      </c>
      <c r="K15" s="6">
        <f t="shared" si="13"/>
        <v>358.45843997679998</v>
      </c>
      <c r="L15" s="6"/>
      <c r="M15" s="6"/>
      <c r="N15" s="7">
        <v>17.984733159000001</v>
      </c>
      <c r="O15" s="7">
        <v>17.931879431999999</v>
      </c>
      <c r="P15" s="7">
        <v>98.056548743000008</v>
      </c>
      <c r="Q15" s="7">
        <v>97.302583086999988</v>
      </c>
      <c r="R15" s="7">
        <v>37.990635967500026</v>
      </c>
      <c r="S15" s="7">
        <v>34.664482070299982</v>
      </c>
      <c r="T15" s="7">
        <v>50.759027541199998</v>
      </c>
      <c r="U15" s="6">
        <v>3.7685499767999997</v>
      </c>
      <c r="V15" s="6">
        <v>5.7869999999999998E-2</v>
      </c>
      <c r="W15" s="6">
        <v>4557.4043592799999</v>
      </c>
      <c r="X15" s="6">
        <v>172.79949093488</v>
      </c>
      <c r="Y15" s="6">
        <v>145.77773385616001</v>
      </c>
      <c r="Z15" s="6">
        <v>105.83856877992</v>
      </c>
      <c r="AA15" s="6">
        <v>18.578459621208001</v>
      </c>
      <c r="AB15" s="6">
        <f t="shared" si="14"/>
        <v>5000.4564824721674</v>
      </c>
      <c r="AC15" s="7">
        <v>237.30961929200001</v>
      </c>
      <c r="AD15" s="7">
        <v>241.59059342799995</v>
      </c>
      <c r="AE15" s="7">
        <v>1334.7818294839999</v>
      </c>
      <c r="AF15" s="7">
        <v>1317.6647349669995</v>
      </c>
      <c r="AG15" s="7">
        <v>693.62446400250064</v>
      </c>
      <c r="AH15" s="7">
        <v>422.92702028429994</v>
      </c>
      <c r="AI15" s="7">
        <v>700.92182854219936</v>
      </c>
      <c r="AJ15" s="6">
        <v>51.636392472167991</v>
      </c>
      <c r="AK15" s="6">
        <f t="shared" si="15"/>
        <v>5000.4564824721674</v>
      </c>
      <c r="AL15" s="3">
        <f t="shared" si="16"/>
        <v>51.680859281545551</v>
      </c>
      <c r="AM15" s="3">
        <f t="shared" si="17"/>
        <v>1.8023574404690577</v>
      </c>
      <c r="AN15" s="42">
        <f t="shared" si="6"/>
        <v>16.644867064877317</v>
      </c>
      <c r="AO15" s="1">
        <f>1-AM31/AM24</f>
        <v>0.17185963478737631</v>
      </c>
      <c r="AP15" s="3">
        <f t="shared" si="1"/>
        <v>87.857460778627441</v>
      </c>
      <c r="AQ15" s="44"/>
      <c r="AR15" s="42">
        <f t="shared" si="7"/>
        <v>38.198895990707584</v>
      </c>
      <c r="AS15" s="44"/>
      <c r="AT15" s="3"/>
      <c r="AU15" s="42"/>
      <c r="AV15" s="3"/>
      <c r="AW15" s="3">
        <f t="shared" si="8"/>
        <v>59.063839178909213</v>
      </c>
      <c r="AX15" s="3"/>
      <c r="AY15" s="42">
        <f t="shared" si="9"/>
        <v>45.938541583596049</v>
      </c>
      <c r="AZ15" s="3"/>
      <c r="BA15" s="3">
        <f t="shared" si="10"/>
        <v>13.870722554064432</v>
      </c>
      <c r="BB15" s="42"/>
      <c r="BC15" s="48"/>
      <c r="BD15" s="3">
        <f t="shared" si="11"/>
        <v>58.858756403982426</v>
      </c>
      <c r="BE15" s="3"/>
      <c r="BF15" s="3"/>
    </row>
    <row r="16" spans="1:58" x14ac:dyDescent="0.25">
      <c r="A16" s="4">
        <v>2015</v>
      </c>
      <c r="B16" s="4" t="s">
        <v>18</v>
      </c>
      <c r="C16" s="4" t="s">
        <v>24</v>
      </c>
      <c r="D16" s="4" t="s">
        <v>26</v>
      </c>
      <c r="E16" s="4" t="s">
        <v>198</v>
      </c>
      <c r="F16" s="4" t="s">
        <v>31</v>
      </c>
      <c r="G16" s="4">
        <v>1</v>
      </c>
      <c r="H16" s="4" t="s">
        <v>32</v>
      </c>
      <c r="I16" s="4" t="s">
        <v>54</v>
      </c>
      <c r="J16" s="12">
        <v>8.3166305926227355E-2</v>
      </c>
      <c r="K16" s="6">
        <f t="shared" si="13"/>
        <v>341.76563278500004</v>
      </c>
      <c r="L16" s="6"/>
      <c r="M16" s="6"/>
      <c r="N16" s="7">
        <v>17.071133623000001</v>
      </c>
      <c r="O16" s="7">
        <v>16.903237925999996</v>
      </c>
      <c r="P16" s="7">
        <v>92.587351415000001</v>
      </c>
      <c r="Q16" s="7">
        <v>91.372670117999988</v>
      </c>
      <c r="R16" s="7">
        <v>37.475330189999994</v>
      </c>
      <c r="S16" s="7">
        <v>32.825639230199982</v>
      </c>
      <c r="T16" s="7">
        <v>50.451857497800063</v>
      </c>
      <c r="U16" s="6">
        <v>3.0784127849999998</v>
      </c>
      <c r="V16" s="6">
        <v>5.8110000000000002E-2</v>
      </c>
      <c r="W16" s="6">
        <v>4161.5179959999996</v>
      </c>
      <c r="X16" s="6">
        <v>92.369134981000002</v>
      </c>
      <c r="Y16" s="6">
        <v>652.86929176699994</v>
      </c>
      <c r="Z16" s="6">
        <v>78.2254755915</v>
      </c>
      <c r="AA16" s="6">
        <v>25.445585480850003</v>
      </c>
      <c r="AB16" s="6">
        <f t="shared" si="14"/>
        <v>5010.4855938203491</v>
      </c>
      <c r="AC16" s="7">
        <v>237.06025430600002</v>
      </c>
      <c r="AD16" s="7">
        <v>245.0856515159999</v>
      </c>
      <c r="AE16" s="7">
        <v>1353.3655377939997</v>
      </c>
      <c r="AF16" s="7">
        <v>1316.0474819490009</v>
      </c>
      <c r="AG16" s="7">
        <v>693.48330241799886</v>
      </c>
      <c r="AH16" s="7">
        <v>422.42519348000087</v>
      </c>
      <c r="AI16" s="7">
        <v>700.83798853699864</v>
      </c>
      <c r="AJ16" s="6">
        <v>42.180183820350003</v>
      </c>
      <c r="AK16" s="6">
        <f t="shared" si="15"/>
        <v>5010.4855938203491</v>
      </c>
      <c r="AL16" s="3">
        <f t="shared" si="16"/>
        <v>49.27416850994809</v>
      </c>
      <c r="AM16" s="3">
        <f t="shared" si="17"/>
        <v>1.8059723191352453</v>
      </c>
      <c r="AN16" s="42">
        <f t="shared" si="6"/>
        <v>16.611550289079137</v>
      </c>
      <c r="AP16" s="3">
        <f t="shared" si="1"/>
        <v>83.766086466911759</v>
      </c>
      <c r="AQ16" s="44"/>
      <c r="AR16" s="42">
        <f t="shared" si="7"/>
        <v>36.420037594309463</v>
      </c>
      <c r="AS16" s="44"/>
      <c r="AT16" s="3"/>
      <c r="AU16" s="42"/>
      <c r="AV16" s="3"/>
      <c r="AW16" s="3">
        <f t="shared" si="8"/>
        <v>56.313335439940687</v>
      </c>
      <c r="AX16" s="3"/>
      <c r="AY16" s="42">
        <f t="shared" si="9"/>
        <v>43.799260897731642</v>
      </c>
      <c r="AZ16" s="3"/>
      <c r="BA16" s="3">
        <f t="shared" si="10"/>
        <v>13.842958574232615</v>
      </c>
      <c r="BB16" s="42"/>
      <c r="BC16" s="48"/>
      <c r="BD16" s="3">
        <f t="shared" si="11"/>
        <v>56.117803025218663</v>
      </c>
      <c r="BE16" s="3"/>
      <c r="BF16" s="3"/>
    </row>
    <row r="17" spans="1:58" x14ac:dyDescent="0.25">
      <c r="A17" s="4">
        <v>2015</v>
      </c>
      <c r="B17" s="4" t="s">
        <v>18</v>
      </c>
      <c r="C17" s="4"/>
      <c r="D17" s="4"/>
      <c r="E17" s="4"/>
      <c r="F17" s="4"/>
      <c r="G17" s="4"/>
      <c r="H17" s="4"/>
      <c r="I17" s="4"/>
      <c r="J17" s="8">
        <f>K11/K4</f>
        <v>0.94532399362855168</v>
      </c>
      <c r="K17" s="10">
        <f>$J11*K11+$J12*K12+$J13*K13+$J14*K14+$J15*K15+$J16*K16</f>
        <v>352.49278570121163</v>
      </c>
      <c r="L17" s="10"/>
      <c r="M17" s="10"/>
      <c r="N17" s="6">
        <f t="shared" ref="N17:AK17" si="18">$J11*N11+$J12*N12+$J13*N13+$J14*N14+$J15*N15+$J16*N16</f>
        <v>17.675697063096219</v>
      </c>
      <c r="O17" s="6">
        <f t="shared" si="18"/>
        <v>17.591975157983679</v>
      </c>
      <c r="P17" s="6">
        <f t="shared" si="18"/>
        <v>96.24931246228617</v>
      </c>
      <c r="Q17" s="6">
        <f t="shared" si="18"/>
        <v>95.346198418020037</v>
      </c>
      <c r="R17" s="6">
        <f t="shared" si="18"/>
        <v>37.816326031889645</v>
      </c>
      <c r="S17" s="6">
        <f t="shared" si="18"/>
        <v>34.058905875147858</v>
      </c>
      <c r="T17" s="6">
        <f t="shared" si="18"/>
        <v>50.655120177547595</v>
      </c>
      <c r="U17" s="6">
        <f t="shared" si="18"/>
        <v>3.0992505152404259</v>
      </c>
      <c r="V17" s="6">
        <f t="shared" si="18"/>
        <v>5.8471510466807687E-2</v>
      </c>
      <c r="W17" s="6">
        <f t="shared" si="18"/>
        <v>4180.5501448653513</v>
      </c>
      <c r="X17" s="6">
        <f t="shared" si="18"/>
        <v>200.23378162923689</v>
      </c>
      <c r="Y17" s="6">
        <f t="shared" si="18"/>
        <v>299.63408670946745</v>
      </c>
      <c r="Z17" s="6">
        <f t="shared" si="18"/>
        <v>116.00639038912654</v>
      </c>
      <c r="AA17" s="6">
        <f t="shared" si="18"/>
        <v>36.790779050077255</v>
      </c>
      <c r="AB17" s="10">
        <f t="shared" si="18"/>
        <v>4833.2736541537261</v>
      </c>
      <c r="AC17" s="6">
        <f t="shared" si="18"/>
        <v>228.93644238699912</v>
      </c>
      <c r="AD17" s="6">
        <f t="shared" si="18"/>
        <v>230.34456083365279</v>
      </c>
      <c r="AE17" s="6">
        <f t="shared" si="18"/>
        <v>1274.9872429950283</v>
      </c>
      <c r="AF17" s="6">
        <f t="shared" si="18"/>
        <v>1263.3470941815938</v>
      </c>
      <c r="AG17" s="6">
        <f t="shared" si="18"/>
        <v>688.90183047428729</v>
      </c>
      <c r="AH17" s="6">
        <f t="shared" si="18"/>
        <v>406.08484305489884</v>
      </c>
      <c r="AI17" s="6">
        <f t="shared" si="18"/>
        <v>698.10658405075912</v>
      </c>
      <c r="AJ17" s="6">
        <f t="shared" si="18"/>
        <v>42.565056176506765</v>
      </c>
      <c r="AK17" s="10">
        <f t="shared" si="18"/>
        <v>4833.2736541537261</v>
      </c>
      <c r="AL17" s="41">
        <f t="shared" si="16"/>
        <v>50.820759184142389</v>
      </c>
      <c r="AM17" s="41">
        <f t="shared" si="17"/>
        <v>1.7420982990097498</v>
      </c>
      <c r="AN17" s="43">
        <f t="shared" si="6"/>
        <v>17.22061264685966</v>
      </c>
      <c r="AP17" s="41">
        <f t="shared" si="1"/>
        <v>86.395290613042064</v>
      </c>
      <c r="AQ17" s="53"/>
      <c r="AR17" s="43">
        <f t="shared" si="7"/>
        <v>37.563169831757421</v>
      </c>
      <c r="AS17" s="53"/>
      <c r="AT17" s="41"/>
      <c r="AU17" s="43"/>
      <c r="AV17" s="41"/>
      <c r="AW17" s="41">
        <f t="shared" si="8"/>
        <v>58.080867639019885</v>
      </c>
      <c r="AX17" s="41"/>
      <c r="AY17" s="43">
        <f t="shared" si="9"/>
        <v>45.174008163682124</v>
      </c>
      <c r="AZ17" s="41"/>
      <c r="BA17" s="41">
        <f t="shared" si="10"/>
        <v>14.350510539049715</v>
      </c>
      <c r="BB17" s="43"/>
      <c r="BC17" s="54"/>
      <c r="BD17" s="41">
        <f t="shared" si="11"/>
        <v>57.879197959717715</v>
      </c>
      <c r="BE17" s="3"/>
      <c r="BF17" s="3"/>
    </row>
    <row r="18" spans="1:58" x14ac:dyDescent="0.25">
      <c r="A18" s="4">
        <v>2020</v>
      </c>
      <c r="B18" s="4" t="s">
        <v>18</v>
      </c>
      <c r="C18" s="4" t="s">
        <v>19</v>
      </c>
      <c r="D18" s="4" t="s">
        <v>26</v>
      </c>
      <c r="E18" s="4" t="s">
        <v>200</v>
      </c>
      <c r="F18" s="4" t="s">
        <v>31</v>
      </c>
      <c r="G18" s="4">
        <v>1</v>
      </c>
      <c r="H18" s="4" t="s">
        <v>32</v>
      </c>
      <c r="I18" s="4" t="s">
        <v>49</v>
      </c>
      <c r="J18" s="12">
        <v>6.3611092852727744E-2</v>
      </c>
      <c r="K18" s="6">
        <f>SUM(N18:U18)</f>
        <v>355.0573144663</v>
      </c>
      <c r="L18" s="6"/>
      <c r="M18" s="6"/>
      <c r="N18" s="7">
        <v>17.806593477</v>
      </c>
      <c r="O18" s="7">
        <v>17.785378422000001</v>
      </c>
      <c r="P18" s="7">
        <v>97.277634820999992</v>
      </c>
      <c r="Q18" s="7">
        <v>96.282823084000015</v>
      </c>
      <c r="R18" s="7">
        <v>37.890153200999976</v>
      </c>
      <c r="S18" s="7">
        <v>34.351257112500036</v>
      </c>
      <c r="T18" s="7">
        <v>50.69912988249996</v>
      </c>
      <c r="U18" s="6">
        <v>2.9643444662999996</v>
      </c>
      <c r="V18" s="6">
        <v>5.987E-2</v>
      </c>
      <c r="W18" s="6">
        <v>3756.65879348</v>
      </c>
      <c r="X18" s="6">
        <v>259.25464738557997</v>
      </c>
      <c r="Y18" s="6">
        <v>319.41253844105995</v>
      </c>
      <c r="Z18" s="6">
        <v>162.14631641996999</v>
      </c>
      <c r="AA18" s="6">
        <v>83.004532445202997</v>
      </c>
      <c r="AB18" s="6">
        <f>SUM(V18:AA18)</f>
        <v>4580.5366981718134</v>
      </c>
      <c r="AC18" s="7">
        <v>216.07548637799999</v>
      </c>
      <c r="AD18" s="7">
        <v>211.81354180999998</v>
      </c>
      <c r="AE18" s="7">
        <v>1176.4585185700003</v>
      </c>
      <c r="AF18" s="7">
        <v>1179.9231721769997</v>
      </c>
      <c r="AG18" s="7">
        <v>681.64817794499959</v>
      </c>
      <c r="AH18" s="7">
        <v>380.21811483030024</v>
      </c>
      <c r="AI18" s="7">
        <v>693.78245828970012</v>
      </c>
      <c r="AJ18" s="6">
        <v>40.617228171812997</v>
      </c>
      <c r="AK18" s="6">
        <f>SUM(AC18:AJ18)</f>
        <v>4580.5366981718125</v>
      </c>
      <c r="AL18" s="3">
        <f>K18*1000/(30*$G$103*$G$96*$G$113)</f>
        <v>42.45065930969632</v>
      </c>
      <c r="AM18" s="3">
        <f>AK18*$G$98/($G$103*$G$96*$G$113)*0.277778</f>
        <v>1.3691237334412876</v>
      </c>
      <c r="AN18" s="42">
        <f t="shared" si="6"/>
        <v>21.911825255263896</v>
      </c>
      <c r="AP18" s="3">
        <f t="shared" si="1"/>
        <v>72.166120826483748</v>
      </c>
      <c r="AQ18" s="44"/>
      <c r="AR18" s="42">
        <f t="shared" si="7"/>
        <v>31.376574272384239</v>
      </c>
      <c r="AS18" s="44"/>
      <c r="AT18" s="3"/>
      <c r="AU18" s="42"/>
      <c r="AV18" s="3"/>
      <c r="AW18" s="3">
        <f t="shared" si="8"/>
        <v>48.515039211081515</v>
      </c>
      <c r="AX18" s="3"/>
      <c r="AY18" s="42">
        <f t="shared" si="9"/>
        <v>37.733919386396728</v>
      </c>
      <c r="AZ18" s="3"/>
      <c r="BA18" s="3">
        <f t="shared" si="10"/>
        <v>18.259854379386582</v>
      </c>
      <c r="BB18" s="42"/>
      <c r="BC18" s="48"/>
      <c r="BD18" s="3">
        <f t="shared" si="11"/>
        <v>48.346584213820812</v>
      </c>
      <c r="BE18" s="3"/>
      <c r="BF18" s="3"/>
    </row>
    <row r="19" spans="1:58" x14ac:dyDescent="0.25">
      <c r="A19" s="4">
        <v>2020</v>
      </c>
      <c r="B19" s="4" t="s">
        <v>18</v>
      </c>
      <c r="C19" s="4" t="s">
        <v>27</v>
      </c>
      <c r="D19" s="4" t="s">
        <v>26</v>
      </c>
      <c r="E19" s="4" t="s">
        <v>199</v>
      </c>
      <c r="F19" s="4" t="s">
        <v>31</v>
      </c>
      <c r="G19" s="4">
        <v>1</v>
      </c>
      <c r="H19" s="4" t="s">
        <v>32</v>
      </c>
      <c r="I19" s="4" t="s">
        <v>56</v>
      </c>
      <c r="J19" s="12">
        <v>9.7665377765249708E-2</v>
      </c>
      <c r="K19" s="6">
        <f t="shared" ref="K19:K23" si="19">SUM(N19:U19)</f>
        <v>298.40498326969998</v>
      </c>
      <c r="L19" s="6"/>
      <c r="M19" s="6"/>
      <c r="N19" s="7">
        <v>14.866397134000001</v>
      </c>
      <c r="O19" s="7">
        <v>13.726181111999999</v>
      </c>
      <c r="P19" s="7">
        <v>75.695060541999993</v>
      </c>
      <c r="Q19" s="7">
        <v>77.062108987000002</v>
      </c>
      <c r="R19" s="7">
        <v>36.231847829999992</v>
      </c>
      <c r="S19" s="7">
        <v>28.388059829900016</v>
      </c>
      <c r="T19" s="7">
        <v>49.710574565099989</v>
      </c>
      <c r="U19" s="6">
        <v>2.7247532696999999</v>
      </c>
      <c r="V19" s="6">
        <v>5.8279999999999998E-2</v>
      </c>
      <c r="W19" s="6">
        <v>3774.93051212</v>
      </c>
      <c r="X19" s="6">
        <v>77.622021432020006</v>
      </c>
      <c r="Y19" s="6">
        <v>1128.84756752214</v>
      </c>
      <c r="Z19" s="6">
        <v>120.10972175843</v>
      </c>
      <c r="AA19" s="6">
        <v>25.554134520957</v>
      </c>
      <c r="AB19" s="6">
        <f t="shared" ref="AB19:AB31" si="20">SUM(V19:AA19)</f>
        <v>5127.1222373535475</v>
      </c>
      <c r="AC19" s="7">
        <v>244.08311768099998</v>
      </c>
      <c r="AD19" s="7">
        <v>252.750567504</v>
      </c>
      <c r="AE19" s="7">
        <v>1394.1192193449999</v>
      </c>
      <c r="AF19" s="7">
        <v>1361.6307829040004</v>
      </c>
      <c r="AG19" s="7">
        <v>697.44457630799934</v>
      </c>
      <c r="AH19" s="7">
        <v>436.56039075580065</v>
      </c>
      <c r="AI19" s="7">
        <v>703.19921550219988</v>
      </c>
      <c r="AJ19" s="6">
        <v>37.334367353546995</v>
      </c>
      <c r="AK19" s="6">
        <f t="shared" ref="AK19:AK23" si="21">SUM(AC19:AJ19)</f>
        <v>5127.1222373535475</v>
      </c>
      <c r="AL19" s="3">
        <f t="shared" ref="AL19:AL30" si="22">K19*1000/(30*$G$103*$G$96*$G$113)</f>
        <v>35.677305508094207</v>
      </c>
      <c r="AM19" s="3">
        <f t="shared" ref="AM19:AM31" si="23">AK19*$G$98/($G$103*$G$96*$G$113)*0.277778</f>
        <v>1.5324983079421739</v>
      </c>
      <c r="AN19" s="42">
        <f t="shared" si="6"/>
        <v>19.575878057760306</v>
      </c>
      <c r="AP19" s="3">
        <f t="shared" si="1"/>
        <v>60.651419363760148</v>
      </c>
      <c r="AQ19" s="44"/>
      <c r="AR19" s="42">
        <f t="shared" si="7"/>
        <v>26.370182332069628</v>
      </c>
      <c r="AS19" s="44"/>
      <c r="AT19" s="3"/>
      <c r="AU19" s="42"/>
      <c r="AV19" s="3"/>
      <c r="AW19" s="3">
        <f t="shared" si="8"/>
        <v>40.774063437821958</v>
      </c>
      <c r="AX19" s="3"/>
      <c r="AY19" s="42">
        <f t="shared" si="9"/>
        <v>31.713160451639297</v>
      </c>
      <c r="AZ19" s="3"/>
      <c r="BA19" s="3">
        <f t="shared" si="10"/>
        <v>16.313231714800256</v>
      </c>
      <c r="BB19" s="42"/>
      <c r="BC19" s="48"/>
      <c r="BD19" s="3">
        <f t="shared" si="11"/>
        <v>40.632486828662849</v>
      </c>
      <c r="BE19" s="3"/>
      <c r="BF19" s="3"/>
    </row>
    <row r="20" spans="1:58" x14ac:dyDescent="0.25">
      <c r="A20" s="4">
        <v>2020</v>
      </c>
      <c r="B20" s="4" t="s">
        <v>18</v>
      </c>
      <c r="C20" s="4" t="s">
        <v>23</v>
      </c>
      <c r="D20" s="4" t="s">
        <v>26</v>
      </c>
      <c r="E20" s="4" t="s">
        <v>201</v>
      </c>
      <c r="F20" s="4" t="s">
        <v>31</v>
      </c>
      <c r="G20" s="4">
        <v>1</v>
      </c>
      <c r="H20" s="4" t="s">
        <v>32</v>
      </c>
      <c r="I20" s="4" t="s">
        <v>53</v>
      </c>
      <c r="J20" s="12">
        <v>0.40930715649976673</v>
      </c>
      <c r="K20" s="6">
        <f t="shared" si="19"/>
        <v>353.85239997679997</v>
      </c>
      <c r="L20" s="6"/>
      <c r="M20" s="6"/>
      <c r="N20" s="7">
        <v>17.747048002</v>
      </c>
      <c r="O20" s="7">
        <v>17.594186375999996</v>
      </c>
      <c r="P20" s="7">
        <v>96.261050273999999</v>
      </c>
      <c r="Q20" s="7">
        <v>95.759797847000002</v>
      </c>
      <c r="R20" s="7">
        <v>37.856589532500038</v>
      </c>
      <c r="S20" s="7">
        <v>34.186067157099956</v>
      </c>
      <c r="T20" s="7">
        <v>50.679110811399994</v>
      </c>
      <c r="U20" s="6">
        <v>3.7685499767999997</v>
      </c>
      <c r="V20" s="6">
        <v>5.8729999999999997E-2</v>
      </c>
      <c r="W20" s="6">
        <v>4380.3399392799993</v>
      </c>
      <c r="X20" s="6">
        <v>233.99842093487999</v>
      </c>
      <c r="Y20" s="6">
        <v>145.59638385616</v>
      </c>
      <c r="Z20" s="6">
        <v>120.70869877992</v>
      </c>
      <c r="AA20" s="6">
        <v>18.575359621208001</v>
      </c>
      <c r="AB20" s="6">
        <f t="shared" si="20"/>
        <v>4899.2775324721679</v>
      </c>
      <c r="AC20" s="7">
        <v>232.08845551499999</v>
      </c>
      <c r="AD20" s="7">
        <v>234.17263714599997</v>
      </c>
      <c r="AE20" s="7">
        <v>1295.3408662510001</v>
      </c>
      <c r="AF20" s="7">
        <v>1283.7750463510004</v>
      </c>
      <c r="AG20" s="7">
        <v>690.67967054999917</v>
      </c>
      <c r="AH20" s="7">
        <v>412.41811992649991</v>
      </c>
      <c r="AI20" s="7">
        <v>699.1663442604995</v>
      </c>
      <c r="AJ20" s="6">
        <v>51.636392472167991</v>
      </c>
      <c r="AK20" s="6">
        <f t="shared" si="21"/>
        <v>4899.277532472167</v>
      </c>
      <c r="AL20" s="3">
        <f t="shared" si="22"/>
        <v>42.306599710282157</v>
      </c>
      <c r="AM20" s="3">
        <f t="shared" si="23"/>
        <v>1.4643954602744478</v>
      </c>
      <c r="AN20" s="42">
        <f t="shared" si="6"/>
        <v>20.486269463289368</v>
      </c>
      <c r="AP20" s="3">
        <f t="shared" si="1"/>
        <v>71.921219507479663</v>
      </c>
      <c r="AQ20" s="44"/>
      <c r="AR20" s="42">
        <f t="shared" si="7"/>
        <v>31.270095438034634</v>
      </c>
      <c r="AS20" s="44"/>
      <c r="AT20" s="3"/>
      <c r="AU20" s="42"/>
      <c r="AV20" s="3"/>
      <c r="AW20" s="3">
        <f t="shared" si="8"/>
        <v>48.3503996688939</v>
      </c>
      <c r="AX20" s="3"/>
      <c r="AY20" s="42">
        <f t="shared" si="9"/>
        <v>37.605866409139701</v>
      </c>
      <c r="AZ20" s="3"/>
      <c r="BA20" s="3">
        <f t="shared" si="10"/>
        <v>17.071891219407807</v>
      </c>
      <c r="BB20" s="42"/>
      <c r="BC20" s="48"/>
      <c r="BD20" s="3">
        <f t="shared" si="11"/>
        <v>48.182516336710229</v>
      </c>
      <c r="BE20" s="3"/>
      <c r="BF20" s="3"/>
    </row>
    <row r="21" spans="1:58" x14ac:dyDescent="0.25">
      <c r="A21" s="4">
        <v>2020</v>
      </c>
      <c r="B21" s="4" t="s">
        <v>18</v>
      </c>
      <c r="C21" s="4" t="s">
        <v>28</v>
      </c>
      <c r="D21" s="4" t="s">
        <v>26</v>
      </c>
      <c r="E21" s="4" t="s">
        <v>202</v>
      </c>
      <c r="F21" s="4" t="s">
        <v>31</v>
      </c>
      <c r="G21" s="4">
        <v>1</v>
      </c>
      <c r="H21" s="4" t="s">
        <v>32</v>
      </c>
      <c r="I21" s="4" t="s">
        <v>57</v>
      </c>
      <c r="J21" s="12">
        <v>2.9976801670557808E-2</v>
      </c>
      <c r="K21" s="6">
        <f t="shared" si="19"/>
        <v>255.23427094030001</v>
      </c>
      <c r="L21" s="6"/>
      <c r="M21" s="6"/>
      <c r="N21" s="7">
        <v>12.559306113000002</v>
      </c>
      <c r="O21" s="7">
        <v>10.519370030000001</v>
      </c>
      <c r="P21" s="7">
        <v>58.644581041000002</v>
      </c>
      <c r="Q21" s="7">
        <v>62.087177519999983</v>
      </c>
      <c r="R21" s="7">
        <v>34.930616911499982</v>
      </c>
      <c r="S21" s="7">
        <v>23.744451336400033</v>
      </c>
      <c r="T21" s="7">
        <v>48.934877048099992</v>
      </c>
      <c r="U21" s="6">
        <v>3.8138909403000003</v>
      </c>
      <c r="V21" s="6">
        <v>5.2159999999999998E-2</v>
      </c>
      <c r="W21" s="6">
        <v>4100.49175388</v>
      </c>
      <c r="X21" s="6">
        <v>70.014933953980005</v>
      </c>
      <c r="Y21" s="6">
        <v>143.82884157986001</v>
      </c>
      <c r="Z21" s="6">
        <v>73.157390040570007</v>
      </c>
      <c r="AA21" s="6">
        <v>18.107891539143001</v>
      </c>
      <c r="AB21" s="6">
        <f t="shared" si="20"/>
        <v>4405.652970993553</v>
      </c>
      <c r="AC21" s="7">
        <v>205.17410460700003</v>
      </c>
      <c r="AD21" s="7">
        <v>200.25813536999996</v>
      </c>
      <c r="AE21" s="7">
        <v>1115.0195379829997</v>
      </c>
      <c r="AF21" s="7">
        <v>1109.0806261710002</v>
      </c>
      <c r="AG21" s="7">
        <v>675.49923273750028</v>
      </c>
      <c r="AH21" s="7">
        <v>358.24651497159994</v>
      </c>
      <c r="AI21" s="7">
        <v>690.11716815989939</v>
      </c>
      <c r="AJ21" s="6">
        <v>52.257650993553007</v>
      </c>
      <c r="AK21" s="6">
        <f t="shared" si="21"/>
        <v>4405.652970993553</v>
      </c>
      <c r="AL21" s="3">
        <f t="shared" si="22"/>
        <v>30.515814316152561</v>
      </c>
      <c r="AM21" s="3">
        <f t="shared" si="23"/>
        <v>1.3168509372058614</v>
      </c>
      <c r="AN21" s="42">
        <f t="shared" si="6"/>
        <v>22.781621786027664</v>
      </c>
      <c r="AP21" s="3">
        <f t="shared" si="1"/>
        <v>51.876884337459359</v>
      </c>
      <c r="AQ21" s="44"/>
      <c r="AR21" s="42">
        <f t="shared" si="7"/>
        <v>22.5551671032432</v>
      </c>
      <c r="AS21" s="44"/>
      <c r="AT21" s="3"/>
      <c r="AU21" s="42"/>
      <c r="AV21" s="3"/>
      <c r="AW21" s="3">
        <f t="shared" si="8"/>
        <v>34.875216361317214</v>
      </c>
      <c r="AX21" s="3"/>
      <c r="AY21" s="42">
        <f t="shared" si="9"/>
        <v>27.125168281024497</v>
      </c>
      <c r="AZ21" s="3"/>
      <c r="BA21" s="3">
        <f t="shared" si="10"/>
        <v>18.984684821689722</v>
      </c>
      <c r="BB21" s="42"/>
      <c r="BC21" s="48"/>
      <c r="BD21" s="3">
        <f t="shared" si="11"/>
        <v>34.754121860062632</v>
      </c>
      <c r="BE21" s="3"/>
      <c r="BF21" s="3"/>
    </row>
    <row r="22" spans="1:58" x14ac:dyDescent="0.25">
      <c r="A22" s="4">
        <v>2020</v>
      </c>
      <c r="B22" s="4" t="s">
        <v>18</v>
      </c>
      <c r="C22" s="4" t="s">
        <v>29</v>
      </c>
      <c r="D22" s="4" t="s">
        <v>26</v>
      </c>
      <c r="E22" s="4" t="s">
        <v>203</v>
      </c>
      <c r="F22" s="4" t="s">
        <v>31</v>
      </c>
      <c r="G22" s="4">
        <v>1</v>
      </c>
      <c r="H22" s="4" t="s">
        <v>32</v>
      </c>
      <c r="I22" s="4" t="s">
        <v>58</v>
      </c>
      <c r="J22" s="12">
        <v>0.17811008035514522</v>
      </c>
      <c r="K22" s="6">
        <f t="shared" si="19"/>
        <v>304.72749418950002</v>
      </c>
      <c r="L22" s="6"/>
      <c r="M22" s="6"/>
      <c r="N22" s="7">
        <v>15.217441591000002</v>
      </c>
      <c r="O22" s="7">
        <v>14.027586835999996</v>
      </c>
      <c r="P22" s="7">
        <v>77.297597078999985</v>
      </c>
      <c r="Q22" s="7">
        <v>79.340551257000016</v>
      </c>
      <c r="R22" s="7">
        <v>36.42985784550001</v>
      </c>
      <c r="S22" s="7">
        <v>29.094603780199975</v>
      </c>
      <c r="T22" s="7">
        <v>49.82860161130003</v>
      </c>
      <c r="U22" s="6">
        <v>3.4912541894999998</v>
      </c>
      <c r="V22" s="6">
        <v>5.4989999999999997E-2</v>
      </c>
      <c r="W22" s="6">
        <v>4059.8907742000001</v>
      </c>
      <c r="X22" s="6">
        <v>100.25638247069999</v>
      </c>
      <c r="Y22" s="6">
        <v>148.45841472490002</v>
      </c>
      <c r="Z22" s="6">
        <v>74.603307070049993</v>
      </c>
      <c r="AA22" s="6">
        <v>36.601697680994995</v>
      </c>
      <c r="AB22" s="6">
        <f t="shared" si="20"/>
        <v>4419.8655661466446</v>
      </c>
      <c r="AC22" s="7">
        <v>207.420784037</v>
      </c>
      <c r="AD22" s="7">
        <v>199.50798416999999</v>
      </c>
      <c r="AE22" s="7">
        <v>1111.0303758290004</v>
      </c>
      <c r="AF22" s="7">
        <v>1123.6617879289995</v>
      </c>
      <c r="AG22" s="7">
        <v>676.76684181300016</v>
      </c>
      <c r="AH22" s="7">
        <v>362.76835145750056</v>
      </c>
      <c r="AI22" s="7">
        <v>690.87253476449951</v>
      </c>
      <c r="AJ22" s="6">
        <v>47.836906146645006</v>
      </c>
      <c r="AK22" s="6">
        <f t="shared" si="21"/>
        <v>4419.8655661466446</v>
      </c>
      <c r="AL22" s="3">
        <f t="shared" si="22"/>
        <v>36.433225034612626</v>
      </c>
      <c r="AM22" s="3">
        <f t="shared" si="23"/>
        <v>1.3210990859753402</v>
      </c>
      <c r="AN22" s="42">
        <f t="shared" si="6"/>
        <v>22.708364814174114</v>
      </c>
      <c r="AP22" s="3">
        <f t="shared" si="1"/>
        <v>61.936482558841462</v>
      </c>
      <c r="AQ22" s="44"/>
      <c r="AR22" s="42">
        <f t="shared" si="7"/>
        <v>26.928905460365851</v>
      </c>
      <c r="AS22" s="44"/>
      <c r="AT22" s="3"/>
      <c r="AU22" s="42"/>
      <c r="AV22" s="3"/>
      <c r="AW22" s="3">
        <f t="shared" si="8"/>
        <v>41.637971468128718</v>
      </c>
      <c r="AX22" s="3"/>
      <c r="AY22" s="42">
        <f t="shared" si="9"/>
        <v>32.385088919655672</v>
      </c>
      <c r="AZ22" s="3"/>
      <c r="BA22" s="3">
        <f t="shared" si="10"/>
        <v>18.923637345145096</v>
      </c>
      <c r="BB22" s="42"/>
      <c r="BC22" s="48"/>
      <c r="BD22" s="3">
        <f t="shared" si="11"/>
        <v>41.493395178308823</v>
      </c>
      <c r="BE22" s="3"/>
      <c r="BF22" s="3"/>
    </row>
    <row r="23" spans="1:58" x14ac:dyDescent="0.25">
      <c r="A23" s="4">
        <v>2020</v>
      </c>
      <c r="B23" s="4" t="s">
        <v>18</v>
      </c>
      <c r="C23" s="4" t="s">
        <v>30</v>
      </c>
      <c r="D23" s="4" t="s">
        <v>26</v>
      </c>
      <c r="E23" s="4" t="s">
        <v>204</v>
      </c>
      <c r="F23" s="4" t="s">
        <v>31</v>
      </c>
      <c r="G23" s="4">
        <v>1</v>
      </c>
      <c r="H23" s="4" t="s">
        <v>32</v>
      </c>
      <c r="I23" s="4" t="s">
        <v>59</v>
      </c>
      <c r="J23" s="12">
        <v>0.22132949085655271</v>
      </c>
      <c r="K23" s="6">
        <f t="shared" si="19"/>
        <v>297.32741460825002</v>
      </c>
      <c r="L23" s="6"/>
      <c r="M23" s="6"/>
      <c r="N23" s="7">
        <v>14.831421332000001</v>
      </c>
      <c r="O23" s="7">
        <v>13.496601451999998</v>
      </c>
      <c r="P23" s="7">
        <v>74.474369987999992</v>
      </c>
      <c r="Q23" s="7">
        <v>76.834991140999989</v>
      </c>
      <c r="R23" s="7">
        <v>36.212138200500021</v>
      </c>
      <c r="S23" s="7">
        <v>28.317654254000018</v>
      </c>
      <c r="T23" s="7">
        <v>49.698813632499991</v>
      </c>
      <c r="U23" s="6">
        <v>3.4614246082499998</v>
      </c>
      <c r="V23" s="6">
        <v>5.4469999999999998E-2</v>
      </c>
      <c r="W23" s="6">
        <v>3602.8395216999998</v>
      </c>
      <c r="X23" s="6">
        <v>373.40441048445001</v>
      </c>
      <c r="Y23" s="6">
        <v>143.67621569615</v>
      </c>
      <c r="Z23" s="6">
        <v>96.597991240675</v>
      </c>
      <c r="AA23" s="6">
        <v>21.467494313932502</v>
      </c>
      <c r="AB23" s="6">
        <f t="shared" si="20"/>
        <v>4238.0401034352071</v>
      </c>
      <c r="AC23" s="7">
        <v>198.30572830500003</v>
      </c>
      <c r="AD23" s="7">
        <v>185.801144502</v>
      </c>
      <c r="AE23" s="7">
        <v>1038.1515385290002</v>
      </c>
      <c r="AF23" s="7">
        <v>1064.4975584189999</v>
      </c>
      <c r="AG23" s="7">
        <v>671.62600395899926</v>
      </c>
      <c r="AH23" s="7">
        <v>344.42207673810071</v>
      </c>
      <c r="AI23" s="7">
        <v>687.80786954789937</v>
      </c>
      <c r="AJ23" s="6">
        <v>47.428183435207501</v>
      </c>
      <c r="AK23" s="6">
        <f t="shared" si="21"/>
        <v>4238.0401034352071</v>
      </c>
      <c r="AL23" s="3">
        <f t="shared" si="22"/>
        <v>35.548471378317792</v>
      </c>
      <c r="AM23" s="3">
        <f t="shared" si="23"/>
        <v>1.2667514029971574</v>
      </c>
      <c r="AN23" s="42">
        <f t="shared" si="6"/>
        <v>23.682626227229306</v>
      </c>
      <c r="AP23" s="3">
        <f t="shared" si="1"/>
        <v>60.432401343140249</v>
      </c>
      <c r="AQ23" s="44"/>
      <c r="AR23" s="42">
        <f t="shared" si="7"/>
        <v>26.274957105713153</v>
      </c>
      <c r="AS23" s="44"/>
      <c r="AT23" s="3"/>
      <c r="AU23" s="42"/>
      <c r="AV23" s="3"/>
      <c r="AW23" s="3">
        <f t="shared" si="8"/>
        <v>40.626824432363193</v>
      </c>
      <c r="AX23" s="3"/>
      <c r="AY23" s="42">
        <f t="shared" si="9"/>
        <v>31.59864122517137</v>
      </c>
      <c r="AZ23" s="3"/>
      <c r="BA23" s="3">
        <f t="shared" si="10"/>
        <v>19.73552185602442</v>
      </c>
      <c r="BB23" s="42"/>
      <c r="BC23" s="48"/>
      <c r="BD23" s="3">
        <f t="shared" si="11"/>
        <v>40.48575906975082</v>
      </c>
      <c r="BE23" s="3"/>
      <c r="BF23" s="3"/>
    </row>
    <row r="24" spans="1:58" x14ac:dyDescent="0.25">
      <c r="A24" s="4">
        <v>2020</v>
      </c>
      <c r="B24" s="4" t="s">
        <v>18</v>
      </c>
      <c r="C24" s="4"/>
      <c r="D24" s="4"/>
      <c r="E24" s="4"/>
      <c r="F24" s="4"/>
      <c r="G24" s="4"/>
      <c r="H24" s="4"/>
      <c r="I24" s="4"/>
      <c r="J24" s="4"/>
      <c r="K24" s="10">
        <f>$J18*K18+$J19*K19+$J20*K20+$J21*K21+$J22*K22+$J23*K23</f>
        <v>324.29720976070615</v>
      </c>
      <c r="L24" s="10"/>
      <c r="M24" s="10"/>
      <c r="N24" s="6">
        <f t="shared" ref="N24:AJ24" si="24">$J18*N18+$J19*N19+$J20*N20+$J21*N21+$J22*N22+$J23*N23</f>
        <v>16.218121422252587</v>
      </c>
      <c r="O24" s="6">
        <f t="shared" si="24"/>
        <v>15.474334033590178</v>
      </c>
      <c r="P24" s="6">
        <f t="shared" si="24"/>
        <v>84.989892706448188</v>
      </c>
      <c r="Q24" s="6">
        <f t="shared" si="24"/>
        <v>85.844502584482143</v>
      </c>
      <c r="R24" s="6">
        <f t="shared" si="24"/>
        <v>36.994251369567891</v>
      </c>
      <c r="S24" s="6">
        <f t="shared" si="24"/>
        <v>31.111610457053231</v>
      </c>
      <c r="T24" s="6">
        <f t="shared" si="24"/>
        <v>50.165052300960141</v>
      </c>
      <c r="U24" s="6">
        <f t="shared" si="24"/>
        <v>3.4994448863518062</v>
      </c>
      <c r="V24" s="6">
        <f t="shared" si="24"/>
        <v>5.6952624307305022E-2</v>
      </c>
      <c r="W24" s="6">
        <f t="shared" si="24"/>
        <v>4043.9914079403175</v>
      </c>
      <c r="X24" s="6">
        <f t="shared" si="24"/>
        <v>222.4505879748998</v>
      </c>
      <c r="Y24" s="6">
        <f t="shared" si="24"/>
        <v>252.71439913816624</v>
      </c>
      <c r="Z24" s="6">
        <f t="shared" si="24"/>
        <v>108.31240980878283</v>
      </c>
      <c r="AA24" s="6">
        <f t="shared" si="24"/>
        <v>27.192128424445798</v>
      </c>
      <c r="AB24" s="10">
        <f t="shared" si="24"/>
        <v>4654.717885910919</v>
      </c>
      <c r="AC24" s="6">
        <f t="shared" si="24"/>
        <v>219.56383533847043</v>
      </c>
      <c r="AD24" s="6">
        <f t="shared" si="24"/>
        <v>216.6679609835877</v>
      </c>
      <c r="AE24" s="6">
        <f t="shared" si="24"/>
        <v>1202.2692594517991</v>
      </c>
      <c r="AF24" s="6">
        <f t="shared" si="24"/>
        <v>1202.4855849911794</v>
      </c>
      <c r="AG24" s="6">
        <f t="shared" si="24"/>
        <v>683.61565016827683</v>
      </c>
      <c r="AH24" s="6">
        <f t="shared" si="24"/>
        <v>387.21116108443658</v>
      </c>
      <c r="AI24" s="6">
        <f t="shared" si="24"/>
        <v>694.95529942532244</v>
      </c>
      <c r="AJ24" s="6">
        <f t="shared" si="24"/>
        <v>47.949134467846548</v>
      </c>
      <c r="AK24" s="10">
        <f>$J18*AK18+$J19*AK19+$J20*AK20+$J21*AK21+$J22*AK22+$J23*AK23</f>
        <v>4654.717885910919</v>
      </c>
      <c r="AL24" s="41">
        <f t="shared" si="22"/>
        <v>38.772980602666927</v>
      </c>
      <c r="AM24" s="41">
        <f t="shared" si="23"/>
        <v>1.3912965117423564</v>
      </c>
      <c r="AN24" s="43">
        <f t="shared" si="6"/>
        <v>21.562621444676971</v>
      </c>
      <c r="AP24" s="41">
        <f t="shared" si="1"/>
        <v>65.914067024533779</v>
      </c>
      <c r="AQ24" s="53"/>
      <c r="AR24" s="43">
        <f t="shared" si="7"/>
        <v>28.65829001066686</v>
      </c>
      <c r="AS24" s="53"/>
      <c r="AT24" s="41"/>
      <c r="AU24" s="43"/>
      <c r="AV24" s="41"/>
      <c r="AW24" s="41">
        <f t="shared" si="8"/>
        <v>44.311977831619345</v>
      </c>
      <c r="AX24" s="41"/>
      <c r="AY24" s="43">
        <f t="shared" si="9"/>
        <v>34.464871646815048</v>
      </c>
      <c r="AZ24" s="41"/>
      <c r="BA24" s="41">
        <f t="shared" si="10"/>
        <v>17.968851203897476</v>
      </c>
      <c r="BB24" s="43"/>
      <c r="BC24" s="54"/>
      <c r="BD24" s="41">
        <f t="shared" si="11"/>
        <v>44.158116797481775</v>
      </c>
      <c r="BE24" s="3"/>
      <c r="BF24" s="3"/>
    </row>
    <row r="25" spans="1:58" x14ac:dyDescent="0.25">
      <c r="A25" s="4">
        <v>2020</v>
      </c>
      <c r="B25" s="4" t="s">
        <v>47</v>
      </c>
      <c r="C25" s="4" t="s">
        <v>48</v>
      </c>
      <c r="D25" s="4" t="s">
        <v>26</v>
      </c>
      <c r="E25" s="4" t="s">
        <v>205</v>
      </c>
      <c r="F25" s="4" t="s">
        <v>31</v>
      </c>
      <c r="G25" s="4">
        <v>1</v>
      </c>
      <c r="H25" s="4" t="s">
        <v>32</v>
      </c>
      <c r="I25" s="4" t="s">
        <v>48</v>
      </c>
      <c r="J25" s="9">
        <v>1</v>
      </c>
      <c r="K25" s="10">
        <f>SUM(N25:U25)</f>
        <v>248.50627</v>
      </c>
      <c r="L25" s="10"/>
      <c r="M25" s="10" t="s">
        <v>278</v>
      </c>
      <c r="N25" s="7">
        <v>12.471599131</v>
      </c>
      <c r="O25" s="7">
        <v>10.239462998</v>
      </c>
      <c r="P25" s="7">
        <v>57.158756651000004</v>
      </c>
      <c r="Q25" s="7">
        <v>61.534347079000014</v>
      </c>
      <c r="R25" s="7">
        <v>34.868165359499983</v>
      </c>
      <c r="S25" s="7">
        <v>23.541583980899986</v>
      </c>
      <c r="T25" s="7">
        <v>48.692354800600015</v>
      </c>
      <c r="U25" s="70"/>
      <c r="V25" s="7">
        <v>5.423E-2</v>
      </c>
      <c r="W25" s="7">
        <v>3230.0633200000002</v>
      </c>
      <c r="X25" s="7">
        <v>146.59220999999999</v>
      </c>
      <c r="Y25" s="7">
        <v>882.23969999999997</v>
      </c>
      <c r="Z25" s="7">
        <v>101.79944999999999</v>
      </c>
      <c r="AA25" s="7">
        <v>118.50059</v>
      </c>
      <c r="AB25" s="10">
        <f t="shared" si="20"/>
        <v>4479.2494999999999</v>
      </c>
      <c r="AC25" s="7">
        <v>212.84302683300001</v>
      </c>
      <c r="AD25" s="7">
        <v>207.95123217399998</v>
      </c>
      <c r="AE25" s="7">
        <v>1155.9305414249998</v>
      </c>
      <c r="AF25" s="7">
        <v>1158.8707907300002</v>
      </c>
      <c r="AG25" s="7">
        <v>679.7844139244994</v>
      </c>
      <c r="AH25" s="7">
        <v>373.59601251010054</v>
      </c>
      <c r="AI25" s="7">
        <v>690.27348240340007</v>
      </c>
      <c r="AJ25" s="7"/>
      <c r="AK25" s="10">
        <f t="shared" ref="AK25:AK31" si="25">SUM(AC25:AJ25)</f>
        <v>4479.2494999999999</v>
      </c>
      <c r="AL25" s="41">
        <f t="shared" si="22"/>
        <v>29.711414395026303</v>
      </c>
      <c r="AM25" s="41">
        <f t="shared" si="23"/>
        <v>1.3388489608439744</v>
      </c>
      <c r="AN25" s="43">
        <f t="shared" si="6"/>
        <v>22.407307229852726</v>
      </c>
      <c r="AP25" s="41">
        <f t="shared" si="1"/>
        <v>50.50940447154472</v>
      </c>
      <c r="AQ25" s="53"/>
      <c r="AR25" s="43">
        <f t="shared" si="7"/>
        <v>21.960610639802052</v>
      </c>
      <c r="AS25" s="53"/>
      <c r="AT25" s="41"/>
      <c r="AU25" s="43"/>
      <c r="AV25" s="41"/>
      <c r="AW25" s="41">
        <f t="shared" si="8"/>
        <v>33.955902165744348</v>
      </c>
      <c r="AX25" s="41"/>
      <c r="AY25" s="43">
        <f t="shared" si="9"/>
        <v>26.41014612891227</v>
      </c>
      <c r="AZ25" s="41"/>
      <c r="BA25" s="41">
        <f t="shared" si="10"/>
        <v>18.67275602487727</v>
      </c>
      <c r="BB25" s="43"/>
      <c r="BC25" s="54"/>
      <c r="BD25" s="41">
        <f t="shared" si="11"/>
        <v>33.837999727668844</v>
      </c>
      <c r="BE25" s="3"/>
      <c r="BF25" s="3"/>
    </row>
    <row r="26" spans="1:58" x14ac:dyDescent="0.25">
      <c r="A26" s="4">
        <v>2025</v>
      </c>
      <c r="B26" s="4" t="s">
        <v>47</v>
      </c>
      <c r="C26" s="4" t="s">
        <v>48</v>
      </c>
      <c r="D26" s="4" t="s">
        <v>26</v>
      </c>
      <c r="E26" s="4" t="s">
        <v>206</v>
      </c>
      <c r="F26" s="4" t="s">
        <v>31</v>
      </c>
      <c r="G26" s="4">
        <v>1</v>
      </c>
      <c r="H26" s="4" t="s">
        <v>32</v>
      </c>
      <c r="I26" s="4" t="s">
        <v>48</v>
      </c>
      <c r="J26" s="9">
        <v>1</v>
      </c>
      <c r="K26" s="6">
        <f t="shared" ref="K26:K31" si="26">SUM(N26:U26)</f>
        <v>233.23093</v>
      </c>
      <c r="L26" s="6" t="s">
        <v>276</v>
      </c>
      <c r="M26" s="100">
        <f>1-K26/$K$24</f>
        <v>0.28081117265209443</v>
      </c>
      <c r="N26" s="7">
        <v>11.68352273</v>
      </c>
      <c r="O26" s="7">
        <v>9.1192535800000005</v>
      </c>
      <c r="P26" s="7">
        <v>51.202652122000003</v>
      </c>
      <c r="Q26" s="7">
        <v>56.419056745999995</v>
      </c>
      <c r="R26" s="7">
        <v>34.423681000499982</v>
      </c>
      <c r="S26" s="7">
        <v>21.955374608200003</v>
      </c>
      <c r="T26" s="7">
        <v>48.427389213300017</v>
      </c>
      <c r="U26" s="7"/>
      <c r="V26" s="7">
        <v>5.4100000000000002E-2</v>
      </c>
      <c r="W26" s="7">
        <v>3038.0803799999999</v>
      </c>
      <c r="X26" s="7">
        <v>144.79402999999999</v>
      </c>
      <c r="Y26" s="7">
        <v>800.84028000000001</v>
      </c>
      <c r="Z26" s="7">
        <v>100.56522</v>
      </c>
      <c r="AA26" s="7">
        <v>185.49292</v>
      </c>
      <c r="AB26" s="6">
        <f t="shared" si="20"/>
        <v>4269.8269299999993</v>
      </c>
      <c r="AC26" s="7">
        <v>202.02213016500002</v>
      </c>
      <c r="AD26" s="7">
        <v>192.62037786600001</v>
      </c>
      <c r="AE26" s="7">
        <v>1074.4170145969999</v>
      </c>
      <c r="AF26" s="7">
        <v>1088.6344721980001</v>
      </c>
      <c r="AG26" s="7">
        <v>673.68134258399959</v>
      </c>
      <c r="AH26" s="7">
        <v>351.81634795109994</v>
      </c>
      <c r="AI26" s="7">
        <v>686.63524463889962</v>
      </c>
      <c r="AJ26" s="7"/>
      <c r="AK26" s="6">
        <f t="shared" si="25"/>
        <v>4269.8269299999993</v>
      </c>
      <c r="AL26" s="3">
        <f t="shared" si="22"/>
        <v>27.88509445241511</v>
      </c>
      <c r="AM26" s="3">
        <f t="shared" si="23"/>
        <v>1.2762524945784146</v>
      </c>
      <c r="AN26" s="42">
        <f t="shared" si="6"/>
        <v>23.506320361716451</v>
      </c>
      <c r="AP26" s="3">
        <f t="shared" si="1"/>
        <v>47.404660569105687</v>
      </c>
      <c r="AQ26" s="44"/>
      <c r="AR26" s="42">
        <f t="shared" si="7"/>
        <v>20.610721986567693</v>
      </c>
      <c r="AS26" s="44"/>
      <c r="AT26" s="3">
        <f t="shared" ref="AT26:AT31" si="27">AM26/$AU$3*$AT$3</f>
        <v>2.9779224873496339</v>
      </c>
      <c r="AU26" s="42"/>
      <c r="AV26" s="3"/>
      <c r="AW26" s="3">
        <f t="shared" si="8"/>
        <v>31.868679374188702</v>
      </c>
      <c r="AX26" s="3"/>
      <c r="AY26" s="42">
        <f t="shared" si="9"/>
        <v>24.786750624368988</v>
      </c>
      <c r="AZ26" s="3"/>
      <c r="BA26" s="3">
        <f t="shared" si="10"/>
        <v>19.588600301430375</v>
      </c>
      <c r="BB26" s="42"/>
      <c r="BC26" s="48"/>
      <c r="BD26" s="3">
        <f t="shared" si="11"/>
        <v>31.758024237472764</v>
      </c>
      <c r="BE26" s="3"/>
      <c r="BF26" s="3">
        <f t="shared" ref="BF26:BF31" si="28">AL26*BE$3/BF$3</f>
        <v>23.818518178104572</v>
      </c>
    </row>
    <row r="27" spans="1:58" x14ac:dyDescent="0.25">
      <c r="A27" s="4">
        <v>2030</v>
      </c>
      <c r="B27" s="4" t="s">
        <v>47</v>
      </c>
      <c r="C27" s="4" t="s">
        <v>48</v>
      </c>
      <c r="D27" s="4" t="s">
        <v>26</v>
      </c>
      <c r="E27" s="4" t="s">
        <v>207</v>
      </c>
      <c r="F27" s="4" t="s">
        <v>31</v>
      </c>
      <c r="G27" s="4">
        <v>1</v>
      </c>
      <c r="H27" s="4" t="s">
        <v>32</v>
      </c>
      <c r="I27" s="4" t="s">
        <v>48</v>
      </c>
      <c r="J27" s="9">
        <v>1</v>
      </c>
      <c r="K27" s="6">
        <f t="shared" si="26"/>
        <v>229.94698</v>
      </c>
      <c r="L27" s="6" t="s">
        <v>277</v>
      </c>
      <c r="M27" s="100">
        <f t="shared" ref="M27:M31" si="29">1-K27/$K$24</f>
        <v>0.29093753174850234</v>
      </c>
      <c r="N27" s="7">
        <v>11.512133658</v>
      </c>
      <c r="O27" s="7">
        <v>8.8816542079999987</v>
      </c>
      <c r="P27" s="7">
        <v>49.939352937999992</v>
      </c>
      <c r="Q27" s="7">
        <v>55.306631154000023</v>
      </c>
      <c r="R27" s="7">
        <v>34.327017931499995</v>
      </c>
      <c r="S27" s="7">
        <v>21.610435139299966</v>
      </c>
      <c r="T27" s="7">
        <v>48.369754971200024</v>
      </c>
      <c r="U27" s="7"/>
      <c r="V27" s="7">
        <v>5.4149999999999997E-2</v>
      </c>
      <c r="W27" s="7">
        <v>2999.6995299999999</v>
      </c>
      <c r="X27" s="7">
        <v>142.53137000000001</v>
      </c>
      <c r="Y27" s="7">
        <v>683.97472000000005</v>
      </c>
      <c r="Z27" s="7">
        <v>99.441580000000002</v>
      </c>
      <c r="AA27" s="7">
        <v>193.92341999999999</v>
      </c>
      <c r="AB27" s="6">
        <f t="shared" si="20"/>
        <v>4119.6247700000004</v>
      </c>
      <c r="AC27" s="7">
        <v>194.24363152799998</v>
      </c>
      <c r="AD27" s="7">
        <v>181.65364083399996</v>
      </c>
      <c r="AE27" s="7">
        <v>1016.1073397839997</v>
      </c>
      <c r="AF27" s="7">
        <v>1038.1457885310001</v>
      </c>
      <c r="AG27" s="7">
        <v>669.29418700199994</v>
      </c>
      <c r="AH27" s="7">
        <v>336.16021719220089</v>
      </c>
      <c r="AI27" s="7">
        <v>684.01996512879987</v>
      </c>
      <c r="AJ27" s="7"/>
      <c r="AK27" s="6">
        <f t="shared" si="25"/>
        <v>4119.6247700000004</v>
      </c>
      <c r="AL27" s="3">
        <f t="shared" si="22"/>
        <v>27.492465327594452</v>
      </c>
      <c r="AM27" s="3">
        <f t="shared" si="23"/>
        <v>1.2313570258547994</v>
      </c>
      <c r="AN27" s="42">
        <f t="shared" si="6"/>
        <v>24.363364458958774</v>
      </c>
      <c r="AP27" s="3">
        <f t="shared" si="1"/>
        <v>46.737191056910568</v>
      </c>
      <c r="AQ27" s="44"/>
      <c r="AR27" s="42">
        <f t="shared" si="7"/>
        <v>20.320517850830683</v>
      </c>
      <c r="AS27" s="44"/>
      <c r="AT27" s="3">
        <f t="shared" si="27"/>
        <v>2.8731663936611986</v>
      </c>
      <c r="AU27" s="42"/>
      <c r="AV27" s="3"/>
      <c r="AW27" s="3">
        <f t="shared" si="8"/>
        <v>31.419960374393664</v>
      </c>
      <c r="AX27" s="3"/>
      <c r="AY27" s="42">
        <f t="shared" si="9"/>
        <v>24.437746957861734</v>
      </c>
      <c r="AZ27" s="3"/>
      <c r="BA27" s="3">
        <f t="shared" si="10"/>
        <v>20.30280371579898</v>
      </c>
      <c r="BB27" s="42"/>
      <c r="BC27" s="48"/>
      <c r="BD27" s="3">
        <f t="shared" si="11"/>
        <v>31.310863289760348</v>
      </c>
      <c r="BE27" s="3"/>
      <c r="BF27" s="3">
        <f t="shared" si="28"/>
        <v>23.483147467320261</v>
      </c>
    </row>
    <row r="28" spans="1:58" x14ac:dyDescent="0.25">
      <c r="A28" s="4">
        <v>2035</v>
      </c>
      <c r="B28" s="4" t="s">
        <v>47</v>
      </c>
      <c r="C28" s="4" t="s">
        <v>48</v>
      </c>
      <c r="D28" s="4" t="s">
        <v>26</v>
      </c>
      <c r="E28" s="4" t="s">
        <v>208</v>
      </c>
      <c r="F28" s="4" t="s">
        <v>31</v>
      </c>
      <c r="G28" s="4">
        <v>1</v>
      </c>
      <c r="H28" s="4" t="s">
        <v>32</v>
      </c>
      <c r="I28" s="4" t="s">
        <v>48</v>
      </c>
      <c r="J28" s="9">
        <v>1</v>
      </c>
      <c r="K28" s="10">
        <f t="shared" si="26"/>
        <v>224.12483</v>
      </c>
      <c r="L28" s="6" t="s">
        <v>279</v>
      </c>
      <c r="M28" s="100">
        <f t="shared" si="29"/>
        <v>0.30889066185497493</v>
      </c>
      <c r="N28" s="7">
        <v>11.210228547000002</v>
      </c>
      <c r="O28" s="7">
        <v>8.4572075679999994</v>
      </c>
      <c r="P28" s="7">
        <v>47.682589715000006</v>
      </c>
      <c r="Q28" s="7">
        <v>53.347034196000017</v>
      </c>
      <c r="R28" s="7">
        <v>34.156738342499992</v>
      </c>
      <c r="S28" s="7">
        <v>21.002774290899993</v>
      </c>
      <c r="T28" s="7">
        <v>48.268257340600002</v>
      </c>
      <c r="U28" s="7"/>
      <c r="V28" s="7">
        <v>5.4129999999999998E-2</v>
      </c>
      <c r="W28" s="7">
        <v>2935.69443</v>
      </c>
      <c r="X28" s="7">
        <v>139.64214999999999</v>
      </c>
      <c r="Y28" s="7">
        <v>646.79742999999996</v>
      </c>
      <c r="Z28" s="7">
        <v>98.685550000000006</v>
      </c>
      <c r="AA28" s="7">
        <v>203.73715999999999</v>
      </c>
      <c r="AB28" s="10">
        <f t="shared" si="20"/>
        <v>4024.6108500000005</v>
      </c>
      <c r="AC28" s="7">
        <v>189.30371344800002</v>
      </c>
      <c r="AD28" s="7">
        <v>174.74841660199996</v>
      </c>
      <c r="AE28" s="7">
        <v>979.39254922399982</v>
      </c>
      <c r="AF28" s="7">
        <v>1006.0816980470006</v>
      </c>
      <c r="AG28" s="7">
        <v>666.50802311849884</v>
      </c>
      <c r="AH28" s="7">
        <v>326.21740334250035</v>
      </c>
      <c r="AI28" s="7">
        <v>682.35904621800091</v>
      </c>
      <c r="AJ28" s="7"/>
      <c r="AK28" s="10">
        <f t="shared" si="25"/>
        <v>4024.6108500000005</v>
      </c>
      <c r="AL28" s="41">
        <f t="shared" si="22"/>
        <v>26.796368962219034</v>
      </c>
      <c r="AM28" s="41">
        <f t="shared" si="23"/>
        <v>1.2029573379031206</v>
      </c>
      <c r="AN28" s="43">
        <f t="shared" si="6"/>
        <v>24.938540258038667</v>
      </c>
      <c r="AP28" s="41">
        <f t="shared" si="1"/>
        <v>45.55382723577236</v>
      </c>
      <c r="AQ28" s="53"/>
      <c r="AR28" s="43">
        <f t="shared" si="7"/>
        <v>19.806011841640156</v>
      </c>
      <c r="AS28" s="53"/>
      <c r="AT28" s="41">
        <f t="shared" si="27"/>
        <v>2.8069004551072814</v>
      </c>
      <c r="AU28" s="43"/>
      <c r="AV28" s="41"/>
      <c r="AW28" s="41">
        <f t="shared" si="8"/>
        <v>30.624421671107473</v>
      </c>
      <c r="AX28" s="41"/>
      <c r="AY28" s="43">
        <f t="shared" si="9"/>
        <v>23.818994633083587</v>
      </c>
      <c r="AZ28" s="41"/>
      <c r="BA28" s="41">
        <f t="shared" si="10"/>
        <v>20.78211688169889</v>
      </c>
      <c r="BB28" s="43"/>
      <c r="BC28" s="54"/>
      <c r="BD28" s="41">
        <f t="shared" si="11"/>
        <v>30.518086873638342</v>
      </c>
      <c r="BE28" s="41"/>
      <c r="BF28" s="41">
        <f t="shared" si="28"/>
        <v>22.888565155228758</v>
      </c>
    </row>
    <row r="29" spans="1:58" x14ac:dyDescent="0.25">
      <c r="A29" s="4">
        <v>2040</v>
      </c>
      <c r="B29" s="4" t="s">
        <v>47</v>
      </c>
      <c r="C29" s="4" t="s">
        <v>48</v>
      </c>
      <c r="D29" s="4" t="s">
        <v>26</v>
      </c>
      <c r="E29" s="4" t="s">
        <v>209</v>
      </c>
      <c r="F29" s="4" t="s">
        <v>31</v>
      </c>
      <c r="G29" s="4">
        <v>1</v>
      </c>
      <c r="H29" s="4" t="s">
        <v>32</v>
      </c>
      <c r="I29" s="4" t="s">
        <v>48</v>
      </c>
      <c r="J29" s="9">
        <v>1</v>
      </c>
      <c r="K29" s="6">
        <f t="shared" si="26"/>
        <v>221.05829</v>
      </c>
      <c r="L29" s="6" t="s">
        <v>280</v>
      </c>
      <c r="M29" s="100">
        <f t="shared" si="29"/>
        <v>0.31834661740347547</v>
      </c>
      <c r="N29" s="7">
        <v>11.051066994999999</v>
      </c>
      <c r="O29" s="7">
        <v>8.2338943160000007</v>
      </c>
      <c r="P29" s="7">
        <v>46.495239890999997</v>
      </c>
      <c r="Q29" s="7">
        <v>52.313958248999995</v>
      </c>
      <c r="R29" s="7">
        <v>34.066968293999992</v>
      </c>
      <c r="S29" s="7">
        <v>20.682427268099985</v>
      </c>
      <c r="T29" s="7">
        <v>48.214734986900027</v>
      </c>
      <c r="U29" s="7"/>
      <c r="V29" s="7">
        <v>5.407E-2</v>
      </c>
      <c r="W29" s="7">
        <v>2914.9080199999999</v>
      </c>
      <c r="X29" s="7">
        <v>136.47765999999999</v>
      </c>
      <c r="Y29" s="7">
        <v>613.10019999999997</v>
      </c>
      <c r="Z29" s="7">
        <v>97.100909999999999</v>
      </c>
      <c r="AA29" s="7">
        <v>202.34665000000001</v>
      </c>
      <c r="AB29" s="6">
        <f t="shared" si="20"/>
        <v>3963.9875099999999</v>
      </c>
      <c r="AC29" s="7">
        <v>186.15457935699999</v>
      </c>
      <c r="AD29" s="7">
        <v>170.338030632</v>
      </c>
      <c r="AE29" s="7">
        <v>955.94271924499992</v>
      </c>
      <c r="AF29" s="7">
        <v>985.64111835300025</v>
      </c>
      <c r="AG29" s="7">
        <v>664.73186589449915</v>
      </c>
      <c r="AH29" s="7">
        <v>319.8789669852008</v>
      </c>
      <c r="AI29" s="7">
        <v>681.3002295332999</v>
      </c>
      <c r="AJ29" s="7"/>
      <c r="AK29" s="6">
        <f t="shared" si="25"/>
        <v>3963.9875099999999</v>
      </c>
      <c r="AL29" s="3">
        <f t="shared" si="22"/>
        <v>26.429733381157341</v>
      </c>
      <c r="AM29" s="3">
        <f t="shared" si="23"/>
        <v>1.1848370041816139</v>
      </c>
      <c r="AN29" s="42">
        <f t="shared" si="6"/>
        <v>25.319938433828277</v>
      </c>
      <c r="AP29" s="3">
        <f t="shared" si="1"/>
        <v>44.930546747967476</v>
      </c>
      <c r="AQ29" s="44"/>
      <c r="AR29" s="42">
        <f t="shared" si="7"/>
        <v>19.535020325203252</v>
      </c>
      <c r="AS29" s="44"/>
      <c r="AT29" s="3">
        <f t="shared" si="27"/>
        <v>2.7646196764237656</v>
      </c>
      <c r="AU29" s="42"/>
      <c r="AV29" s="3"/>
      <c r="AW29" s="3">
        <f t="shared" si="8"/>
        <v>30.205409578465535</v>
      </c>
      <c r="AX29" s="3"/>
      <c r="AY29" s="42">
        <f t="shared" si="9"/>
        <v>23.493096338806524</v>
      </c>
      <c r="AZ29" s="3"/>
      <c r="BA29" s="3">
        <f t="shared" si="10"/>
        <v>21.099948694856899</v>
      </c>
      <c r="BB29" s="42"/>
      <c r="BC29" s="48"/>
      <c r="BD29" s="3">
        <f t="shared" si="11"/>
        <v>30.100529684095861</v>
      </c>
      <c r="BE29" s="3"/>
      <c r="BF29" s="3">
        <f t="shared" si="28"/>
        <v>22.575397263071896</v>
      </c>
    </row>
    <row r="30" spans="1:58" x14ac:dyDescent="0.25">
      <c r="A30" s="4">
        <v>2045</v>
      </c>
      <c r="B30" s="4" t="s">
        <v>47</v>
      </c>
      <c r="C30" s="4" t="s">
        <v>48</v>
      </c>
      <c r="D30" s="4" t="s">
        <v>26</v>
      </c>
      <c r="E30" s="4" t="s">
        <v>210</v>
      </c>
      <c r="F30" s="4" t="s">
        <v>31</v>
      </c>
      <c r="G30" s="4">
        <v>1</v>
      </c>
      <c r="H30" s="4" t="s">
        <v>32</v>
      </c>
      <c r="I30" s="4" t="s">
        <v>48</v>
      </c>
      <c r="J30" s="9">
        <v>1</v>
      </c>
      <c r="K30" s="6">
        <f t="shared" si="26"/>
        <v>218.09030999999999</v>
      </c>
      <c r="L30" s="6" t="s">
        <v>281</v>
      </c>
      <c r="M30" s="100">
        <f t="shared" si="29"/>
        <v>0.32749865421005186</v>
      </c>
      <c r="N30" s="7">
        <v>10.897509723000001</v>
      </c>
      <c r="O30" s="7">
        <v>8.0169609879999992</v>
      </c>
      <c r="P30" s="7">
        <v>45.341811946999997</v>
      </c>
      <c r="Q30" s="7">
        <v>51.317219484000013</v>
      </c>
      <c r="R30" s="7">
        <v>33.980358302999988</v>
      </c>
      <c r="S30" s="7">
        <v>20.373339866500004</v>
      </c>
      <c r="T30" s="7">
        <v>48.163109688499986</v>
      </c>
      <c r="U30" s="7"/>
      <c r="V30" s="7">
        <v>5.4030000000000002E-2</v>
      </c>
      <c r="W30" s="7">
        <v>2892.8309199999999</v>
      </c>
      <c r="X30" s="7">
        <v>132.73199</v>
      </c>
      <c r="Y30" s="7">
        <v>591.89013</v>
      </c>
      <c r="Z30" s="7">
        <v>95.814639999999997</v>
      </c>
      <c r="AA30" s="7">
        <v>197.74834000000001</v>
      </c>
      <c r="AB30" s="6">
        <f t="shared" si="20"/>
        <v>3911.0700499999998</v>
      </c>
      <c r="AC30" s="7">
        <v>183.41259620800002</v>
      </c>
      <c r="AD30" s="7">
        <v>166.47691943799995</v>
      </c>
      <c r="AE30" s="7">
        <v>935.41335537600003</v>
      </c>
      <c r="AF30" s="7">
        <v>967.84343871999999</v>
      </c>
      <c r="AG30" s="7">
        <v>663.18534904799981</v>
      </c>
      <c r="AH30" s="7">
        <v>314.36005774969999</v>
      </c>
      <c r="AI30" s="7">
        <v>680.37833346029993</v>
      </c>
      <c r="AJ30" s="7"/>
      <c r="AK30" s="6">
        <f t="shared" si="25"/>
        <v>3911.0700499999998</v>
      </c>
      <c r="AL30" s="3">
        <f t="shared" si="22"/>
        <v>26.074881635581061</v>
      </c>
      <c r="AM30" s="3">
        <f t="shared" si="23"/>
        <v>1.169019960203264</v>
      </c>
      <c r="AN30" s="42">
        <f t="shared" si="6"/>
        <v>25.662521617495507</v>
      </c>
      <c r="AP30" s="3">
        <f t="shared" si="1"/>
        <v>44.327298780487808</v>
      </c>
      <c r="AQ30" s="44"/>
      <c r="AR30" s="42">
        <f t="shared" si="7"/>
        <v>19.27273860021209</v>
      </c>
      <c r="AS30" s="44"/>
      <c r="AT30" s="3">
        <f t="shared" si="27"/>
        <v>2.7277132404742828</v>
      </c>
      <c r="AU30" s="42"/>
      <c r="AV30" s="3"/>
      <c r="AW30" s="3">
        <f t="shared" si="8"/>
        <v>29.79986472637836</v>
      </c>
      <c r="AX30" s="3"/>
      <c r="AY30" s="42">
        <f t="shared" si="9"/>
        <v>23.177672564960943</v>
      </c>
      <c r="AZ30" s="3"/>
      <c r="BA30" s="3">
        <f t="shared" si="10"/>
        <v>21.385434681246256</v>
      </c>
      <c r="BB30" s="42"/>
      <c r="BC30" s="48"/>
      <c r="BD30" s="3">
        <f t="shared" si="11"/>
        <v>29.696392973856206</v>
      </c>
      <c r="BE30" s="3"/>
      <c r="BF30" s="3">
        <f t="shared" si="28"/>
        <v>22.272294730392154</v>
      </c>
    </row>
    <row r="31" spans="1:58" x14ac:dyDescent="0.25">
      <c r="A31" s="4">
        <v>2050</v>
      </c>
      <c r="B31" s="4" t="s">
        <v>47</v>
      </c>
      <c r="C31" s="4" t="s">
        <v>48</v>
      </c>
      <c r="D31" s="4" t="s">
        <v>26</v>
      </c>
      <c r="E31" s="4" t="s">
        <v>211</v>
      </c>
      <c r="F31" s="4" t="s">
        <v>31</v>
      </c>
      <c r="G31" s="4">
        <v>1</v>
      </c>
      <c r="H31" s="4" t="s">
        <v>32</v>
      </c>
      <c r="I31" s="4" t="s">
        <v>48</v>
      </c>
      <c r="J31" s="9">
        <v>1</v>
      </c>
      <c r="K31" s="10">
        <f t="shared" si="26"/>
        <v>216.07525000000004</v>
      </c>
      <c r="L31" s="6" t="s">
        <v>282</v>
      </c>
      <c r="M31" s="100">
        <f t="shared" si="29"/>
        <v>0.3337122753555648</v>
      </c>
      <c r="N31" s="7">
        <v>10.79358854</v>
      </c>
      <c r="O31" s="7">
        <v>7.869124403999999</v>
      </c>
      <c r="P31" s="7">
        <v>44.555771612000001</v>
      </c>
      <c r="Q31" s="7">
        <v>50.642674970000016</v>
      </c>
      <c r="R31" s="7">
        <v>33.921755621999992</v>
      </c>
      <c r="S31" s="7">
        <v>20.164172667000003</v>
      </c>
      <c r="T31" s="7">
        <v>48.128162185000008</v>
      </c>
      <c r="U31" s="7"/>
      <c r="V31" s="7">
        <v>5.4019999999999999E-2</v>
      </c>
      <c r="W31" s="7">
        <v>2874.02493</v>
      </c>
      <c r="X31" s="7">
        <v>129.09075000000001</v>
      </c>
      <c r="Y31" s="7">
        <v>562.05220999999995</v>
      </c>
      <c r="Z31" s="7">
        <v>94.806030000000007</v>
      </c>
      <c r="AA31" s="7">
        <v>194.73183</v>
      </c>
      <c r="AB31" s="10">
        <f t="shared" si="20"/>
        <v>3854.7597700000001</v>
      </c>
      <c r="AC31" s="7">
        <v>180.51134961099999</v>
      </c>
      <c r="AD31" s="7">
        <v>162.341001874</v>
      </c>
      <c r="AE31" s="7">
        <v>913.42285108299984</v>
      </c>
      <c r="AF31" s="7">
        <v>949.01208075300008</v>
      </c>
      <c r="AG31" s="7">
        <v>661.5490231394997</v>
      </c>
      <c r="AH31" s="7">
        <v>308.52060621920054</v>
      </c>
      <c r="AI31" s="7">
        <v>679.40285732029997</v>
      </c>
      <c r="AJ31" s="7"/>
      <c r="AK31" s="10">
        <f t="shared" si="25"/>
        <v>3854.7597700000001</v>
      </c>
      <c r="AL31" s="41">
        <f>K31*1000/(30*$G$103*$G$96*$G$113)</f>
        <v>25.833961023433766</v>
      </c>
      <c r="AM31" s="41">
        <f t="shared" si="23"/>
        <v>1.1521888013533643</v>
      </c>
      <c r="AN31" s="43">
        <f t="shared" si="6"/>
        <v>26.037399395621545</v>
      </c>
      <c r="AP31" s="41">
        <f>AL31*$AQ$3/$AP$3</f>
        <v>43.917733739837402</v>
      </c>
      <c r="AQ31" s="53"/>
      <c r="AR31" s="43">
        <f t="shared" si="7"/>
        <v>19.094666843407566</v>
      </c>
      <c r="AS31" s="53"/>
      <c r="AT31" s="41">
        <f t="shared" si="27"/>
        <v>2.6884405364911834</v>
      </c>
      <c r="AU31" s="43"/>
      <c r="AV31" s="41"/>
      <c r="AW31" s="41">
        <f t="shared" si="8"/>
        <v>29.52452688392431</v>
      </c>
      <c r="AX31" s="41"/>
      <c r="AY31" s="43">
        <f t="shared" si="9"/>
        <v>22.963520909718905</v>
      </c>
      <c r="AZ31" s="41"/>
      <c r="BA31" s="41">
        <f t="shared" si="10"/>
        <v>21.697832829684621</v>
      </c>
      <c r="BB31" s="43"/>
      <c r="BC31" s="54"/>
      <c r="BD31" s="41">
        <f>AL31*BE$3/BD$3</f>
        <v>29.422011165577342</v>
      </c>
      <c r="BE31" s="41"/>
      <c r="BF31" s="41">
        <f t="shared" si="28"/>
        <v>22.066508374183009</v>
      </c>
    </row>
    <row r="32" spans="1:58" x14ac:dyDescent="0.25">
      <c r="K32" s="6" t="s">
        <v>16</v>
      </c>
      <c r="L32" s="6"/>
      <c r="M32" s="6"/>
      <c r="N32" s="6" t="s">
        <v>16</v>
      </c>
      <c r="O32" s="6" t="s">
        <v>16</v>
      </c>
      <c r="P32" s="6" t="s">
        <v>16</v>
      </c>
      <c r="Q32" s="6" t="s">
        <v>16</v>
      </c>
      <c r="R32" s="6" t="s">
        <v>16</v>
      </c>
      <c r="S32" s="6" t="s">
        <v>16</v>
      </c>
      <c r="T32" s="6" t="s">
        <v>16</v>
      </c>
      <c r="U32" s="6" t="s">
        <v>16</v>
      </c>
      <c r="V32" s="6" t="s">
        <v>17</v>
      </c>
      <c r="W32" s="6" t="s">
        <v>17</v>
      </c>
      <c r="X32" s="6" t="s">
        <v>17</v>
      </c>
      <c r="Y32" s="6" t="s">
        <v>17</v>
      </c>
      <c r="Z32" s="6" t="s">
        <v>17</v>
      </c>
      <c r="AA32" s="6" t="s">
        <v>17</v>
      </c>
      <c r="AB32" s="6" t="s">
        <v>17</v>
      </c>
      <c r="AC32" s="6" t="s">
        <v>17</v>
      </c>
      <c r="AD32" s="6" t="s">
        <v>17</v>
      </c>
      <c r="AE32" s="6" t="s">
        <v>17</v>
      </c>
      <c r="AF32" s="6" t="s">
        <v>17</v>
      </c>
      <c r="AG32" s="6" t="s">
        <v>17</v>
      </c>
      <c r="AH32" s="6" t="s">
        <v>17</v>
      </c>
      <c r="AI32" s="6" t="s">
        <v>17</v>
      </c>
      <c r="AJ32" s="6" t="s">
        <v>17</v>
      </c>
      <c r="AK32" s="6" t="s">
        <v>17</v>
      </c>
      <c r="AL32" s="3"/>
      <c r="AM32" s="3"/>
      <c r="AP32" s="44"/>
      <c r="AQ32" s="44"/>
      <c r="AR32" s="50"/>
      <c r="AS32" s="44"/>
      <c r="AT32" s="3"/>
      <c r="AU32" s="42"/>
      <c r="AV32" s="3"/>
      <c r="AW32" s="3"/>
      <c r="AX32" s="3"/>
      <c r="AY32" s="42"/>
      <c r="AZ32" s="3"/>
      <c r="BA32" s="3"/>
      <c r="BB32" s="42"/>
      <c r="BC32" s="48" t="s">
        <v>138</v>
      </c>
      <c r="BD32" s="3" t="s">
        <v>141</v>
      </c>
      <c r="BE32" s="3" t="s">
        <v>142</v>
      </c>
      <c r="BF32" s="3" t="s">
        <v>143</v>
      </c>
    </row>
    <row r="33" spans="1:58" x14ac:dyDescent="0.25">
      <c r="A33" s="4" t="s">
        <v>0</v>
      </c>
      <c r="B33" s="4" t="s">
        <v>1</v>
      </c>
      <c r="C33" s="4" t="s">
        <v>2</v>
      </c>
      <c r="D33" s="4" t="s">
        <v>25</v>
      </c>
      <c r="E33" s="4" t="s">
        <v>3</v>
      </c>
      <c r="F33" s="4" t="s">
        <v>4</v>
      </c>
      <c r="G33" s="4" t="s">
        <v>5</v>
      </c>
      <c r="H33" s="4" t="s">
        <v>6</v>
      </c>
      <c r="I33" s="4" t="s">
        <v>7</v>
      </c>
      <c r="J33" s="4" t="s">
        <v>55</v>
      </c>
      <c r="K33" s="6" t="s">
        <v>8</v>
      </c>
      <c r="L33" s="6"/>
      <c r="M33" s="6"/>
      <c r="N33" s="7" t="s">
        <v>33</v>
      </c>
      <c r="O33" s="7" t="s">
        <v>34</v>
      </c>
      <c r="P33" s="7" t="s">
        <v>35</v>
      </c>
      <c r="Q33" s="7" t="s">
        <v>36</v>
      </c>
      <c r="R33" s="7" t="s">
        <v>37</v>
      </c>
      <c r="S33" s="7" t="s">
        <v>38</v>
      </c>
      <c r="T33" s="7" t="s">
        <v>39</v>
      </c>
      <c r="U33" s="7" t="s">
        <v>40</v>
      </c>
      <c r="V33" s="7" t="s">
        <v>41</v>
      </c>
      <c r="W33" s="7" t="s">
        <v>42</v>
      </c>
      <c r="X33" s="7" t="s">
        <v>43</v>
      </c>
      <c r="Y33" s="7" t="s">
        <v>44</v>
      </c>
      <c r="Z33" s="7" t="s">
        <v>45</v>
      </c>
      <c r="AA33" s="7" t="s">
        <v>46</v>
      </c>
      <c r="AB33" s="6" t="s">
        <v>15</v>
      </c>
      <c r="AC33" s="7" t="s">
        <v>33</v>
      </c>
      <c r="AD33" s="7" t="s">
        <v>34</v>
      </c>
      <c r="AE33" s="7" t="s">
        <v>35</v>
      </c>
      <c r="AF33" s="7" t="s">
        <v>36</v>
      </c>
      <c r="AG33" s="7" t="s">
        <v>37</v>
      </c>
      <c r="AH33" s="7" t="s">
        <v>38</v>
      </c>
      <c r="AI33" s="7" t="s">
        <v>39</v>
      </c>
      <c r="AJ33" s="7" t="s">
        <v>40</v>
      </c>
      <c r="AK33" s="6" t="s">
        <v>15</v>
      </c>
      <c r="AL33" s="3"/>
      <c r="AM33" s="3"/>
      <c r="AP33" s="44"/>
      <c r="AQ33" s="44"/>
      <c r="AR33" s="50"/>
      <c r="AS33" s="44"/>
      <c r="AT33" s="3"/>
      <c r="AU33" s="42"/>
      <c r="AV33" s="3"/>
      <c r="AW33" s="3"/>
      <c r="AX33" s="3"/>
      <c r="AY33" s="42"/>
      <c r="AZ33" s="3"/>
      <c r="BA33" s="3"/>
      <c r="BB33" s="42"/>
      <c r="BC33" s="48" t="s">
        <v>148</v>
      </c>
      <c r="BD33" s="47">
        <v>0.13</v>
      </c>
      <c r="BE33" s="47">
        <v>0.15</v>
      </c>
      <c r="BF33" s="47">
        <v>0.18</v>
      </c>
    </row>
    <row r="34" spans="1:58" x14ac:dyDescent="0.25">
      <c r="A34" s="4">
        <v>2010</v>
      </c>
      <c r="B34" s="4" t="s">
        <v>18</v>
      </c>
      <c r="C34" s="4" t="s">
        <v>19</v>
      </c>
      <c r="D34" s="4" t="s">
        <v>60</v>
      </c>
      <c r="E34" t="s">
        <v>212</v>
      </c>
      <c r="F34" t="s">
        <v>61</v>
      </c>
      <c r="G34" s="4">
        <v>1</v>
      </c>
      <c r="H34" s="4" t="s">
        <v>32</v>
      </c>
      <c r="I34" s="4" t="s">
        <v>49</v>
      </c>
      <c r="J34" s="12">
        <v>0.14592989871628637</v>
      </c>
      <c r="K34" s="20">
        <v>248.13619491276</v>
      </c>
      <c r="L34" s="20"/>
      <c r="M34" s="20"/>
      <c r="N34" s="19">
        <v>12.991738489999999</v>
      </c>
      <c r="O34" s="19">
        <v>13.570716934</v>
      </c>
      <c r="P34" s="19">
        <f>K34-SUM(N34:O34,R34:U34)</f>
        <v>73.913186496000009</v>
      </c>
      <c r="Q34" s="19"/>
      <c r="R34" s="19">
        <v>56.224241231999983</v>
      </c>
      <c r="S34" s="19">
        <v>38.568300194900019</v>
      </c>
      <c r="T34" s="19">
        <v>51.403276653099994</v>
      </c>
      <c r="U34" s="18">
        <v>1.4647349127599998</v>
      </c>
      <c r="V34" s="18">
        <v>3.0509999999999999E-2</v>
      </c>
      <c r="W34" s="18">
        <v>2491.3445288959997</v>
      </c>
      <c r="X34" s="18">
        <v>163.22274682581599</v>
      </c>
      <c r="Y34" s="18">
        <v>125.695266759112</v>
      </c>
      <c r="Z34" s="18">
        <v>87.619536231044009</v>
      </c>
      <c r="AA34" s="18">
        <v>17.738180502335599</v>
      </c>
      <c r="AB34" s="18">
        <f>SUM(V34:AA34)</f>
        <v>2885.6507692143077</v>
      </c>
      <c r="AC34" s="19">
        <v>146.36378138500001</v>
      </c>
      <c r="AD34" s="19">
        <v>145.97028205099997</v>
      </c>
      <c r="AE34" s="19">
        <f>AB34-SUM(AC34:AD34)-SUM(AG34:AJ34)</f>
        <v>808.78537420400016</v>
      </c>
      <c r="AF34" s="19"/>
      <c r="AG34" s="19">
        <v>671.35389216999943</v>
      </c>
      <c r="AH34" s="19">
        <v>396.59315343380013</v>
      </c>
      <c r="AI34" s="19">
        <v>696.51459675620026</v>
      </c>
      <c r="AJ34" s="18">
        <v>20.069689214307598</v>
      </c>
      <c r="AK34" s="18">
        <f>SUM(AC34:AJ34)</f>
        <v>2885.6507692143077</v>
      </c>
      <c r="AL34" s="3">
        <f>K34*1000/(30*$G$103*$G$96*$G$107)</f>
        <v>55.288813483235295</v>
      </c>
      <c r="AM34" s="3">
        <f>AK34*$G$98/($G$103*$G$96*$G$107)*0.277778</f>
        <v>1.607427070930773</v>
      </c>
      <c r="AN34" s="42">
        <f>30/AM34</f>
        <v>18.663366159827483</v>
      </c>
      <c r="AP34" s="3">
        <f t="shared" ref="AP34:AP61" si="30">AL34*$AQ$3/$AP$3</f>
        <v>93.990982921500006</v>
      </c>
      <c r="AQ34" s="44"/>
      <c r="AR34" s="42">
        <f>AL34*$AQ$3/$AR$3</f>
        <v>40.86564474847826</v>
      </c>
      <c r="AS34" s="44"/>
      <c r="AT34" s="3"/>
      <c r="AU34" s="42"/>
      <c r="AV34" s="3"/>
      <c r="AW34" s="3">
        <f>AL34*$AX$3/$AW$3</f>
        <v>63.187215409411778</v>
      </c>
      <c r="AX34" s="3"/>
      <c r="AY34" s="42">
        <f>AL34*$AX$3/$AY$3</f>
        <v>49.145611985098043</v>
      </c>
      <c r="AZ34" s="3"/>
      <c r="BA34" s="3">
        <f>AN34/30*25</f>
        <v>15.552805133189567</v>
      </c>
      <c r="BB34" s="42"/>
      <c r="BC34" s="48" t="s">
        <v>121</v>
      </c>
      <c r="BD34" s="3">
        <f>AL34*BE$33/BD$33</f>
        <v>63.794784788348409</v>
      </c>
      <c r="BE34" s="3"/>
      <c r="BF34" s="3"/>
    </row>
    <row r="35" spans="1:58" x14ac:dyDescent="0.25">
      <c r="A35" s="4">
        <v>2010</v>
      </c>
      <c r="B35" s="4" t="s">
        <v>18</v>
      </c>
      <c r="C35" s="4" t="s">
        <v>20</v>
      </c>
      <c r="D35" s="4" t="s">
        <v>60</v>
      </c>
      <c r="E35" t="s">
        <v>213</v>
      </c>
      <c r="F35" t="s">
        <v>61</v>
      </c>
      <c r="G35" s="4">
        <v>1</v>
      </c>
      <c r="H35" s="4" t="s">
        <v>32</v>
      </c>
      <c r="I35" s="4" t="s">
        <v>50</v>
      </c>
      <c r="J35" s="12">
        <v>6.1044273387890396E-2</v>
      </c>
      <c r="K35" s="20">
        <v>185.50730649259998</v>
      </c>
      <c r="L35" s="20"/>
      <c r="M35" s="20"/>
      <c r="N35" s="19">
        <v>9.7916857950000011</v>
      </c>
      <c r="O35" s="19">
        <v>9.3068332169999994</v>
      </c>
      <c r="P35" s="19">
        <f>K35-SUM(N35:O35,R35:U35)</f>
        <v>51.403642567999981</v>
      </c>
      <c r="Q35" s="19"/>
      <c r="R35" s="19">
        <v>36.108527391999992</v>
      </c>
      <c r="S35" s="19">
        <v>28.149493352899981</v>
      </c>
      <c r="T35" s="19">
        <v>49.74838767510002</v>
      </c>
      <c r="U35" s="18">
        <v>0.99873649259999997</v>
      </c>
      <c r="V35" s="18">
        <v>2.47E-2</v>
      </c>
      <c r="W35" s="18">
        <v>2190.1225629599999</v>
      </c>
      <c r="X35" s="18">
        <v>71.414428267160005</v>
      </c>
      <c r="Y35" s="18">
        <v>611.85614175412002</v>
      </c>
      <c r="Z35" s="18">
        <v>68.483684003939999</v>
      </c>
      <c r="AA35" s="18">
        <v>61.700246414005996</v>
      </c>
      <c r="AB35" s="18">
        <f t="shared" ref="AB35:AB39" si="31">SUM(V35:AA35)</f>
        <v>3003.601763399226</v>
      </c>
      <c r="AC35" s="19">
        <v>150.92598075000001</v>
      </c>
      <c r="AD35" s="19">
        <v>158.68041105</v>
      </c>
      <c r="AE35" s="19">
        <f t="shared" ref="AE35:AE61" si="32">AB35-SUM(AC35:AD35)-SUM(AG35:AJ35)</f>
        <v>878.5757269799999</v>
      </c>
      <c r="AF35" s="19"/>
      <c r="AG35" s="19">
        <v>685.53901265399941</v>
      </c>
      <c r="AH35" s="19">
        <v>410.82625107440049</v>
      </c>
      <c r="AI35" s="19">
        <v>705.36976749160021</v>
      </c>
      <c r="AJ35" s="18">
        <v>13.684613399226</v>
      </c>
      <c r="AK35" s="18">
        <f t="shared" ref="AK35:AK39" si="33">SUM(AC35:AJ35)</f>
        <v>3003.601763399226</v>
      </c>
      <c r="AL35" s="3">
        <f t="shared" ref="AL35:AL40" si="34">K35*1000/(30*$G$103*$G$96*$G$107)</f>
        <v>41.33407007410873</v>
      </c>
      <c r="AM35" s="3">
        <f t="shared" ref="AM35:AM40" si="35">AK35*$G$98/($G$103*$G$96*$G$107)*0.277778</f>
        <v>1.6731306630351144</v>
      </c>
      <c r="AN35" s="42">
        <f t="shared" ref="AN35:AN61" si="36">30/AM35</f>
        <v>17.930458548634217</v>
      </c>
      <c r="AP35" s="3">
        <f t="shared" si="30"/>
        <v>70.267919125984847</v>
      </c>
      <c r="AQ35" s="44"/>
      <c r="AR35" s="42">
        <f t="shared" ref="AR35:AR61" si="37">AL35*$AQ$3/$AR$3</f>
        <v>30.551269185210803</v>
      </c>
      <c r="AS35" s="44"/>
      <c r="AT35" s="3"/>
      <c r="AU35" s="42"/>
      <c r="AV35" s="3"/>
      <c r="AW35" s="3">
        <f t="shared" ref="AW35:AW61" si="38">AL35*$AX$3/$AW$3</f>
        <v>47.238937227552839</v>
      </c>
      <c r="AX35" s="3"/>
      <c r="AY35" s="42">
        <f t="shared" ref="AY35:AY61" si="39">AL35*$AX$3/$AY$3</f>
        <v>36.74139562142998</v>
      </c>
      <c r="AZ35" s="3"/>
      <c r="BA35" s="3">
        <f t="shared" ref="BA35:BA61" si="40">AN35/30*25</f>
        <v>14.942048790528514</v>
      </c>
      <c r="BB35" s="42"/>
      <c r="BC35" s="48"/>
      <c r="BD35" s="3">
        <f t="shared" ref="BD35:BD61" si="41">AL35*BE$33/BD$33</f>
        <v>47.693157777817767</v>
      </c>
      <c r="BE35" s="3"/>
      <c r="BF35" s="3"/>
    </row>
    <row r="36" spans="1:58" x14ac:dyDescent="0.25">
      <c r="A36" s="4">
        <v>2010</v>
      </c>
      <c r="B36" s="4" t="s">
        <v>18</v>
      </c>
      <c r="C36" s="4" t="s">
        <v>21</v>
      </c>
      <c r="D36" s="4" t="s">
        <v>60</v>
      </c>
      <c r="E36" t="s">
        <v>214</v>
      </c>
      <c r="F36" t="s">
        <v>61</v>
      </c>
      <c r="G36" s="4">
        <v>1</v>
      </c>
      <c r="H36" s="4" t="s">
        <v>32</v>
      </c>
      <c r="I36" s="4" t="s">
        <v>51</v>
      </c>
      <c r="J36" s="12">
        <v>5.6839615257396746E-2</v>
      </c>
      <c r="K36" s="20">
        <v>175.43367377033999</v>
      </c>
      <c r="L36" s="20"/>
      <c r="M36" s="20"/>
      <c r="N36" s="19">
        <v>8.9782376599999996</v>
      </c>
      <c r="O36" s="19">
        <v>7.9655405560000005</v>
      </c>
      <c r="P36" s="19">
        <f t="shared" ref="P36:P53" si="42">K36-SUM(N36:O36,R36:U36)</f>
        <v>44.116628423999998</v>
      </c>
      <c r="Q36" s="19"/>
      <c r="R36" s="19">
        <v>37.618693679999993</v>
      </c>
      <c r="S36" s="19">
        <v>26.148071654400013</v>
      </c>
      <c r="T36" s="19">
        <v>49.336208025599987</v>
      </c>
      <c r="U36" s="18">
        <v>1.2702937703399999</v>
      </c>
      <c r="V36" s="18">
        <v>3.2309999999999998E-2</v>
      </c>
      <c r="W36" s="18">
        <v>2140.759677864</v>
      </c>
      <c r="X36" s="18">
        <v>97.204705878644006</v>
      </c>
      <c r="Y36" s="18">
        <v>667.74860782610801</v>
      </c>
      <c r="Z36" s="18">
        <v>80.350157224846001</v>
      </c>
      <c r="AA36" s="18">
        <v>16.288252298475399</v>
      </c>
      <c r="AB36" s="18">
        <f t="shared" si="31"/>
        <v>3002.3837110920736</v>
      </c>
      <c r="AC36" s="19">
        <v>152.43403903999999</v>
      </c>
      <c r="AD36" s="19">
        <v>156.00445278399999</v>
      </c>
      <c r="AE36" s="19">
        <f t="shared" si="32"/>
        <v>862.12586877600029</v>
      </c>
      <c r="AF36" s="19"/>
      <c r="AG36" s="19">
        <v>699.4930699140001</v>
      </c>
      <c r="AH36" s="19">
        <v>415.27988042229958</v>
      </c>
      <c r="AI36" s="19">
        <v>699.64092906370024</v>
      </c>
      <c r="AJ36" s="18">
        <v>17.405471092073398</v>
      </c>
      <c r="AK36" s="18">
        <f t="shared" si="33"/>
        <v>3002.3837110920736</v>
      </c>
      <c r="AL36" s="3">
        <f t="shared" si="34"/>
        <v>39.089499503195185</v>
      </c>
      <c r="AM36" s="3">
        <f t="shared" si="35"/>
        <v>1.6724521574192528</v>
      </c>
      <c r="AN36" s="42">
        <f t="shared" si="36"/>
        <v>17.937732847493081</v>
      </c>
      <c r="AP36" s="3">
        <f t="shared" si="30"/>
        <v>66.452149155431826</v>
      </c>
      <c r="AQ36" s="44"/>
      <c r="AR36" s="42">
        <f t="shared" si="37"/>
        <v>28.892238763231227</v>
      </c>
      <c r="AS36" s="44"/>
      <c r="AT36" s="3"/>
      <c r="AU36" s="42"/>
      <c r="AV36" s="3"/>
      <c r="AW36" s="3">
        <f t="shared" si="38"/>
        <v>44.67371371793736</v>
      </c>
      <c r="AX36" s="3"/>
      <c r="AY36" s="42">
        <f t="shared" si="39"/>
        <v>34.746221780617944</v>
      </c>
      <c r="AZ36" s="3"/>
      <c r="BA36" s="3">
        <f t="shared" si="40"/>
        <v>14.948110706244233</v>
      </c>
      <c r="BB36" s="42"/>
      <c r="BC36" s="48"/>
      <c r="BD36" s="3">
        <f t="shared" si="41"/>
        <v>45.103268657532901</v>
      </c>
      <c r="BE36" s="3"/>
      <c r="BF36" s="3"/>
    </row>
    <row r="37" spans="1:58" x14ac:dyDescent="0.25">
      <c r="A37" s="4">
        <v>2010</v>
      </c>
      <c r="B37" s="4" t="s">
        <v>18</v>
      </c>
      <c r="C37" s="4" t="s">
        <v>22</v>
      </c>
      <c r="D37" s="4" t="s">
        <v>60</v>
      </c>
      <c r="E37" t="s">
        <v>215</v>
      </c>
      <c r="F37" t="s">
        <v>61</v>
      </c>
      <c r="G37" s="4">
        <v>1</v>
      </c>
      <c r="H37" s="4" t="s">
        <v>32</v>
      </c>
      <c r="I37" s="4" t="s">
        <v>52</v>
      </c>
      <c r="J37" s="12">
        <v>1.9122845523667789E-2</v>
      </c>
      <c r="K37" s="20">
        <v>183.6449824</v>
      </c>
      <c r="L37" s="20"/>
      <c r="M37" s="20"/>
      <c r="N37" s="19">
        <v>9.5562299400000015</v>
      </c>
      <c r="O37" s="19">
        <v>8.5672984440000004</v>
      </c>
      <c r="P37" s="19">
        <f t="shared" si="42"/>
        <v>47.315530155999994</v>
      </c>
      <c r="Q37" s="19"/>
      <c r="R37" s="19">
        <v>40.298225467999998</v>
      </c>
      <c r="S37" s="19">
        <v>27.930160417399989</v>
      </c>
      <c r="T37" s="19">
        <v>49.633885574600015</v>
      </c>
      <c r="U37" s="18">
        <v>0.34365239999999997</v>
      </c>
      <c r="V37" s="18">
        <v>2.8139999999999998E-2</v>
      </c>
      <c r="W37" s="18">
        <v>2407.7613879999999</v>
      </c>
      <c r="X37" s="18">
        <v>138.56153676000002</v>
      </c>
      <c r="Y37" s="18">
        <v>138.2231438</v>
      </c>
      <c r="Z37" s="18">
        <v>58.508746815999999</v>
      </c>
      <c r="AA37" s="18">
        <v>44.457390785319994</v>
      </c>
      <c r="AB37" s="18">
        <f t="shared" si="31"/>
        <v>2787.5403461613196</v>
      </c>
      <c r="AC37" s="19">
        <v>142.43127697000003</v>
      </c>
      <c r="AD37" s="19">
        <v>138.49009026199997</v>
      </c>
      <c r="AE37" s="19">
        <f t="shared" si="32"/>
        <v>769.02162590799981</v>
      </c>
      <c r="AF37" s="19"/>
      <c r="AG37" s="19">
        <v>653.12507094199941</v>
      </c>
      <c r="AH37" s="19">
        <v>384.43770058360042</v>
      </c>
      <c r="AI37" s="19">
        <v>694.48923533439984</v>
      </c>
      <c r="AJ37" s="18">
        <v>5.5453461613200004</v>
      </c>
      <c r="AK37" s="18">
        <f t="shared" si="33"/>
        <v>2787.5403461613196</v>
      </c>
      <c r="AL37" s="3">
        <f t="shared" si="34"/>
        <v>40.919113725490199</v>
      </c>
      <c r="AM37" s="3">
        <f t="shared" si="35"/>
        <v>1.5527754992165759</v>
      </c>
      <c r="AN37" s="42">
        <f t="shared" si="36"/>
        <v>19.320243019764252</v>
      </c>
      <c r="AP37" s="3">
        <f t="shared" si="30"/>
        <v>69.562493333333336</v>
      </c>
      <c r="AQ37" s="44"/>
      <c r="AR37" s="42">
        <f t="shared" si="37"/>
        <v>30.244562318840579</v>
      </c>
      <c r="AS37" s="44"/>
      <c r="AT37" s="3"/>
      <c r="AU37" s="42"/>
      <c r="AV37" s="3"/>
      <c r="AW37" s="3">
        <f t="shared" si="38"/>
        <v>46.764701400560227</v>
      </c>
      <c r="AX37" s="3"/>
      <c r="AY37" s="42">
        <f t="shared" si="39"/>
        <v>36.372545533769063</v>
      </c>
      <c r="AZ37" s="3"/>
      <c r="BA37" s="3">
        <f t="shared" si="40"/>
        <v>16.100202516470212</v>
      </c>
      <c r="BB37" s="42"/>
      <c r="BC37" s="48"/>
      <c r="BD37" s="3">
        <f t="shared" si="41"/>
        <v>47.214361990950231</v>
      </c>
      <c r="BE37" s="3"/>
      <c r="BF37" s="3"/>
    </row>
    <row r="38" spans="1:58" x14ac:dyDescent="0.25">
      <c r="A38" s="4">
        <v>2010</v>
      </c>
      <c r="B38" s="4" t="s">
        <v>18</v>
      </c>
      <c r="C38" s="4" t="s">
        <v>23</v>
      </c>
      <c r="D38" s="4" t="s">
        <v>60</v>
      </c>
      <c r="E38" t="s">
        <v>216</v>
      </c>
      <c r="F38" t="s">
        <v>61</v>
      </c>
      <c r="G38" s="4">
        <v>1</v>
      </c>
      <c r="H38" s="4" t="s">
        <v>32</v>
      </c>
      <c r="I38" s="4" t="s">
        <v>53</v>
      </c>
      <c r="J38" s="12">
        <v>0.29638843777954382</v>
      </c>
      <c r="K38" s="20">
        <v>222.13529704736001</v>
      </c>
      <c r="L38" s="20"/>
      <c r="M38" s="20"/>
      <c r="N38" s="19">
        <v>11.573606925</v>
      </c>
      <c r="O38" s="19">
        <v>11.471589134999999</v>
      </c>
      <c r="P38" s="19">
        <f t="shared" si="42"/>
        <v>62.754445720000007</v>
      </c>
      <c r="Q38" s="19"/>
      <c r="R38" s="19">
        <v>49.650244657999991</v>
      </c>
      <c r="S38" s="19">
        <v>34.150401603400013</v>
      </c>
      <c r="T38" s="19">
        <v>50.672901958599994</v>
      </c>
      <c r="U38" s="18">
        <v>1.8621070473599999</v>
      </c>
      <c r="V38" s="18">
        <v>3.0110000000000001E-2</v>
      </c>
      <c r="W38" s="18">
        <v>2824.2992250560001</v>
      </c>
      <c r="X38" s="18">
        <v>83.639645050176</v>
      </c>
      <c r="Y38" s="18">
        <v>84.035524493631996</v>
      </c>
      <c r="Z38" s="18">
        <v>80.656563514783997</v>
      </c>
      <c r="AA38" s="18">
        <v>10.5478846363616</v>
      </c>
      <c r="AB38" s="18">
        <f t="shared" si="31"/>
        <v>3083.2089527509538</v>
      </c>
      <c r="AC38" s="19">
        <v>157.04594547500002</v>
      </c>
      <c r="AD38" s="19">
        <v>160.77471662500005</v>
      </c>
      <c r="AE38" s="19">
        <f t="shared" si="32"/>
        <v>887.48429092000038</v>
      </c>
      <c r="AF38" s="19"/>
      <c r="AG38" s="19">
        <v>720.87374439200005</v>
      </c>
      <c r="AH38" s="19">
        <v>429.49961460019995</v>
      </c>
      <c r="AI38" s="19">
        <v>702.01618798780009</v>
      </c>
      <c r="AJ38" s="18">
        <v>25.514452750953602</v>
      </c>
      <c r="AK38" s="18">
        <f t="shared" si="33"/>
        <v>3083.2089527509543</v>
      </c>
      <c r="AL38" s="3">
        <f t="shared" si="34"/>
        <v>49.49538704263815</v>
      </c>
      <c r="AM38" s="3">
        <f t="shared" si="35"/>
        <v>1.7174751667324626</v>
      </c>
      <c r="AN38" s="42">
        <f t="shared" si="36"/>
        <v>17.467501470240013</v>
      </c>
      <c r="AP38" s="3">
        <f t="shared" si="30"/>
        <v>84.142157972484853</v>
      </c>
      <c r="AQ38" s="44"/>
      <c r="AR38" s="42">
        <f t="shared" si="37"/>
        <v>36.583546944558634</v>
      </c>
      <c r="AS38" s="44"/>
      <c r="AT38" s="3"/>
      <c r="AU38" s="42"/>
      <c r="AV38" s="3"/>
      <c r="AW38" s="3">
        <f t="shared" si="38"/>
        <v>56.566156620157898</v>
      </c>
      <c r="AX38" s="3"/>
      <c r="AY38" s="42">
        <f t="shared" si="39"/>
        <v>43.995899593456137</v>
      </c>
      <c r="AZ38" s="3"/>
      <c r="BA38" s="3">
        <f t="shared" si="40"/>
        <v>14.556251225200009</v>
      </c>
      <c r="BB38" s="42"/>
      <c r="BC38" s="48"/>
      <c r="BD38" s="3">
        <f t="shared" si="41"/>
        <v>57.110061972274778</v>
      </c>
      <c r="BE38" s="3"/>
      <c r="BF38" s="3"/>
    </row>
    <row r="39" spans="1:58" x14ac:dyDescent="0.25">
      <c r="A39" s="4">
        <v>2010</v>
      </c>
      <c r="B39" s="4" t="s">
        <v>18</v>
      </c>
      <c r="C39" s="4" t="s">
        <v>24</v>
      </c>
      <c r="D39" s="4" t="s">
        <v>60</v>
      </c>
      <c r="E39" t="s">
        <v>217</v>
      </c>
      <c r="F39" t="s">
        <v>61</v>
      </c>
      <c r="G39" s="4">
        <v>1</v>
      </c>
      <c r="H39" s="4" t="s">
        <v>32</v>
      </c>
      <c r="I39" s="4" t="s">
        <v>54</v>
      </c>
      <c r="J39" s="12">
        <v>0.42067492933521489</v>
      </c>
      <c r="K39" s="20">
        <v>218.120998082</v>
      </c>
      <c r="L39" s="20"/>
      <c r="M39" s="20"/>
      <c r="N39" s="19">
        <v>11.31127699</v>
      </c>
      <c r="O39" s="19">
        <v>11.273552834</v>
      </c>
      <c r="P39" s="19">
        <f t="shared" si="42"/>
        <v>61.70168475600002</v>
      </c>
      <c r="Q39" s="19"/>
      <c r="R39" s="19">
        <v>48.43402395599999</v>
      </c>
      <c r="S39" s="19">
        <v>33.341570574800016</v>
      </c>
      <c r="T39" s="19">
        <v>50.537790889199982</v>
      </c>
      <c r="U39" s="18">
        <v>1.521098082</v>
      </c>
      <c r="V39" s="18">
        <v>3.0630000000000001E-2</v>
      </c>
      <c r="W39" s="18">
        <v>2517.5693772</v>
      </c>
      <c r="X39" s="18">
        <v>60.629232461199997</v>
      </c>
      <c r="Y39" s="18">
        <v>453.62907310839995</v>
      </c>
      <c r="Z39" s="18">
        <v>57.512631115799998</v>
      </c>
      <c r="AA39" s="18">
        <v>13.66850929642</v>
      </c>
      <c r="AB39" s="18">
        <f t="shared" si="31"/>
        <v>3103.0394531818201</v>
      </c>
      <c r="AC39" s="19">
        <v>157.52214552499996</v>
      </c>
      <c r="AD39" s="19">
        <v>163.958288815</v>
      </c>
      <c r="AE39" s="19">
        <f t="shared" si="32"/>
        <v>904.40760033999982</v>
      </c>
      <c r="AF39" s="19"/>
      <c r="AG39" s="19">
        <v>723.07974067999987</v>
      </c>
      <c r="AH39" s="19">
        <v>430.96823642549998</v>
      </c>
      <c r="AI39" s="19">
        <v>702.26146821450038</v>
      </c>
      <c r="AJ39" s="18">
        <v>20.841973181819998</v>
      </c>
      <c r="AK39" s="18">
        <f t="shared" si="33"/>
        <v>3103.0394531818197</v>
      </c>
      <c r="AL39" s="3">
        <f t="shared" si="34"/>
        <v>48.600935401515152</v>
      </c>
      <c r="AM39" s="3">
        <f t="shared" si="35"/>
        <v>1.7285215773247451</v>
      </c>
      <c r="AN39" s="42">
        <f t="shared" si="36"/>
        <v>17.355872436623777</v>
      </c>
      <c r="AP39" s="3">
        <f t="shared" si="30"/>
        <v>82.621590182575758</v>
      </c>
      <c r="AQ39" s="44"/>
      <c r="AR39" s="42">
        <f t="shared" si="37"/>
        <v>35.922430514163374</v>
      </c>
      <c r="AS39" s="44"/>
      <c r="AT39" s="3"/>
      <c r="AU39" s="42"/>
      <c r="AV39" s="3"/>
      <c r="AW39" s="3">
        <f t="shared" si="38"/>
        <v>55.54392617316018</v>
      </c>
      <c r="AX39" s="3"/>
      <c r="AY39" s="42">
        <f t="shared" si="39"/>
        <v>43.200831468013469</v>
      </c>
      <c r="AZ39" s="3"/>
      <c r="BA39" s="3">
        <f t="shared" si="40"/>
        <v>14.463227030519816</v>
      </c>
      <c r="BB39" s="42"/>
      <c r="BC39" s="48"/>
      <c r="BD39" s="3">
        <f t="shared" si="41"/>
        <v>56.078002386363629</v>
      </c>
      <c r="BE39" s="3"/>
      <c r="BF39" s="3"/>
    </row>
    <row r="40" spans="1:58" x14ac:dyDescent="0.25">
      <c r="A40" s="4">
        <v>2010</v>
      </c>
      <c r="B40" s="4" t="s">
        <v>18</v>
      </c>
      <c r="C40" s="4"/>
      <c r="I40" s="4"/>
      <c r="J40" s="8"/>
      <c r="K40" s="21">
        <f>$J34*K34+$J35*K35+$J36*K36+$J37*K37+$J38*K38+$J39*K39</f>
        <v>218.61441479661272</v>
      </c>
      <c r="L40" s="21"/>
      <c r="M40" s="21"/>
      <c r="N40" s="18">
        <f>$J34*N34+$J35*N35+$J36*N36+$J37*N37+$J38*N38+$J39*N39</f>
        <v>11.375325234242172</v>
      </c>
      <c r="O40" s="18">
        <f t="shared" ref="O40" si="43">$J34*O34+$J35*O35+$J36*O36+$J37*O37+$J38*O38+$J39*O39</f>
        <v>11.307639028551261</v>
      </c>
      <c r="P40" s="19">
        <f t="shared" si="42"/>
        <v>61.892465594596985</v>
      </c>
      <c r="Q40" s="18">
        <f t="shared" ref="Q40:AA40" si="44">$J34*Q34+$J35*Q35+$J36*Q36+$J37*Q37+$J38*Q38+$J39*Q39</f>
        <v>0</v>
      </c>
      <c r="R40" s="18">
        <f t="shared" si="44"/>
        <v>48.4086035165639</v>
      </c>
      <c r="S40" s="18">
        <f t="shared" si="44"/>
        <v>33.514731010993096</v>
      </c>
      <c r="T40" s="18">
        <f t="shared" si="44"/>
        <v>50.57036520287167</v>
      </c>
      <c r="U40" s="18">
        <f t="shared" si="44"/>
        <v>1.545285208793634</v>
      </c>
      <c r="V40" s="18">
        <f t="shared" si="44"/>
        <v>3.0144248551596985E-2</v>
      </c>
      <c r="W40" s="18">
        <f t="shared" si="44"/>
        <v>2561.1472557708339</v>
      </c>
      <c r="X40" s="18">
        <f t="shared" si="44"/>
        <v>86.648311555920671</v>
      </c>
      <c r="Y40" s="18">
        <f t="shared" si="44"/>
        <v>312.02834101968091</v>
      </c>
      <c r="Z40" s="18">
        <f t="shared" si="44"/>
        <v>70.752567413722815</v>
      </c>
      <c r="AA40" s="18">
        <f t="shared" si="44"/>
        <v>17.007217636186859</v>
      </c>
      <c r="AB40" s="21">
        <f>$J34*AB34+$J35*AB35+$J36*AB36+$J37*AB37+$J38*AB38+$J39*AB39</f>
        <v>3047.6138376448971</v>
      </c>
      <c r="AC40" s="18">
        <f t="shared" ref="AC40:AD40" si="45">$J34*AC34+$J35*AC35+$J36*AC36+$J37*AC37+$J38*AC38+$J39*AC39</f>
        <v>154.77222193829232</v>
      </c>
      <c r="AD40" s="18">
        <f t="shared" si="45"/>
        <v>159.12842520215702</v>
      </c>
      <c r="AE40" s="19">
        <f t="shared" si="32"/>
        <v>878.86845495473654</v>
      </c>
      <c r="AF40" s="18">
        <f t="shared" ref="AF40:AJ40" si="46">$J34*AF34+$J35*AF35+$J36*AF36+$J37*AF37+$J38*AF38+$J39*AF39</f>
        <v>0</v>
      </c>
      <c r="AG40" s="18">
        <f t="shared" si="46"/>
        <v>709.90752495297284</v>
      </c>
      <c r="AH40" s="18">
        <f t="shared" si="46"/>
        <v>422.50553228903914</v>
      </c>
      <c r="AI40" s="18">
        <f t="shared" si="46"/>
        <v>701.24229584644922</v>
      </c>
      <c r="AJ40" s="18">
        <f t="shared" si="46"/>
        <v>21.189382461250268</v>
      </c>
      <c r="AK40" s="21">
        <f>$J34*AK34+$J35*AK35+$J36*AK36+$J37*AK37+$J38*AK38+$J39*AK39</f>
        <v>3047.6138376448971</v>
      </c>
      <c r="AL40" s="41">
        <f t="shared" si="34"/>
        <v>48.710876737213169</v>
      </c>
      <c r="AM40" s="41">
        <f t="shared" si="35"/>
        <v>1.6976472124197679</v>
      </c>
      <c r="AN40" s="43">
        <f t="shared" si="36"/>
        <v>17.671516072670382</v>
      </c>
      <c r="AP40" s="41">
        <f t="shared" si="30"/>
        <v>82.808490453262394</v>
      </c>
      <c r="AQ40" s="53"/>
      <c r="AR40" s="43">
        <f t="shared" si="37"/>
        <v>36.00369150141843</v>
      </c>
      <c r="AS40" s="53"/>
      <c r="AT40" s="41"/>
      <c r="AU40" s="43"/>
      <c r="AV40" s="41"/>
      <c r="AW40" s="41">
        <f t="shared" si="38"/>
        <v>55.669573413957913</v>
      </c>
      <c r="AX40" s="41"/>
      <c r="AY40" s="43">
        <f t="shared" si="39"/>
        <v>43.29855709974504</v>
      </c>
      <c r="AZ40" s="41"/>
      <c r="BA40" s="41">
        <f t="shared" si="40"/>
        <v>14.726263393891987</v>
      </c>
      <c r="BB40" s="43"/>
      <c r="BC40" s="54"/>
      <c r="BD40" s="41">
        <f t="shared" si="41"/>
        <v>56.204857773707502</v>
      </c>
      <c r="BE40" s="3"/>
      <c r="BF40" s="3"/>
    </row>
    <row r="41" spans="1:58" x14ac:dyDescent="0.25">
      <c r="A41" s="4">
        <v>2015</v>
      </c>
      <c r="B41" s="4" t="s">
        <v>18</v>
      </c>
      <c r="C41" s="4" t="s">
        <v>19</v>
      </c>
      <c r="D41" s="4" t="s">
        <v>60</v>
      </c>
      <c r="E41" t="s">
        <v>218</v>
      </c>
      <c r="F41" t="s">
        <v>61</v>
      </c>
      <c r="G41" s="4">
        <v>1</v>
      </c>
      <c r="H41" s="4" t="s">
        <v>32</v>
      </c>
      <c r="I41" s="4" t="s">
        <v>49</v>
      </c>
      <c r="J41" s="12">
        <v>0.36245376315328581</v>
      </c>
      <c r="K41" s="20">
        <v>234.85914491276</v>
      </c>
      <c r="L41" s="20"/>
      <c r="M41" s="20"/>
      <c r="N41" s="19">
        <v>12.26485782</v>
      </c>
      <c r="O41" s="19">
        <v>12.531271931999999</v>
      </c>
      <c r="P41" s="19">
        <f t="shared" si="42"/>
        <v>68.387607567999993</v>
      </c>
      <c r="Q41" s="19"/>
      <c r="R41" s="19">
        <v>52.854647822000018</v>
      </c>
      <c r="S41" s="19">
        <v>36.327108624899978</v>
      </c>
      <c r="T41" s="19">
        <v>51.028916233100006</v>
      </c>
      <c r="U41" s="18">
        <v>1.4647349127599998</v>
      </c>
      <c r="V41" s="18">
        <v>3.074E-2</v>
      </c>
      <c r="W41" s="18">
        <v>2377.1839488959999</v>
      </c>
      <c r="X41" s="18">
        <v>176.70331682581599</v>
      </c>
      <c r="Y41" s="18">
        <v>151.23159675911199</v>
      </c>
      <c r="Z41" s="18">
        <v>94.452786231044001</v>
      </c>
      <c r="AA41" s="18">
        <v>31.4605605023356</v>
      </c>
      <c r="AB41" s="18">
        <f>SUM(V41:AA41)</f>
        <v>2831.0629492143075</v>
      </c>
      <c r="AC41" s="19">
        <v>143.38352740000002</v>
      </c>
      <c r="AD41" s="19">
        <v>141.68459011999997</v>
      </c>
      <c r="AE41" s="19">
        <f t="shared" si="32"/>
        <v>786.00308609999934</v>
      </c>
      <c r="AF41" s="19"/>
      <c r="AG41" s="19">
        <v>657.53831603399999</v>
      </c>
      <c r="AH41" s="19">
        <v>387.40407469510023</v>
      </c>
      <c r="AI41" s="19">
        <v>694.97966565090019</v>
      </c>
      <c r="AJ41" s="18">
        <v>20.069689214307598</v>
      </c>
      <c r="AK41" s="18">
        <f>SUM(AC41:AJ41)</f>
        <v>2831.0629492143075</v>
      </c>
      <c r="AL41" s="3">
        <f>K41*1000/(30*$G$103*$G$96*$G$112)</f>
        <v>44.279627623069381</v>
      </c>
      <c r="AM41" s="3">
        <f>AK41*$G$98/($G$103*$G$96*$G$112)*0.277778</f>
        <v>1.3344010247288209</v>
      </c>
      <c r="AN41" s="42">
        <f t="shared" si="36"/>
        <v>22.481997123838127</v>
      </c>
      <c r="AP41" s="3">
        <f t="shared" si="30"/>
        <v>75.275366959217948</v>
      </c>
      <c r="AQ41" s="44"/>
      <c r="AR41" s="42">
        <f t="shared" si="37"/>
        <v>32.728420417051282</v>
      </c>
      <c r="AS41" s="44"/>
      <c r="AT41" s="3"/>
      <c r="AU41" s="42"/>
      <c r="AV41" s="3"/>
      <c r="AW41" s="3">
        <f t="shared" si="38"/>
        <v>50.6052887120793</v>
      </c>
      <c r="AX41" s="3"/>
      <c r="AY41" s="42">
        <f t="shared" si="39"/>
        <v>39.359668998283894</v>
      </c>
      <c r="AZ41" s="3"/>
      <c r="BA41" s="3">
        <f t="shared" si="40"/>
        <v>18.73499760319844</v>
      </c>
      <c r="BB41" s="42"/>
      <c r="BC41" s="48"/>
      <c r="BD41" s="3">
        <f t="shared" si="41"/>
        <v>51.09187802661851</v>
      </c>
      <c r="BE41" s="3"/>
      <c r="BF41" s="3"/>
    </row>
    <row r="42" spans="1:58" x14ac:dyDescent="0.25">
      <c r="A42" s="4">
        <v>2015</v>
      </c>
      <c r="B42" s="4" t="s">
        <v>18</v>
      </c>
      <c r="C42" s="4" t="s">
        <v>21</v>
      </c>
      <c r="D42" s="4" t="s">
        <v>60</v>
      </c>
      <c r="E42" t="s">
        <v>219</v>
      </c>
      <c r="F42" t="s">
        <v>61</v>
      </c>
      <c r="G42" s="4">
        <v>1</v>
      </c>
      <c r="H42" s="4" t="s">
        <v>32</v>
      </c>
      <c r="I42" s="4" t="s">
        <v>51</v>
      </c>
      <c r="J42" s="12">
        <v>6.9116063002115188E-2</v>
      </c>
      <c r="K42" s="20">
        <v>199.78035377034001</v>
      </c>
      <c r="L42" s="20"/>
      <c r="M42" s="20"/>
      <c r="N42" s="19">
        <v>10.299990060000001</v>
      </c>
      <c r="O42" s="19">
        <v>9.8879220360000009</v>
      </c>
      <c r="P42" s="19">
        <f t="shared" si="42"/>
        <v>54.335809503999997</v>
      </c>
      <c r="Q42" s="19"/>
      <c r="R42" s="19">
        <v>43.745942095999979</v>
      </c>
      <c r="S42" s="19">
        <v>30.223444721100009</v>
      </c>
      <c r="T42" s="19">
        <v>50.01695158290002</v>
      </c>
      <c r="U42" s="18">
        <v>1.2702937703399999</v>
      </c>
      <c r="V42" s="18">
        <v>3.4340000000000002E-2</v>
      </c>
      <c r="W42" s="18">
        <v>2465.715787864</v>
      </c>
      <c r="X42" s="18">
        <v>102.957245878644</v>
      </c>
      <c r="Y42" s="18">
        <v>126.10867782610801</v>
      </c>
      <c r="Z42" s="18">
        <v>92.416827224846003</v>
      </c>
      <c r="AA42" s="18">
        <v>17.8974622984754</v>
      </c>
      <c r="AB42" s="18">
        <f t="shared" ref="AB42:AB46" si="47">SUM(V42:AA42)</f>
        <v>2805.1303410920736</v>
      </c>
      <c r="AC42" s="19">
        <v>141.57232084000006</v>
      </c>
      <c r="AD42" s="19">
        <v>140.65346110399994</v>
      </c>
      <c r="AE42" s="19">
        <f t="shared" si="32"/>
        <v>780.52154903599944</v>
      </c>
      <c r="AF42" s="19"/>
      <c r="AG42" s="19">
        <v>649.14100634200008</v>
      </c>
      <c r="AH42" s="19">
        <v>381.78968317240037</v>
      </c>
      <c r="AI42" s="19">
        <v>694.04684950560022</v>
      </c>
      <c r="AJ42" s="18">
        <v>17.405471092073398</v>
      </c>
      <c r="AK42" s="18">
        <f t="shared" ref="AK42:AK46" si="48">SUM(AC42:AJ42)</f>
        <v>2805.1303410920732</v>
      </c>
      <c r="AL42" s="3">
        <f t="shared" ref="AL42:AL47" si="49">K42*1000/(30*$G$103*$G$96*$G$112)</f>
        <v>37.665979217635751</v>
      </c>
      <c r="AM42" s="3">
        <f t="shared" ref="AM42:AM47" si="50">AK42*$G$98/($G$103*$G$96*$G$112)*0.277778</f>
        <v>1.322177877637795</v>
      </c>
      <c r="AN42" s="42">
        <f t="shared" si="36"/>
        <v>22.689836600199396</v>
      </c>
      <c r="AP42" s="3">
        <f t="shared" si="30"/>
        <v>64.032164669980773</v>
      </c>
      <c r="AQ42" s="44"/>
      <c r="AR42" s="42">
        <f t="shared" si="37"/>
        <v>27.840071595643817</v>
      </c>
      <c r="AS42" s="44"/>
      <c r="AT42" s="3"/>
      <c r="AU42" s="42"/>
      <c r="AV42" s="3"/>
      <c r="AW42" s="3">
        <f t="shared" si="38"/>
        <v>43.046833391583718</v>
      </c>
      <c r="AX42" s="3"/>
      <c r="AY42" s="42">
        <f t="shared" si="39"/>
        <v>33.480870415676222</v>
      </c>
      <c r="AZ42" s="3"/>
      <c r="BA42" s="3">
        <f t="shared" si="40"/>
        <v>18.908197166832828</v>
      </c>
      <c r="BB42" s="42"/>
      <c r="BC42" s="48"/>
      <c r="BD42" s="3">
        <f t="shared" si="41"/>
        <v>43.460745251118169</v>
      </c>
      <c r="BE42" s="3"/>
      <c r="BF42" s="3"/>
    </row>
    <row r="43" spans="1:58" x14ac:dyDescent="0.25">
      <c r="A43" s="4">
        <v>2015</v>
      </c>
      <c r="B43" s="4" t="s">
        <v>18</v>
      </c>
      <c r="C43" s="4" t="s">
        <v>27</v>
      </c>
      <c r="D43" s="4" t="s">
        <v>60</v>
      </c>
      <c r="E43" t="s">
        <v>220</v>
      </c>
      <c r="F43" t="s">
        <v>61</v>
      </c>
      <c r="G43" s="4">
        <v>1</v>
      </c>
      <c r="H43" s="4" t="s">
        <v>32</v>
      </c>
      <c r="I43" s="4" t="s">
        <v>56</v>
      </c>
      <c r="J43" s="12">
        <v>5.4906800535959713E-2</v>
      </c>
      <c r="K43" s="20">
        <v>193.99786867444001</v>
      </c>
      <c r="L43" s="20"/>
      <c r="M43" s="20"/>
      <c r="N43" s="19">
        <v>10.007551509999999</v>
      </c>
      <c r="O43" s="19">
        <v>9.3878832259999996</v>
      </c>
      <c r="P43" s="19">
        <f t="shared" si="42"/>
        <v>51.67766300400001</v>
      </c>
      <c r="Q43" s="19"/>
      <c r="R43" s="19">
        <v>42.39032212799998</v>
      </c>
      <c r="S43" s="19">
        <v>29.321763576199999</v>
      </c>
      <c r="T43" s="19">
        <v>49.866336555800018</v>
      </c>
      <c r="U43" s="18">
        <v>1.3463486744399999</v>
      </c>
      <c r="V43" s="18">
        <v>2.9950000000000001E-2</v>
      </c>
      <c r="W43" s="18">
        <v>2328.3584462240001</v>
      </c>
      <c r="X43" s="18">
        <v>50.990778001704001</v>
      </c>
      <c r="Y43" s="18">
        <v>738.65398748152802</v>
      </c>
      <c r="Z43" s="18">
        <v>65.737520280636005</v>
      </c>
      <c r="AA43" s="18">
        <v>12.4908677632964</v>
      </c>
      <c r="AB43" s="18">
        <f t="shared" si="47"/>
        <v>3196.2615497511647</v>
      </c>
      <c r="AC43" s="19">
        <v>163.33017302499999</v>
      </c>
      <c r="AD43" s="19">
        <v>170.60560143499995</v>
      </c>
      <c r="AE43" s="19">
        <f t="shared" si="32"/>
        <v>939.74419285999966</v>
      </c>
      <c r="AF43" s="19"/>
      <c r="AG43" s="19">
        <v>750.00520950400005</v>
      </c>
      <c r="AH43" s="19">
        <v>448.87605274929956</v>
      </c>
      <c r="AI43" s="19">
        <v>705.25275042670137</v>
      </c>
      <c r="AJ43" s="18">
        <v>18.447569751164398</v>
      </c>
      <c r="AK43" s="18">
        <f t="shared" si="48"/>
        <v>3196.2615497511647</v>
      </c>
      <c r="AL43" s="3">
        <f t="shared" si="49"/>
        <v>36.575767095482661</v>
      </c>
      <c r="AM43" s="3">
        <f t="shared" si="50"/>
        <v>1.5065347411201002</v>
      </c>
      <c r="AN43" s="42">
        <f t="shared" si="36"/>
        <v>19.91324805274332</v>
      </c>
      <c r="AP43" s="3">
        <f t="shared" si="30"/>
        <v>62.178804062320523</v>
      </c>
      <c r="AQ43" s="44"/>
      <c r="AR43" s="42">
        <f t="shared" si="37"/>
        <v>27.034262635791531</v>
      </c>
      <c r="AS43" s="44"/>
      <c r="AT43" s="3"/>
      <c r="AU43" s="42"/>
      <c r="AV43" s="3"/>
      <c r="AW43" s="3">
        <f t="shared" si="38"/>
        <v>41.800876680551617</v>
      </c>
      <c r="AX43" s="3"/>
      <c r="AY43" s="42">
        <f t="shared" si="39"/>
        <v>32.511792973762361</v>
      </c>
      <c r="AZ43" s="3"/>
      <c r="BA43" s="3">
        <f t="shared" si="40"/>
        <v>16.5943733772861</v>
      </c>
      <c r="BB43" s="42"/>
      <c r="BC43" s="48"/>
      <c r="BD43" s="3">
        <f t="shared" si="41"/>
        <v>42.202808187095378</v>
      </c>
      <c r="BE43" s="3"/>
      <c r="BF43" s="3"/>
    </row>
    <row r="44" spans="1:58" x14ac:dyDescent="0.25">
      <c r="A44" s="4">
        <v>2015</v>
      </c>
      <c r="B44" s="4" t="s">
        <v>18</v>
      </c>
      <c r="C44" s="4" t="s">
        <v>22</v>
      </c>
      <c r="D44" s="4" t="s">
        <v>60</v>
      </c>
      <c r="E44" t="s">
        <v>221</v>
      </c>
      <c r="F44" t="s">
        <v>61</v>
      </c>
      <c r="G44" s="4">
        <v>1</v>
      </c>
      <c r="H44" s="4" t="s">
        <v>32</v>
      </c>
      <c r="I44" s="4" t="s">
        <v>52</v>
      </c>
      <c r="J44" s="12">
        <v>5.8678570306366001E-2</v>
      </c>
      <c r="K44" s="20">
        <v>177.73841239999999</v>
      </c>
      <c r="L44" s="20"/>
      <c r="M44" s="20"/>
      <c r="N44" s="19">
        <v>9.23018216</v>
      </c>
      <c r="O44" s="19">
        <v>8.1087961360000005</v>
      </c>
      <c r="P44" s="19">
        <f t="shared" si="42"/>
        <v>44.878182603999988</v>
      </c>
      <c r="Q44" s="19"/>
      <c r="R44" s="19">
        <v>38.786768300000006</v>
      </c>
      <c r="S44" s="19">
        <v>26.924858018899997</v>
      </c>
      <c r="T44" s="19">
        <v>49.465972781099993</v>
      </c>
      <c r="U44" s="18">
        <v>0.34365239999999997</v>
      </c>
      <c r="V44" s="18">
        <v>2.81E-2</v>
      </c>
      <c r="W44" s="18">
        <v>2355.5040979999999</v>
      </c>
      <c r="X44" s="18">
        <v>115.60176676</v>
      </c>
      <c r="Y44" s="18">
        <v>173.95838379999998</v>
      </c>
      <c r="Z44" s="18">
        <v>63.103226816000003</v>
      </c>
      <c r="AA44" s="18">
        <v>55.49450078532</v>
      </c>
      <c r="AB44" s="18">
        <f t="shared" si="47"/>
        <v>2763.6900761613197</v>
      </c>
      <c r="AC44" s="19">
        <v>141.11798092500001</v>
      </c>
      <c r="AD44" s="19">
        <v>136.63395073499998</v>
      </c>
      <c r="AE44" s="19">
        <f t="shared" si="32"/>
        <v>759.15457997999988</v>
      </c>
      <c r="AF44" s="19"/>
      <c r="AG44" s="19">
        <v>647.03696746800017</v>
      </c>
      <c r="AH44" s="19">
        <v>380.38839119599925</v>
      </c>
      <c r="AI44" s="19">
        <v>693.81285969600049</v>
      </c>
      <c r="AJ44" s="18">
        <v>5.5453461613200004</v>
      </c>
      <c r="AK44" s="18">
        <f t="shared" si="48"/>
        <v>2763.6900761613197</v>
      </c>
      <c r="AL44" s="3">
        <f t="shared" si="49"/>
        <v>33.51025874811463</v>
      </c>
      <c r="AM44" s="3">
        <f t="shared" si="50"/>
        <v>1.3026453087827021</v>
      </c>
      <c r="AN44" s="42">
        <f t="shared" si="36"/>
        <v>23.030060291726258</v>
      </c>
      <c r="AP44" s="3">
        <f t="shared" si="30"/>
        <v>56.967439871794873</v>
      </c>
      <c r="AQ44" s="44"/>
      <c r="AR44" s="42">
        <f t="shared" si="37"/>
        <v>24.768452118171684</v>
      </c>
      <c r="AS44" s="44"/>
      <c r="AT44" s="3"/>
      <c r="AU44" s="42"/>
      <c r="AV44" s="3"/>
      <c r="AW44" s="3">
        <f t="shared" si="38"/>
        <v>38.297438569273865</v>
      </c>
      <c r="AX44" s="3"/>
      <c r="AY44" s="42">
        <f t="shared" si="39"/>
        <v>29.786896664990785</v>
      </c>
      <c r="AZ44" s="3"/>
      <c r="BA44" s="3">
        <f t="shared" si="40"/>
        <v>19.19171690977188</v>
      </c>
      <c r="BB44" s="42"/>
      <c r="BC44" s="48"/>
      <c r="BD44" s="3">
        <f t="shared" si="41"/>
        <v>38.665683170901495</v>
      </c>
      <c r="BE44" s="3"/>
      <c r="BF44" s="3"/>
    </row>
    <row r="45" spans="1:58" x14ac:dyDescent="0.25">
      <c r="A45" s="4">
        <v>2015</v>
      </c>
      <c r="B45" s="4" t="s">
        <v>18</v>
      </c>
      <c r="C45" s="4" t="s">
        <v>23</v>
      </c>
      <c r="D45" s="4" t="s">
        <v>60</v>
      </c>
      <c r="E45" t="s">
        <v>222</v>
      </c>
      <c r="F45" t="s">
        <v>61</v>
      </c>
      <c r="G45" s="4">
        <v>1</v>
      </c>
      <c r="H45" s="4" t="s">
        <v>32</v>
      </c>
      <c r="I45" s="4" t="s">
        <v>53</v>
      </c>
      <c r="J45" s="12">
        <v>0.37167849707604594</v>
      </c>
      <c r="K45" s="20">
        <v>225.17373704736002</v>
      </c>
      <c r="L45" s="20"/>
      <c r="M45" s="20"/>
      <c r="N45" s="19">
        <v>11.740838205000001</v>
      </c>
      <c r="O45" s="19">
        <v>11.708167263</v>
      </c>
      <c r="P45" s="19">
        <f t="shared" si="42"/>
        <v>64.01206761200001</v>
      </c>
      <c r="Q45" s="19"/>
      <c r="R45" s="19">
        <v>50.42549229399998</v>
      </c>
      <c r="S45" s="19">
        <v>34.666040422700007</v>
      </c>
      <c r="T45" s="19">
        <v>50.759024203300015</v>
      </c>
      <c r="U45" s="18">
        <v>1.8621070473599999</v>
      </c>
      <c r="V45" s="18">
        <v>3.0179999999999998E-2</v>
      </c>
      <c r="W45" s="18">
        <v>2766.265315056</v>
      </c>
      <c r="X45" s="18">
        <v>109.706835050176</v>
      </c>
      <c r="Y45" s="18">
        <v>83.963334493632004</v>
      </c>
      <c r="Z45" s="18">
        <v>73.893393514783995</v>
      </c>
      <c r="AA45" s="18">
        <v>10.5657546363616</v>
      </c>
      <c r="AB45" s="18">
        <f t="shared" si="47"/>
        <v>3044.4248127509536</v>
      </c>
      <c r="AC45" s="19">
        <v>154.92105554</v>
      </c>
      <c r="AD45" s="19">
        <v>157.74065748399997</v>
      </c>
      <c r="AE45" s="19">
        <f t="shared" si="32"/>
        <v>871.35553575599965</v>
      </c>
      <c r="AF45" s="19"/>
      <c r="AG45" s="19">
        <v>711.02336957399973</v>
      </c>
      <c r="AH45" s="19">
        <v>422.94791920329976</v>
      </c>
      <c r="AI45" s="19">
        <v>700.92182244270089</v>
      </c>
      <c r="AJ45" s="18">
        <v>25.514452750953602</v>
      </c>
      <c r="AK45" s="18">
        <f t="shared" si="48"/>
        <v>3044.4248127509541</v>
      </c>
      <c r="AL45" s="3">
        <f t="shared" si="49"/>
        <v>42.453570333212674</v>
      </c>
      <c r="AM45" s="3">
        <f t="shared" si="50"/>
        <v>1.4349675944055451</v>
      </c>
      <c r="AN45" s="42">
        <f t="shared" si="36"/>
        <v>20.906395459353845</v>
      </c>
      <c r="AP45" s="3">
        <f t="shared" si="30"/>
        <v>72.171069566461554</v>
      </c>
      <c r="AQ45" s="44"/>
      <c r="AR45" s="42">
        <f t="shared" si="37"/>
        <v>31.378725898461543</v>
      </c>
      <c r="AS45" s="44"/>
      <c r="AT45" s="3"/>
      <c r="AU45" s="42"/>
      <c r="AV45" s="3"/>
      <c r="AW45" s="3">
        <f t="shared" si="38"/>
        <v>48.518366095100205</v>
      </c>
      <c r="AX45" s="3"/>
      <c r="AY45" s="42">
        <f t="shared" si="39"/>
        <v>37.736506962855714</v>
      </c>
      <c r="AZ45" s="3"/>
      <c r="BA45" s="3">
        <f t="shared" si="40"/>
        <v>17.421996216128203</v>
      </c>
      <c r="BB45" s="42"/>
      <c r="BC45" s="48"/>
      <c r="BD45" s="3">
        <f t="shared" si="41"/>
        <v>48.98488884601462</v>
      </c>
      <c r="BE45" s="3"/>
      <c r="BF45" s="3"/>
    </row>
    <row r="46" spans="1:58" x14ac:dyDescent="0.25">
      <c r="A46" s="4">
        <v>2015</v>
      </c>
      <c r="B46" s="4" t="s">
        <v>18</v>
      </c>
      <c r="C46" s="4" t="s">
        <v>24</v>
      </c>
      <c r="D46" s="4" t="s">
        <v>60</v>
      </c>
      <c r="E46" t="s">
        <v>223</v>
      </c>
      <c r="F46" t="s">
        <v>61</v>
      </c>
      <c r="G46" s="4">
        <v>1</v>
      </c>
      <c r="H46" s="4" t="s">
        <v>32</v>
      </c>
      <c r="I46" s="4" t="s">
        <v>54</v>
      </c>
      <c r="J46" s="12">
        <v>8.3166305926227355E-2</v>
      </c>
      <c r="K46" s="20">
        <v>215.083298082</v>
      </c>
      <c r="L46" s="20"/>
      <c r="M46" s="20"/>
      <c r="N46" s="19">
        <v>11.144419885</v>
      </c>
      <c r="O46" s="19">
        <v>11.036537350999998</v>
      </c>
      <c r="P46" s="19">
        <f t="shared" si="42"/>
        <v>60.441737044000007</v>
      </c>
      <c r="Q46" s="19"/>
      <c r="R46" s="19">
        <v>47.660543707999992</v>
      </c>
      <c r="S46" s="19">
        <v>32.827103489400002</v>
      </c>
      <c r="T46" s="19">
        <v>50.451858522599991</v>
      </c>
      <c r="U46" s="18">
        <v>1.521098082</v>
      </c>
      <c r="V46" s="18">
        <v>3.0329999999999999E-2</v>
      </c>
      <c r="W46" s="18">
        <v>2525.3162772000001</v>
      </c>
      <c r="X46" s="18">
        <v>60.380412461199995</v>
      </c>
      <c r="Y46" s="18">
        <v>395.19190310839997</v>
      </c>
      <c r="Z46" s="18">
        <v>56.960841115799994</v>
      </c>
      <c r="AA46" s="18">
        <v>14.78158929642</v>
      </c>
      <c r="AB46" s="18">
        <f t="shared" si="47"/>
        <v>3052.6613531818202</v>
      </c>
      <c r="AC46" s="19">
        <v>154.75826447</v>
      </c>
      <c r="AD46" s="19">
        <v>160.02280880199996</v>
      </c>
      <c r="AE46" s="19">
        <f t="shared" si="32"/>
        <v>883.48698324799966</v>
      </c>
      <c r="AF46" s="19"/>
      <c r="AG46" s="19">
        <v>710.2670665600001</v>
      </c>
      <c r="AH46" s="19">
        <v>422.44627742839998</v>
      </c>
      <c r="AI46" s="19">
        <v>700.83797949160044</v>
      </c>
      <c r="AJ46" s="18">
        <v>20.841973181819998</v>
      </c>
      <c r="AK46" s="18">
        <f t="shared" si="48"/>
        <v>3052.6613531818202</v>
      </c>
      <c r="AL46" s="3">
        <f t="shared" si="49"/>
        <v>40.551149713800903</v>
      </c>
      <c r="AM46" s="3">
        <f t="shared" si="50"/>
        <v>1.4388498281065718</v>
      </c>
      <c r="AN46" s="42">
        <f t="shared" si="36"/>
        <v>20.849986853372982</v>
      </c>
      <c r="AP46" s="3">
        <f t="shared" si="30"/>
        <v>68.936954513461529</v>
      </c>
      <c r="AQ46" s="44"/>
      <c r="AR46" s="42">
        <f t="shared" si="37"/>
        <v>29.972588918896317</v>
      </c>
      <c r="AS46" s="44"/>
      <c r="AT46" s="3"/>
      <c r="AU46" s="42"/>
      <c r="AV46" s="3"/>
      <c r="AW46" s="3">
        <f t="shared" si="38"/>
        <v>46.344171101486751</v>
      </c>
      <c r="AX46" s="3"/>
      <c r="AY46" s="42">
        <f t="shared" si="39"/>
        <v>36.045466412267473</v>
      </c>
      <c r="AZ46" s="3"/>
      <c r="BA46" s="3">
        <f t="shared" si="40"/>
        <v>17.374989044477484</v>
      </c>
      <c r="BB46" s="42"/>
      <c r="BC46" s="48"/>
      <c r="BD46" s="3">
        <f t="shared" si="41"/>
        <v>46.789788131308732</v>
      </c>
      <c r="BE46" s="3"/>
      <c r="BF46" s="3"/>
    </row>
    <row r="47" spans="1:58" x14ac:dyDescent="0.25">
      <c r="A47" s="4">
        <v>2015</v>
      </c>
      <c r="B47" s="4" t="s">
        <v>18</v>
      </c>
      <c r="C47" s="4"/>
      <c r="I47" s="4"/>
      <c r="J47" s="8"/>
      <c r="K47" s="21">
        <f>$J41*K41+$J42*K42+$J43*K43+$J44*K44+$J45*K45+$J46*K46</f>
        <v>221.59477014490159</v>
      </c>
      <c r="L47" s="21"/>
      <c r="M47" s="21"/>
      <c r="N47" s="18">
        <f>$J41*N41+$J42*N42+$J43*N43+$J44*N44+$J45*N45+$J46*N46</f>
        <v>11.539092492709827</v>
      </c>
      <c r="O47" s="18">
        <f t="shared" ref="O47" si="51">$J41*O41+$J42*O42+$J43*O43+$J44*O44+$J45*O45+$J46*O46</f>
        <v>11.486234160688158</v>
      </c>
      <c r="P47" s="19">
        <f t="shared" si="42"/>
        <v>62.832290755369343</v>
      </c>
      <c r="Q47" s="18">
        <f t="shared" ref="Q47:AD47" si="52">$J41*Q41+$J42*Q42+$J43*Q43+$J44*Q44+$J45*Q45+$J46*Q46</f>
        <v>0</v>
      </c>
      <c r="R47" s="18">
        <f t="shared" si="52"/>
        <v>49.490204914388507</v>
      </c>
      <c r="S47" s="18">
        <f t="shared" si="52"/>
        <v>34.060429868707566</v>
      </c>
      <c r="T47" s="18">
        <f t="shared" si="52"/>
        <v>50.655123580801757</v>
      </c>
      <c r="U47" s="18">
        <f t="shared" si="52"/>
        <v>1.5313943722364456</v>
      </c>
      <c r="V47" s="18">
        <f t="shared" si="52"/>
        <v>3.0548291884983061E-2</v>
      </c>
      <c r="W47" s="18">
        <f t="shared" si="52"/>
        <v>2536.282722212432</v>
      </c>
      <c r="X47" s="18">
        <f t="shared" si="52"/>
        <v>126.54315593825575</v>
      </c>
      <c r="Y47" s="18">
        <f t="shared" si="52"/>
        <v>178.36936977226043</v>
      </c>
      <c r="Z47" s="18">
        <f t="shared" si="52"/>
        <v>80.136307291217122</v>
      </c>
      <c r="AA47" s="18">
        <f t="shared" si="52"/>
        <v>21.738566208750079</v>
      </c>
      <c r="AB47" s="21">
        <f t="shared" si="52"/>
        <v>2943.1006697148</v>
      </c>
      <c r="AC47" s="18">
        <f t="shared" si="52"/>
        <v>149.45485737990873</v>
      </c>
      <c r="AD47" s="18">
        <f t="shared" si="52"/>
        <v>150.39773533514546</v>
      </c>
      <c r="AE47" s="19">
        <f t="shared" si="32"/>
        <v>832.3212699909941</v>
      </c>
      <c r="AF47" s="18">
        <f t="shared" ref="AF47:AK47" si="53">$J41*AF41+$J42*AF42+$J43*AF43+$J44*AF44+$J45*AF45+$J46*AF46</f>
        <v>0</v>
      </c>
      <c r="AG47" s="18">
        <f t="shared" si="53"/>
        <v>685.68328391720695</v>
      </c>
      <c r="AH47" s="18">
        <f t="shared" si="53"/>
        <v>406.10480267698108</v>
      </c>
      <c r="AI47" s="18">
        <f t="shared" si="53"/>
        <v>698.10657500970194</v>
      </c>
      <c r="AJ47" s="18">
        <f t="shared" si="53"/>
        <v>21.032145404862167</v>
      </c>
      <c r="AK47" s="21">
        <f t="shared" si="53"/>
        <v>2943.1006697148005</v>
      </c>
      <c r="AL47" s="41">
        <f t="shared" si="49"/>
        <v>41.778802817666211</v>
      </c>
      <c r="AM47" s="41">
        <f t="shared" si="50"/>
        <v>1.3872091931539103</v>
      </c>
      <c r="AN47" s="43">
        <f t="shared" si="36"/>
        <v>21.626154258531873</v>
      </c>
      <c r="AP47" s="41">
        <f t="shared" si="30"/>
        <v>71.023964790032565</v>
      </c>
      <c r="AQ47" s="53"/>
      <c r="AR47" s="43">
        <f t="shared" si="37"/>
        <v>30.879984691318505</v>
      </c>
      <c r="AS47" s="53"/>
      <c r="AT47" s="41"/>
      <c r="AU47" s="43"/>
      <c r="AV47" s="41"/>
      <c r="AW47" s="41">
        <f t="shared" si="38"/>
        <v>47.747203220189967</v>
      </c>
      <c r="AX47" s="41"/>
      <c r="AY47" s="43">
        <f t="shared" si="39"/>
        <v>37.1367136157033</v>
      </c>
      <c r="AZ47" s="41"/>
      <c r="BA47" s="41">
        <f t="shared" si="40"/>
        <v>18.02179521544323</v>
      </c>
      <c r="BB47" s="43"/>
      <c r="BC47" s="54"/>
      <c r="BD47" s="41">
        <f t="shared" si="41"/>
        <v>48.206310943461006</v>
      </c>
      <c r="BE47" s="3"/>
      <c r="BF47" s="3"/>
    </row>
    <row r="48" spans="1:58" x14ac:dyDescent="0.25">
      <c r="A48" s="4">
        <v>2020</v>
      </c>
      <c r="B48" s="4" t="s">
        <v>18</v>
      </c>
      <c r="C48" s="4" t="s">
        <v>19</v>
      </c>
      <c r="D48" s="4" t="s">
        <v>60</v>
      </c>
      <c r="E48" t="s">
        <v>224</v>
      </c>
      <c r="F48" t="s">
        <v>61</v>
      </c>
      <c r="G48" s="4">
        <v>1</v>
      </c>
      <c r="H48" s="4" t="s">
        <v>32</v>
      </c>
      <c r="I48" s="4" t="s">
        <v>49</v>
      </c>
      <c r="J48" s="12">
        <v>6.3611092852727744E-2</v>
      </c>
      <c r="K48" s="18">
        <v>223.14361491276</v>
      </c>
      <c r="L48" s="18"/>
      <c r="M48" s="18"/>
      <c r="N48" s="19">
        <v>11.624544615</v>
      </c>
      <c r="O48" s="19">
        <v>11.612514309000002</v>
      </c>
      <c r="P48" s="19">
        <f t="shared" si="42"/>
        <v>63.503585275999995</v>
      </c>
      <c r="Q48" s="19"/>
      <c r="R48" s="19">
        <v>49.886304663999994</v>
      </c>
      <c r="S48" s="19">
        <v>34.352802475999994</v>
      </c>
      <c r="T48" s="19">
        <v>50.699128660000014</v>
      </c>
      <c r="U48" s="18">
        <v>1.4647349127599998</v>
      </c>
      <c r="V48" s="18">
        <v>3.141E-2</v>
      </c>
      <c r="W48" s="18">
        <v>2276.4051888959998</v>
      </c>
      <c r="X48" s="18">
        <v>162.750716825816</v>
      </c>
      <c r="Y48" s="18">
        <v>190.48988675911198</v>
      </c>
      <c r="Z48" s="18">
        <v>108.442276231044</v>
      </c>
      <c r="AA48" s="18">
        <v>50.089640502335598</v>
      </c>
      <c r="AB48" s="18">
        <f>SUM(V48:AA48)</f>
        <v>2788.2091192143075</v>
      </c>
      <c r="AC48" s="19">
        <v>141.05893610999999</v>
      </c>
      <c r="AD48" s="19">
        <v>138.29815926599997</v>
      </c>
      <c r="AE48" s="19">
        <f t="shared" si="32"/>
        <v>768.00116178400049</v>
      </c>
      <c r="AF48" s="19"/>
      <c r="AG48" s="19">
        <v>646.76214332599943</v>
      </c>
      <c r="AH48" s="19">
        <v>380.23660227650043</v>
      </c>
      <c r="AI48" s="19">
        <v>693.78242723749963</v>
      </c>
      <c r="AJ48" s="18">
        <v>20.069689214307598</v>
      </c>
      <c r="AK48" s="18">
        <f>SUM(AC48:AJ48)</f>
        <v>2788.2091192143075</v>
      </c>
      <c r="AL48" s="3">
        <f>K48*1000/(30*$G$103*$G$96*$G$116)</f>
        <v>36.461374985745103</v>
      </c>
      <c r="AM48" s="3">
        <f>AK48*$G$98/($G$103*$G$96*$G$116)*0.277778</f>
        <v>1.1389752245839881</v>
      </c>
      <c r="AN48" s="42">
        <f t="shared" si="36"/>
        <v>26.339466699951732</v>
      </c>
      <c r="AP48" s="3">
        <f t="shared" si="30"/>
        <v>61.984337475766672</v>
      </c>
      <c r="AQ48" s="44"/>
      <c r="AR48" s="42">
        <f t="shared" si="37"/>
        <v>26.949711945985509</v>
      </c>
      <c r="AS48" s="44"/>
      <c r="AT48" s="3"/>
      <c r="AU48" s="42"/>
      <c r="AV48" s="3"/>
      <c r="AW48" s="3">
        <f t="shared" si="38"/>
        <v>41.670142840851554</v>
      </c>
      <c r="AX48" s="3"/>
      <c r="AY48" s="42">
        <f t="shared" si="39"/>
        <v>32.41011109844009</v>
      </c>
      <c r="AZ48" s="3"/>
      <c r="BA48" s="3">
        <f t="shared" si="40"/>
        <v>21.949555583293108</v>
      </c>
      <c r="BB48" s="42"/>
      <c r="BC48" s="48"/>
      <c r="BD48" s="3">
        <f t="shared" si="41"/>
        <v>42.070817291244346</v>
      </c>
      <c r="BE48" s="3"/>
      <c r="BF48" s="3"/>
    </row>
    <row r="49" spans="1:58" x14ac:dyDescent="0.25">
      <c r="A49" s="4">
        <v>2020</v>
      </c>
      <c r="B49" s="4" t="s">
        <v>18</v>
      </c>
      <c r="C49" s="4" t="s">
        <v>27</v>
      </c>
      <c r="D49" s="4" t="s">
        <v>60</v>
      </c>
      <c r="E49" t="s">
        <v>225</v>
      </c>
      <c r="F49" t="s">
        <v>61</v>
      </c>
      <c r="G49" s="4">
        <v>1</v>
      </c>
      <c r="H49" s="4" t="s">
        <v>32</v>
      </c>
      <c r="I49" s="4" t="s">
        <v>56</v>
      </c>
      <c r="J49" s="12">
        <v>9.7665377765249708E-2</v>
      </c>
      <c r="K49" s="18">
        <v>188.51613867444001</v>
      </c>
      <c r="L49" s="18"/>
      <c r="M49" s="18"/>
      <c r="N49" s="19">
        <v>9.7051183300000012</v>
      </c>
      <c r="O49" s="19">
        <v>8.9621214380000005</v>
      </c>
      <c r="P49" s="19">
        <f t="shared" si="42"/>
        <v>49.414354091999996</v>
      </c>
      <c r="Q49" s="19"/>
      <c r="R49" s="19">
        <v>40.988342574000001</v>
      </c>
      <c r="S49" s="19">
        <v>28.389274469700013</v>
      </c>
      <c r="T49" s="19">
        <v>49.710579096299995</v>
      </c>
      <c r="U49" s="18">
        <v>1.3463486744399999</v>
      </c>
      <c r="V49" s="18">
        <v>3.0429999999999999E-2</v>
      </c>
      <c r="W49" s="18">
        <v>2288.219786224</v>
      </c>
      <c r="X49" s="18">
        <v>51.329538001704002</v>
      </c>
      <c r="Y49" s="18">
        <v>687.12745748152804</v>
      </c>
      <c r="Z49" s="18">
        <v>82.657660280635994</v>
      </c>
      <c r="AA49" s="18">
        <v>14.8471577632964</v>
      </c>
      <c r="AB49" s="18">
        <f t="shared" ref="AB49:AB53" si="54">SUM(V49:AA49)</f>
        <v>3124.2120297511638</v>
      </c>
      <c r="AC49" s="19">
        <v>159.34294759499997</v>
      </c>
      <c r="AD49" s="19">
        <v>165.02744693700001</v>
      </c>
      <c r="AE49" s="19">
        <f t="shared" si="32"/>
        <v>910.09128206800028</v>
      </c>
      <c r="AF49" s="19"/>
      <c r="AG49" s="19">
        <v>731.5214238799997</v>
      </c>
      <c r="AH49" s="19">
        <v>436.5821383655998</v>
      </c>
      <c r="AI49" s="19">
        <v>703.19922115439977</v>
      </c>
      <c r="AJ49" s="18">
        <v>18.447569751164398</v>
      </c>
      <c r="AK49" s="18">
        <f t="shared" ref="AK49:AK53" si="55">SUM(AC49:AJ49)</f>
        <v>3124.2120297511642</v>
      </c>
      <c r="AL49" s="3">
        <f t="shared" ref="AL49:AL60" si="56">K49*1000/(30*$G$103*$G$96*$G$116)</f>
        <v>30.803290633078433</v>
      </c>
      <c r="AM49" s="3">
        <f t="shared" ref="AM49:AM60" si="57">AK49*$G$98/($G$103*$G$96*$G$116)*0.277778</f>
        <v>1.2762314252944396</v>
      </c>
      <c r="AN49" s="42">
        <f t="shared" si="36"/>
        <v>23.506708427179415</v>
      </c>
      <c r="AP49" s="3">
        <f t="shared" si="30"/>
        <v>52.365594076233336</v>
      </c>
      <c r="AQ49" s="44"/>
      <c r="AR49" s="42">
        <f t="shared" si="37"/>
        <v>22.767649598362318</v>
      </c>
      <c r="AS49" s="44"/>
      <c r="AT49" s="3"/>
      <c r="AU49" s="42"/>
      <c r="AV49" s="3"/>
      <c r="AW49" s="3">
        <f t="shared" si="38"/>
        <v>35.203760723518208</v>
      </c>
      <c r="AX49" s="3"/>
      <c r="AY49" s="42">
        <f t="shared" si="39"/>
        <v>27.380702784958608</v>
      </c>
      <c r="AZ49" s="3"/>
      <c r="BA49" s="3">
        <f t="shared" si="40"/>
        <v>19.588923689316179</v>
      </c>
      <c r="BB49" s="42"/>
      <c r="BC49" s="48"/>
      <c r="BD49" s="3">
        <f t="shared" si="41"/>
        <v>35.542258422782808</v>
      </c>
      <c r="BE49" s="3"/>
      <c r="BF49" s="3"/>
    </row>
    <row r="50" spans="1:58" x14ac:dyDescent="0.25">
      <c r="A50" s="4">
        <v>2020</v>
      </c>
      <c r="B50" s="4" t="s">
        <v>18</v>
      </c>
      <c r="C50" s="4" t="s">
        <v>23</v>
      </c>
      <c r="D50" s="4" t="s">
        <v>60</v>
      </c>
      <c r="E50" t="s">
        <v>226</v>
      </c>
      <c r="F50" t="s">
        <v>61</v>
      </c>
      <c r="G50" s="4">
        <v>1</v>
      </c>
      <c r="H50" s="4" t="s">
        <v>32</v>
      </c>
      <c r="I50" s="4" t="s">
        <v>53</v>
      </c>
      <c r="J50" s="12">
        <v>0.40930715649976673</v>
      </c>
      <c r="K50" s="18">
        <v>222.34830704736001</v>
      </c>
      <c r="L50" s="18"/>
      <c r="M50" s="18"/>
      <c r="N50" s="19">
        <v>11.58567199</v>
      </c>
      <c r="O50" s="19">
        <v>11.487675313999999</v>
      </c>
      <c r="P50" s="19">
        <f t="shared" si="42"/>
        <v>62.839955935999996</v>
      </c>
      <c r="Q50" s="19"/>
      <c r="R50" s="19">
        <v>49.70618301399999</v>
      </c>
      <c r="S50" s="19">
        <v>34.18760100130001</v>
      </c>
      <c r="T50" s="19">
        <v>50.679112744700006</v>
      </c>
      <c r="U50" s="18">
        <v>1.8621070473599999</v>
      </c>
      <c r="V50" s="18">
        <v>3.0710000000000001E-2</v>
      </c>
      <c r="W50" s="18">
        <v>2657.6506050560001</v>
      </c>
      <c r="X50" s="18">
        <v>147.24743505017599</v>
      </c>
      <c r="Y50" s="18">
        <v>83.852094493631995</v>
      </c>
      <c r="Z50" s="18">
        <v>83.015013514784002</v>
      </c>
      <c r="AA50" s="18">
        <v>10.563854636361599</v>
      </c>
      <c r="AB50" s="18">
        <f t="shared" si="54"/>
        <v>2982.3597127509543</v>
      </c>
      <c r="AC50" s="19">
        <v>151.512562425</v>
      </c>
      <c r="AD50" s="19">
        <v>152.89720687499999</v>
      </c>
      <c r="AE50" s="19">
        <f t="shared" si="32"/>
        <v>845.6082492400003</v>
      </c>
      <c r="AF50" s="19"/>
      <c r="AG50" s="19">
        <v>695.22248529199976</v>
      </c>
      <c r="AH50" s="19">
        <v>412.43840293079984</v>
      </c>
      <c r="AI50" s="19">
        <v>699.16635323720084</v>
      </c>
      <c r="AJ50" s="18">
        <v>25.514452750953602</v>
      </c>
      <c r="AK50" s="18">
        <f t="shared" si="55"/>
        <v>2982.3597127509547</v>
      </c>
      <c r="AL50" s="3">
        <f t="shared" si="56"/>
        <v>36.331422720156866</v>
      </c>
      <c r="AM50" s="3">
        <f t="shared" si="57"/>
        <v>1.2182851710125511</v>
      </c>
      <c r="AN50" s="42">
        <f t="shared" si="36"/>
        <v>24.624776459411514</v>
      </c>
      <c r="AP50" s="3">
        <f t="shared" si="30"/>
        <v>61.76341862426667</v>
      </c>
      <c r="AQ50" s="44"/>
      <c r="AR50" s="42">
        <f t="shared" si="37"/>
        <v>26.853660271420292</v>
      </c>
      <c r="AS50" s="44"/>
      <c r="AT50" s="3"/>
      <c r="AU50" s="42"/>
      <c r="AV50" s="3"/>
      <c r="AW50" s="3">
        <f t="shared" si="38"/>
        <v>41.521625965893563</v>
      </c>
      <c r="AX50" s="3"/>
      <c r="AY50" s="42">
        <f t="shared" si="39"/>
        <v>32.294597973472769</v>
      </c>
      <c r="AZ50" s="3"/>
      <c r="BA50" s="3">
        <f t="shared" si="40"/>
        <v>20.520647049509595</v>
      </c>
      <c r="BB50" s="42"/>
      <c r="BC50" s="48"/>
      <c r="BD50" s="3">
        <f t="shared" si="41"/>
        <v>41.920872369411768</v>
      </c>
      <c r="BE50" s="3"/>
      <c r="BF50" s="3"/>
    </row>
    <row r="51" spans="1:58" x14ac:dyDescent="0.25">
      <c r="A51" s="4">
        <v>2020</v>
      </c>
      <c r="B51" s="4" t="s">
        <v>18</v>
      </c>
      <c r="C51" s="4" t="s">
        <v>28</v>
      </c>
      <c r="D51" s="4" t="s">
        <v>60</v>
      </c>
      <c r="E51" t="s">
        <v>227</v>
      </c>
      <c r="F51" t="s">
        <v>61</v>
      </c>
      <c r="G51" s="4">
        <v>1</v>
      </c>
      <c r="H51" s="4" t="s">
        <v>32</v>
      </c>
      <c r="I51" s="4" t="s">
        <v>57</v>
      </c>
      <c r="J51" s="12">
        <v>2.9976801670557808E-2</v>
      </c>
      <c r="K51" s="18">
        <v>161.92209081755999</v>
      </c>
      <c r="L51" s="18"/>
      <c r="M51" s="18"/>
      <c r="N51" s="19">
        <v>8.1989974350000008</v>
      </c>
      <c r="O51" s="19">
        <v>6.868280961</v>
      </c>
      <c r="P51" s="19">
        <f t="shared" si="42"/>
        <v>38.283701584000013</v>
      </c>
      <c r="Q51" s="19"/>
      <c r="R51" s="19">
        <v>34.006319995999988</v>
      </c>
      <c r="S51" s="19">
        <v>23.745402864900001</v>
      </c>
      <c r="T51" s="19">
        <v>48.934877159099997</v>
      </c>
      <c r="U51" s="18">
        <v>1.8845108175600001</v>
      </c>
      <c r="V51" s="18">
        <v>2.6679999999999999E-2</v>
      </c>
      <c r="W51" s="18">
        <v>2486.9825569760001</v>
      </c>
      <c r="X51" s="18">
        <v>46.657345365495999</v>
      </c>
      <c r="Y51" s="18">
        <v>82.768711368872005</v>
      </c>
      <c r="Z51" s="18">
        <v>53.848531314163999</v>
      </c>
      <c r="AA51" s="18">
        <v>10.2772125252236</v>
      </c>
      <c r="AB51" s="18">
        <f t="shared" si="54"/>
        <v>2680.5610375497558</v>
      </c>
      <c r="AC51" s="19">
        <v>133.94226896500001</v>
      </c>
      <c r="AD51" s="19">
        <v>130.75332287899997</v>
      </c>
      <c r="AE51" s="19">
        <f t="shared" si="32"/>
        <v>727.89333775600016</v>
      </c>
      <c r="AF51" s="19"/>
      <c r="AG51" s="19">
        <v>613.76956165399997</v>
      </c>
      <c r="AH51" s="19">
        <v>358.26393386060022</v>
      </c>
      <c r="AI51" s="19">
        <v>690.11718488540009</v>
      </c>
      <c r="AJ51" s="18">
        <v>25.821427549755601</v>
      </c>
      <c r="AK51" s="18">
        <f t="shared" si="55"/>
        <v>2680.5610375497563</v>
      </c>
      <c r="AL51" s="3">
        <f t="shared" si="56"/>
        <v>26.457857976725485</v>
      </c>
      <c r="AM51" s="3">
        <f t="shared" si="57"/>
        <v>1.0950012998360239</v>
      </c>
      <c r="AN51" s="42">
        <f t="shared" si="36"/>
        <v>27.397227751686223</v>
      </c>
      <c r="AP51" s="3">
        <f t="shared" si="30"/>
        <v>44.978358560433328</v>
      </c>
      <c r="AQ51" s="44"/>
      <c r="AR51" s="42">
        <f t="shared" si="37"/>
        <v>19.555808069753621</v>
      </c>
      <c r="AS51" s="44"/>
      <c r="AT51" s="3"/>
      <c r="AU51" s="42"/>
      <c r="AV51" s="3"/>
      <c r="AW51" s="3">
        <f t="shared" si="38"/>
        <v>30.237551973400556</v>
      </c>
      <c r="AX51" s="3"/>
      <c r="AY51" s="42">
        <f t="shared" si="39"/>
        <v>23.518095979311543</v>
      </c>
      <c r="AZ51" s="3"/>
      <c r="BA51" s="3">
        <f t="shared" si="40"/>
        <v>22.831023126405185</v>
      </c>
      <c r="BB51" s="42"/>
      <c r="BC51" s="48"/>
      <c r="BD51" s="3">
        <f t="shared" si="41"/>
        <v>30.528297665452481</v>
      </c>
      <c r="BE51" s="3"/>
      <c r="BF51" s="3"/>
    </row>
    <row r="52" spans="1:58" x14ac:dyDescent="0.25">
      <c r="A52" s="4">
        <v>2020</v>
      </c>
      <c r="B52" s="4" t="s">
        <v>18</v>
      </c>
      <c r="C52" s="4" t="s">
        <v>29</v>
      </c>
      <c r="D52" s="4" t="s">
        <v>60</v>
      </c>
      <c r="E52" t="s">
        <v>228</v>
      </c>
      <c r="F52" t="s">
        <v>61</v>
      </c>
      <c r="G52" s="4">
        <v>1</v>
      </c>
      <c r="H52" s="4" t="s">
        <v>32</v>
      </c>
      <c r="I52" s="4" t="s">
        <v>58</v>
      </c>
      <c r="J52" s="12">
        <v>0.17811008035514522</v>
      </c>
      <c r="K52" s="18">
        <v>192.25402030539999</v>
      </c>
      <c r="L52" s="18"/>
      <c r="M52" s="18"/>
      <c r="N52" s="19">
        <v>9.9342880450000006</v>
      </c>
      <c r="O52" s="19">
        <v>9.1589148469999984</v>
      </c>
      <c r="P52" s="19">
        <f t="shared" si="42"/>
        <v>50.460504427999979</v>
      </c>
      <c r="Q52" s="19"/>
      <c r="R52" s="19">
        <v>42.050771836000003</v>
      </c>
      <c r="S52" s="19">
        <v>29.09584485229999</v>
      </c>
      <c r="T52" s="19">
        <v>49.828605991700016</v>
      </c>
      <c r="U52" s="18">
        <v>1.7250903053999997</v>
      </c>
      <c r="V52" s="18">
        <v>2.8420000000000001E-2</v>
      </c>
      <c r="W52" s="18">
        <v>2461.6210278399999</v>
      </c>
      <c r="X52" s="18">
        <v>65.210144279639991</v>
      </c>
      <c r="Y52" s="18">
        <v>85.610739393480003</v>
      </c>
      <c r="Z52" s="18">
        <v>54.734330552260005</v>
      </c>
      <c r="AA52" s="18">
        <v>21.622677442374002</v>
      </c>
      <c r="AB52" s="18">
        <f t="shared" si="54"/>
        <v>2688.827339507754</v>
      </c>
      <c r="AC52" s="19">
        <v>135.40895181499999</v>
      </c>
      <c r="AD52" s="19">
        <v>130.263417589</v>
      </c>
      <c r="AE52" s="19">
        <f t="shared" si="32"/>
        <v>725.28929601599975</v>
      </c>
      <c r="AF52" s="19"/>
      <c r="AG52" s="19">
        <v>620.57029196399981</v>
      </c>
      <c r="AH52" s="19">
        <v>362.78578812390015</v>
      </c>
      <c r="AI52" s="19">
        <v>690.87253449210016</v>
      </c>
      <c r="AJ52" s="18">
        <v>23.637059507754003</v>
      </c>
      <c r="AK52" s="18">
        <f t="shared" si="55"/>
        <v>2688.827339507754</v>
      </c>
      <c r="AL52" s="3">
        <f t="shared" si="56"/>
        <v>31.414055605457513</v>
      </c>
      <c r="AM52" s="3">
        <f t="shared" si="57"/>
        <v>1.0983780598732134</v>
      </c>
      <c r="AN52" s="42">
        <f t="shared" si="36"/>
        <v>27.313000046143422</v>
      </c>
      <c r="AP52" s="3">
        <f t="shared" si="30"/>
        <v>53.403894529277771</v>
      </c>
      <c r="AQ52" s="44"/>
      <c r="AR52" s="42">
        <f t="shared" si="37"/>
        <v>23.219084577946859</v>
      </c>
      <c r="AS52" s="44"/>
      <c r="AT52" s="3"/>
      <c r="AU52" s="42"/>
      <c r="AV52" s="3"/>
      <c r="AW52" s="3">
        <f t="shared" si="38"/>
        <v>35.901777834808591</v>
      </c>
      <c r="AX52" s="3"/>
      <c r="AY52" s="42">
        <f t="shared" si="39"/>
        <v>27.923604982628902</v>
      </c>
      <c r="AZ52" s="3"/>
      <c r="BA52" s="3">
        <f t="shared" si="40"/>
        <v>22.760833371786184</v>
      </c>
      <c r="BB52" s="42"/>
      <c r="BC52" s="48"/>
      <c r="BD52" s="3">
        <f t="shared" si="41"/>
        <v>36.246987237066357</v>
      </c>
      <c r="BE52" s="3"/>
      <c r="BF52" s="3"/>
    </row>
    <row r="53" spans="1:58" x14ac:dyDescent="0.25">
      <c r="A53" s="4">
        <v>2020</v>
      </c>
      <c r="B53" s="4" t="s">
        <v>18</v>
      </c>
      <c r="C53" s="4" t="s">
        <v>30</v>
      </c>
      <c r="D53" s="4" t="s">
        <v>60</v>
      </c>
      <c r="E53" t="s">
        <v>229</v>
      </c>
      <c r="F53" t="s">
        <v>61</v>
      </c>
      <c r="G53" s="4">
        <v>1</v>
      </c>
      <c r="H53" s="4" t="s">
        <v>32</v>
      </c>
      <c r="I53" s="4" t="s">
        <v>59</v>
      </c>
      <c r="J53" s="12">
        <v>0.22132949085655271</v>
      </c>
      <c r="K53" s="18">
        <v>187.72256098290001</v>
      </c>
      <c r="L53" s="18"/>
      <c r="M53" s="18"/>
      <c r="N53" s="19">
        <v>9.68228534</v>
      </c>
      <c r="O53" s="19">
        <v>8.8122158439999989</v>
      </c>
      <c r="P53" s="19">
        <f t="shared" si="42"/>
        <v>48.617485155999987</v>
      </c>
      <c r="Q53" s="19"/>
      <c r="R53" s="19">
        <v>40.882561333999995</v>
      </c>
      <c r="S53" s="19">
        <v>28.318843228900022</v>
      </c>
      <c r="T53" s="19">
        <v>49.698819097099999</v>
      </c>
      <c r="U53" s="18">
        <v>1.7103509828999999</v>
      </c>
      <c r="V53" s="18">
        <v>2.81E-2</v>
      </c>
      <c r="W53" s="18">
        <v>2181.13391684</v>
      </c>
      <c r="X53" s="18">
        <v>232.75060565114001</v>
      </c>
      <c r="Y53" s="18">
        <v>82.677134343980001</v>
      </c>
      <c r="Z53" s="18">
        <v>68.224907789509999</v>
      </c>
      <c r="AA53" s="18">
        <v>12.338207778649</v>
      </c>
      <c r="AB53" s="18">
        <f t="shared" si="54"/>
        <v>2577.1528724032792</v>
      </c>
      <c r="AC53" s="19">
        <v>129.45843847500001</v>
      </c>
      <c r="AD53" s="19">
        <v>121.313708625</v>
      </c>
      <c r="AE53" s="19">
        <f t="shared" si="32"/>
        <v>677.71359432000054</v>
      </c>
      <c r="AF53" s="19"/>
      <c r="AG53" s="19">
        <v>592.98570586799974</v>
      </c>
      <c r="AH53" s="19">
        <v>344.43845608510014</v>
      </c>
      <c r="AI53" s="19">
        <v>687.80786662689979</v>
      </c>
      <c r="AJ53" s="18">
        <v>23.435102403279004</v>
      </c>
      <c r="AK53" s="18">
        <f t="shared" si="55"/>
        <v>2577.1528724032792</v>
      </c>
      <c r="AL53" s="3">
        <f t="shared" si="56"/>
        <v>30.673621075637254</v>
      </c>
      <c r="AM53" s="3">
        <f t="shared" si="57"/>
        <v>1.0527593685153502</v>
      </c>
      <c r="AN53" s="42">
        <f t="shared" si="36"/>
        <v>28.496540517428386</v>
      </c>
      <c r="AP53" s="3">
        <f t="shared" si="30"/>
        <v>52.145155828583327</v>
      </c>
      <c r="AQ53" s="44"/>
      <c r="AR53" s="42">
        <f t="shared" si="37"/>
        <v>22.671806881992751</v>
      </c>
      <c r="AS53" s="44"/>
      <c r="AT53" s="3"/>
      <c r="AU53" s="42"/>
      <c r="AV53" s="3"/>
      <c r="AW53" s="3">
        <f t="shared" si="38"/>
        <v>35.05556694358544</v>
      </c>
      <c r="AX53" s="3"/>
      <c r="AY53" s="42">
        <f t="shared" si="39"/>
        <v>27.265440956122006</v>
      </c>
      <c r="AZ53" s="3"/>
      <c r="BA53" s="3">
        <f t="shared" si="40"/>
        <v>23.747117097856986</v>
      </c>
      <c r="BB53" s="42"/>
      <c r="BC53" s="48"/>
      <c r="BD53" s="3">
        <f t="shared" si="41"/>
        <v>35.392639702658371</v>
      </c>
      <c r="BE53" s="3"/>
      <c r="BF53" s="3"/>
    </row>
    <row r="54" spans="1:58" x14ac:dyDescent="0.25">
      <c r="A54" s="4">
        <v>2020</v>
      </c>
      <c r="B54" s="4" t="s">
        <v>18</v>
      </c>
      <c r="C54" s="4"/>
      <c r="I54" s="4"/>
      <c r="J54" s="4"/>
      <c r="K54" s="21">
        <f>$J48*K48+$J49*K49+$J50*K50+$J51*K51+$J52*K52+$J53*K53</f>
        <v>204.25948666863422</v>
      </c>
      <c r="L54" s="21"/>
      <c r="M54" s="21"/>
      <c r="N54" s="18">
        <f>$J48*N48+$J49*N49+$J50*N50+$J51*N51+$J52*N52+$J53*N53</f>
        <v>10.587554339799816</v>
      </c>
      <c r="O54" s="18">
        <f t="shared" ref="O54" si="58">$J48*O48+$J49*O49+$J50*O50+$J51*O51+$J52*O52+$J53*O53</f>
        <v>10.103548820970881</v>
      </c>
      <c r="P54" s="19">
        <f>K54-SUM(N54:O54,R54:U54)</f>
        <v>55.482078361962664</v>
      </c>
      <c r="Q54" s="18">
        <f t="shared" ref="Q54:AD54" si="59">$J48*Q48+$J49*Q49+$J50*Q50+$J51*Q51+$J52*Q52+$J53*Q53</f>
        <v>0</v>
      </c>
      <c r="R54" s="18">
        <f t="shared" si="59"/>
        <v>45.079144295177144</v>
      </c>
      <c r="S54" s="18">
        <f t="shared" si="59"/>
        <v>31.112967927419113</v>
      </c>
      <c r="T54" s="18">
        <f t="shared" si="59"/>
        <v>50.165055450048442</v>
      </c>
      <c r="U54" s="18">
        <f t="shared" si="59"/>
        <v>1.7291374732561866</v>
      </c>
      <c r="V54" s="18">
        <f t="shared" si="59"/>
        <v>2.9620832893341404E-2</v>
      </c>
      <c r="W54" s="18">
        <f t="shared" si="59"/>
        <v>2451.8204450433959</v>
      </c>
      <c r="X54" s="18">
        <f t="shared" si="59"/>
        <v>140.16309369301337</v>
      </c>
      <c r="Y54" s="18">
        <f t="shared" si="59"/>
        <v>149.57525991338707</v>
      </c>
      <c r="Z54" s="18">
        <f t="shared" si="59"/>
        <v>75.412689308611164</v>
      </c>
      <c r="AA54" s="18">
        <f t="shared" si="59"/>
        <v>15.85027537161263</v>
      </c>
      <c r="AB54" s="21">
        <f t="shared" si="59"/>
        <v>2832.8513841629142</v>
      </c>
      <c r="AC54" s="18">
        <f t="shared" si="59"/>
        <v>143.33620874926447</v>
      </c>
      <c r="AD54" s="18">
        <f t="shared" si="59"/>
        <v>141.46778154564475</v>
      </c>
      <c r="AE54" s="19">
        <f t="shared" si="32"/>
        <v>784.85056388122575</v>
      </c>
      <c r="AF54" s="18">
        <f t="shared" ref="AF54:AK54" si="60">$J48*AF48+$J49*AF49+$J50*AF50+$J51*AF51+$J52*AF52+$J53*AF53</f>
        <v>0</v>
      </c>
      <c r="AG54" s="18">
        <f t="shared" si="60"/>
        <v>657.31899890275122</v>
      </c>
      <c r="AH54" s="18">
        <f t="shared" si="60"/>
        <v>387.23001609960164</v>
      </c>
      <c r="AI54" s="18">
        <f t="shared" si="60"/>
        <v>694.95530148266698</v>
      </c>
      <c r="AJ54" s="18">
        <f t="shared" si="60"/>
        <v>23.692513501759475</v>
      </c>
      <c r="AK54" s="21">
        <f t="shared" si="60"/>
        <v>2832.8513841629142</v>
      </c>
      <c r="AL54" s="41">
        <f t="shared" si="56"/>
        <v>33.375733115789906</v>
      </c>
      <c r="AM54" s="41">
        <f t="shared" si="57"/>
        <v>1.1572114585147146</v>
      </c>
      <c r="AN54" s="43">
        <f t="shared" si="36"/>
        <v>25.924388994994153</v>
      </c>
      <c r="AP54" s="41">
        <f t="shared" si="30"/>
        <v>56.738746296842834</v>
      </c>
      <c r="AQ54" s="53"/>
      <c r="AR54" s="43">
        <f t="shared" si="37"/>
        <v>24.669020129062105</v>
      </c>
      <c r="AS54" s="53"/>
      <c r="AT54" s="41"/>
      <c r="AU54" s="43"/>
      <c r="AV54" s="41"/>
      <c r="AW54" s="41">
        <f t="shared" si="38"/>
        <v>38.143694989474184</v>
      </c>
      <c r="AX54" s="41"/>
      <c r="AY54" s="43">
        <f t="shared" si="39"/>
        <v>29.667318325146585</v>
      </c>
      <c r="AZ54" s="41"/>
      <c r="BA54" s="41">
        <f t="shared" si="40"/>
        <v>21.603657495828461</v>
      </c>
      <c r="BB54" s="43"/>
      <c r="BC54" s="54"/>
      <c r="BD54" s="41">
        <f t="shared" si="41"/>
        <v>38.510461287449886</v>
      </c>
      <c r="BE54" s="3"/>
      <c r="BF54" s="3"/>
    </row>
    <row r="55" spans="1:58" x14ac:dyDescent="0.25">
      <c r="A55" s="4">
        <v>2020</v>
      </c>
      <c r="B55" s="4" t="s">
        <v>47</v>
      </c>
      <c r="C55" s="4" t="s">
        <v>48</v>
      </c>
      <c r="D55" s="4" t="s">
        <v>60</v>
      </c>
      <c r="E55" t="s">
        <v>230</v>
      </c>
      <c r="F55" t="s">
        <v>61</v>
      </c>
      <c r="G55" s="4">
        <v>1</v>
      </c>
      <c r="H55" s="4" t="s">
        <v>32</v>
      </c>
      <c r="I55" s="4" t="s">
        <v>48</v>
      </c>
      <c r="J55" s="9">
        <v>1</v>
      </c>
      <c r="K55" s="22">
        <v>158.32989000000001</v>
      </c>
      <c r="L55" s="10"/>
      <c r="M55" s="10" t="s">
        <v>278</v>
      </c>
      <c r="N55" s="19">
        <v>8.1417403450000005</v>
      </c>
      <c r="O55" s="19">
        <v>6.6855154670000001</v>
      </c>
      <c r="P55" s="19">
        <f t="shared" ref="P55:P60" si="61">K55-SUM(N55:O55,R55:U55)</f>
        <v>37.313751087999989</v>
      </c>
      <c r="Q55" s="19"/>
      <c r="R55" s="19">
        <v>33.740967175999998</v>
      </c>
      <c r="S55" s="19">
        <v>23.542521302300003</v>
      </c>
      <c r="T55" s="19">
        <v>48.905394621700012</v>
      </c>
      <c r="U55" s="70"/>
      <c r="V55" s="19">
        <v>2.8049999999999999E-2</v>
      </c>
      <c r="W55" s="19">
        <v>1960.1996999999999</v>
      </c>
      <c r="X55" s="19">
        <v>93.814670000000007</v>
      </c>
      <c r="Y55" s="19">
        <v>535.31709000000001</v>
      </c>
      <c r="Z55" s="19">
        <v>71.414510000000007</v>
      </c>
      <c r="AA55" s="19">
        <v>71.840519999999998</v>
      </c>
      <c r="AB55" s="21">
        <f>SUM(V55:AA55)</f>
        <v>2732.61454</v>
      </c>
      <c r="AC55" s="19">
        <v>138.94871383500001</v>
      </c>
      <c r="AD55" s="19">
        <v>135.77633768099997</v>
      </c>
      <c r="AE55" s="19">
        <f t="shared" si="32"/>
        <v>754.60036112399985</v>
      </c>
      <c r="AF55" s="19"/>
      <c r="AG55" s="19">
        <v>636.97936477199994</v>
      </c>
      <c r="AH55" s="19">
        <v>373.61413752960016</v>
      </c>
      <c r="AI55" s="19">
        <v>692.69562505840008</v>
      </c>
      <c r="AJ55" s="18"/>
      <c r="AK55" s="21">
        <f t="shared" ref="AK55:AK61" si="62">SUM(AC55:AJ55)</f>
        <v>2732.6145399999996</v>
      </c>
      <c r="AL55" s="41">
        <f t="shared" si="56"/>
        <v>25.87089705882353</v>
      </c>
      <c r="AM55" s="41">
        <f>AK55*$G$98/($G$103*$G$96*$G$116)*0.277778</f>
        <v>1.1162650024884118</v>
      </c>
      <c r="AN55" s="43">
        <f t="shared" si="36"/>
        <v>26.8753386813374</v>
      </c>
      <c r="AP55" s="41">
        <f t="shared" si="30"/>
        <v>43.980525</v>
      </c>
      <c r="AQ55" s="53"/>
      <c r="AR55" s="43">
        <f t="shared" si="37"/>
        <v>19.121967391304349</v>
      </c>
      <c r="AS55" s="53"/>
      <c r="AT55" s="41"/>
      <c r="AU55" s="43"/>
      <c r="AV55" s="41"/>
      <c r="AW55" s="41">
        <f t="shared" si="38"/>
        <v>29.566739495798323</v>
      </c>
      <c r="AX55" s="41"/>
      <c r="AY55" s="43">
        <f t="shared" si="39"/>
        <v>22.996352941176472</v>
      </c>
      <c r="AZ55" s="41"/>
      <c r="BA55" s="41">
        <f t="shared" si="40"/>
        <v>22.396115567781166</v>
      </c>
      <c r="BB55" s="43"/>
      <c r="BC55" s="54"/>
      <c r="BD55" s="41">
        <f t="shared" si="41"/>
        <v>29.851035067873301</v>
      </c>
      <c r="BE55" s="3"/>
      <c r="BF55" s="3"/>
    </row>
    <row r="56" spans="1:58" x14ac:dyDescent="0.25">
      <c r="A56" s="4">
        <v>2025</v>
      </c>
      <c r="B56" s="4" t="s">
        <v>47</v>
      </c>
      <c r="C56" s="4" t="s">
        <v>48</v>
      </c>
      <c r="D56" s="4" t="s">
        <v>60</v>
      </c>
      <c r="E56" t="s">
        <v>231</v>
      </c>
      <c r="F56" t="s">
        <v>61</v>
      </c>
      <c r="G56" s="4">
        <v>1</v>
      </c>
      <c r="H56" s="4" t="s">
        <v>32</v>
      </c>
      <c r="I56" s="4" t="s">
        <v>48</v>
      </c>
      <c r="J56" s="9">
        <v>1</v>
      </c>
      <c r="K56" s="20">
        <v>148.95956000000001</v>
      </c>
      <c r="L56" s="6" t="s">
        <v>276</v>
      </c>
      <c r="M56" s="100">
        <f>1-K56/$K$54</f>
        <v>0.27073370040504452</v>
      </c>
      <c r="N56" s="19">
        <v>7.6272663500000002</v>
      </c>
      <c r="O56" s="19">
        <v>5.9540904100000001</v>
      </c>
      <c r="P56" s="19">
        <f t="shared" si="61"/>
        <v>33.425571980000001</v>
      </c>
      <c r="Q56" s="19"/>
      <c r="R56" s="19">
        <v>31.355986479999991</v>
      </c>
      <c r="S56" s="19">
        <v>21.956223544300002</v>
      </c>
      <c r="T56" s="19">
        <v>48.640421235700018</v>
      </c>
      <c r="U56" s="18"/>
      <c r="V56" s="19">
        <v>2.7980000000000001E-2</v>
      </c>
      <c r="W56" s="19">
        <v>1842.4324799999999</v>
      </c>
      <c r="X56" s="19">
        <v>92.712559999999996</v>
      </c>
      <c r="Y56" s="19">
        <v>485.38589000000002</v>
      </c>
      <c r="Z56" s="19">
        <v>70.657769999999999</v>
      </c>
      <c r="AA56" s="19">
        <v>112.94468000000001</v>
      </c>
      <c r="AB56" s="18">
        <f t="shared" ref="AB56:AB60" si="63">SUM(V56:AA56)</f>
        <v>2604.1613599999996</v>
      </c>
      <c r="AC56" s="19">
        <v>131.884589175</v>
      </c>
      <c r="AD56" s="19">
        <v>125.766272325</v>
      </c>
      <c r="AE56" s="19">
        <f t="shared" si="32"/>
        <v>701.38786316000005</v>
      </c>
      <c r="AF56" s="19"/>
      <c r="AG56" s="19">
        <v>604.23201896799958</v>
      </c>
      <c r="AH56" s="19">
        <v>351.83322323430025</v>
      </c>
      <c r="AI56" s="19">
        <v>689.05739313769982</v>
      </c>
      <c r="AJ56" s="18"/>
      <c r="AK56" s="18">
        <f t="shared" si="62"/>
        <v>2604.1613600000001</v>
      </c>
      <c r="AL56" s="3">
        <f t="shared" si="56"/>
        <v>24.339797385620916</v>
      </c>
      <c r="AM56" s="3">
        <f t="shared" si="57"/>
        <v>1.0637922562618825</v>
      </c>
      <c r="AN56" s="42">
        <f t="shared" si="36"/>
        <v>28.200994906109425</v>
      </c>
      <c r="AP56" s="3">
        <f t="shared" si="30"/>
        <v>41.377655555555556</v>
      </c>
      <c r="AQ56" s="44"/>
      <c r="AR56" s="42">
        <f t="shared" si="37"/>
        <v>17.990285024154588</v>
      </c>
      <c r="AS56" s="44"/>
      <c r="AT56" s="3">
        <f t="shared" ref="AT56:AT61" si="64">AM56/$AU$3*$AT$3</f>
        <v>2.4821819312777258</v>
      </c>
      <c r="AU56" s="42"/>
      <c r="AV56" s="3"/>
      <c r="AW56" s="3">
        <f t="shared" si="38"/>
        <v>27.816911297852478</v>
      </c>
      <c r="AX56" s="3"/>
      <c r="AY56" s="42">
        <f t="shared" si="39"/>
        <v>21.63537545388526</v>
      </c>
      <c r="AZ56" s="3"/>
      <c r="BA56" s="3">
        <f t="shared" si="40"/>
        <v>23.500829088424521</v>
      </c>
      <c r="BB56" s="42"/>
      <c r="BC56" s="48"/>
      <c r="BD56" s="3">
        <f t="shared" si="41"/>
        <v>28.08438159879336</v>
      </c>
      <c r="BE56" s="3"/>
      <c r="BF56" s="3">
        <f>AL56*BE$33/BF$33</f>
        <v>20.28316448801743</v>
      </c>
    </row>
    <row r="57" spans="1:58" x14ac:dyDescent="0.25">
      <c r="A57" s="4">
        <v>2030</v>
      </c>
      <c r="B57" s="4" t="s">
        <v>47</v>
      </c>
      <c r="C57" s="4" t="s">
        <v>48</v>
      </c>
      <c r="D57" s="4" t="s">
        <v>60</v>
      </c>
      <c r="E57" t="s">
        <v>232</v>
      </c>
      <c r="F57" t="s">
        <v>61</v>
      </c>
      <c r="G57" s="4">
        <v>1</v>
      </c>
      <c r="H57" s="4" t="s">
        <v>32</v>
      </c>
      <c r="I57" s="4" t="s">
        <v>48</v>
      </c>
      <c r="J57" s="9">
        <v>1</v>
      </c>
      <c r="K57" s="20">
        <v>146.94658999999999</v>
      </c>
      <c r="L57" s="6" t="s">
        <v>277</v>
      </c>
      <c r="M57" s="100">
        <f t="shared" ref="M57:M61" si="65">1-K57/$K$54</f>
        <v>0.28058866495445434</v>
      </c>
      <c r="N57" s="19">
        <v>7.5153797100000004</v>
      </c>
      <c r="O57" s="19">
        <v>5.798953386</v>
      </c>
      <c r="P57" s="19">
        <f t="shared" si="61"/>
        <v>32.600882884000001</v>
      </c>
      <c r="Q57" s="19"/>
      <c r="R57" s="19">
        <v>30.837323119999994</v>
      </c>
      <c r="S57" s="19">
        <v>21.611251977400002</v>
      </c>
      <c r="T57" s="19">
        <v>48.582798922599991</v>
      </c>
      <c r="U57" s="18"/>
      <c r="V57" s="19">
        <v>2.801E-2</v>
      </c>
      <c r="W57" s="19">
        <v>1818.9086500000001</v>
      </c>
      <c r="X57" s="19">
        <v>91.325680000000006</v>
      </c>
      <c r="Y57" s="19">
        <v>413.69378</v>
      </c>
      <c r="Z57" s="19">
        <v>69.968959999999996</v>
      </c>
      <c r="AA57" s="19">
        <v>118.12038</v>
      </c>
      <c r="AB57" s="18">
        <f t="shared" si="63"/>
        <v>2512.0454599999998</v>
      </c>
      <c r="AC57" s="19">
        <v>126.80661035999999</v>
      </c>
      <c r="AD57" s="19">
        <v>118.60569729599999</v>
      </c>
      <c r="AE57" s="19">
        <f t="shared" si="32"/>
        <v>663.32297146399992</v>
      </c>
      <c r="AF57" s="19"/>
      <c r="AG57" s="19">
        <v>580.69187907399987</v>
      </c>
      <c r="AH57" s="19">
        <v>336.17619935560015</v>
      </c>
      <c r="AI57" s="19">
        <v>686.44210245039994</v>
      </c>
      <c r="AJ57" s="18"/>
      <c r="AK57" s="18">
        <f t="shared" si="62"/>
        <v>2512.0454599999998</v>
      </c>
      <c r="AL57" s="3">
        <f t="shared" si="56"/>
        <v>24.010880718954247</v>
      </c>
      <c r="AM57" s="3">
        <f t="shared" si="57"/>
        <v>1.026163182041</v>
      </c>
      <c r="AN57" s="42">
        <f t="shared" si="36"/>
        <v>29.235116329481951</v>
      </c>
      <c r="AP57" s="3">
        <f t="shared" si="30"/>
        <v>40.81849722222222</v>
      </c>
      <c r="AQ57" s="44"/>
      <c r="AR57" s="42">
        <f t="shared" si="37"/>
        <v>17.747172705314007</v>
      </c>
      <c r="AS57" s="44"/>
      <c r="AT57" s="3">
        <f t="shared" si="64"/>
        <v>2.3943807580956666</v>
      </c>
      <c r="AU57" s="42"/>
      <c r="AV57" s="3"/>
      <c r="AW57" s="3">
        <f t="shared" si="38"/>
        <v>27.441006535947714</v>
      </c>
      <c r="AX57" s="3"/>
      <c r="AY57" s="42">
        <f t="shared" si="39"/>
        <v>21.343005083514885</v>
      </c>
      <c r="AZ57" s="3"/>
      <c r="BA57" s="3">
        <f t="shared" si="40"/>
        <v>24.362596941234958</v>
      </c>
      <c r="BB57" s="42"/>
      <c r="BC57" s="48"/>
      <c r="BD57" s="3">
        <f t="shared" si="41"/>
        <v>27.704862368024131</v>
      </c>
      <c r="BE57" s="3"/>
      <c r="BF57" s="3">
        <f t="shared" ref="BF57:BF61" si="66">AL57*BE$33/BF$33</f>
        <v>20.009067265795206</v>
      </c>
    </row>
    <row r="58" spans="1:58" x14ac:dyDescent="0.25">
      <c r="A58" s="4">
        <v>2035</v>
      </c>
      <c r="B58" s="4" t="s">
        <v>47</v>
      </c>
      <c r="C58" s="4" t="s">
        <v>48</v>
      </c>
      <c r="D58" s="4" t="s">
        <v>60</v>
      </c>
      <c r="E58" t="s">
        <v>233</v>
      </c>
      <c r="F58" t="s">
        <v>61</v>
      </c>
      <c r="G58" s="4">
        <v>1</v>
      </c>
      <c r="H58" s="4" t="s">
        <v>32</v>
      </c>
      <c r="I58" s="4" t="s">
        <v>48</v>
      </c>
      <c r="J58" s="9">
        <v>1</v>
      </c>
      <c r="K58" s="22">
        <v>143.37628000000001</v>
      </c>
      <c r="L58" s="6" t="s">
        <v>279</v>
      </c>
      <c r="M58" s="100">
        <f t="shared" si="65"/>
        <v>0.29806795102449135</v>
      </c>
      <c r="N58" s="19">
        <v>7.3182892650000007</v>
      </c>
      <c r="O58" s="19">
        <v>5.5218170189999993</v>
      </c>
      <c r="P58" s="19">
        <f t="shared" si="61"/>
        <v>31.127654816000003</v>
      </c>
      <c r="Q58" s="19"/>
      <c r="R58" s="19">
        <v>29.92366840599999</v>
      </c>
      <c r="S58" s="19">
        <v>21.003563268899995</v>
      </c>
      <c r="T58" s="19">
        <v>48.481287225100019</v>
      </c>
      <c r="U58" s="18"/>
      <c r="V58" s="19">
        <v>2.7990000000000001E-2</v>
      </c>
      <c r="W58" s="19">
        <v>1779.66317</v>
      </c>
      <c r="X58" s="19">
        <v>89.554410000000004</v>
      </c>
      <c r="Y58" s="19">
        <v>390.89343000000002</v>
      </c>
      <c r="Z58" s="19">
        <v>69.50573</v>
      </c>
      <c r="AA58" s="19">
        <v>124.14548000000001</v>
      </c>
      <c r="AB58" s="21">
        <f t="shared" si="63"/>
        <v>2453.7902100000001</v>
      </c>
      <c r="AC58" s="19">
        <v>123.58172076000001</v>
      </c>
      <c r="AD58" s="19">
        <v>114.09703089599998</v>
      </c>
      <c r="AE58" s="19">
        <f t="shared" si="32"/>
        <v>639.35534302400015</v>
      </c>
      <c r="AF58" s="19"/>
      <c r="AG58" s="19">
        <v>565.74209553999981</v>
      </c>
      <c r="AH58" s="19">
        <v>326.23281742109998</v>
      </c>
      <c r="AI58" s="19">
        <v>684.78120235890037</v>
      </c>
      <c r="AJ58" s="18"/>
      <c r="AK58" s="21">
        <f t="shared" si="62"/>
        <v>2453.7902100000001</v>
      </c>
      <c r="AL58" s="41">
        <f t="shared" si="56"/>
        <v>23.427496732026142</v>
      </c>
      <c r="AM58" s="41">
        <f t="shared" si="57"/>
        <v>1.0023660837549706</v>
      </c>
      <c r="AN58" s="43">
        <f t="shared" si="36"/>
        <v>29.929185041473861</v>
      </c>
      <c r="AP58" s="41">
        <f t="shared" si="30"/>
        <v>39.826744444444444</v>
      </c>
      <c r="AQ58" s="53"/>
      <c r="AR58" s="43">
        <f t="shared" si="37"/>
        <v>17.315975845410627</v>
      </c>
      <c r="AS58" s="53"/>
      <c r="AT58" s="41">
        <f t="shared" si="64"/>
        <v>2.3388541954282647</v>
      </c>
      <c r="AU58" s="43"/>
      <c r="AV58" s="41"/>
      <c r="AW58" s="41">
        <f t="shared" si="38"/>
        <v>26.774281979458454</v>
      </c>
      <c r="AX58" s="41"/>
      <c r="AY58" s="43">
        <f t="shared" si="39"/>
        <v>20.824441539578796</v>
      </c>
      <c r="AZ58" s="41"/>
      <c r="BA58" s="41">
        <f t="shared" si="40"/>
        <v>24.94098753456155</v>
      </c>
      <c r="BB58" s="43"/>
      <c r="BC58" s="54"/>
      <c r="BD58" s="41">
        <f t="shared" si="41"/>
        <v>27.031726998491699</v>
      </c>
      <c r="BE58" s="41"/>
      <c r="BF58" s="41">
        <f t="shared" si="66"/>
        <v>19.522913943355118</v>
      </c>
    </row>
    <row r="59" spans="1:58" x14ac:dyDescent="0.25">
      <c r="A59" s="4">
        <v>2040</v>
      </c>
      <c r="B59" s="4" t="s">
        <v>47</v>
      </c>
      <c r="C59" s="4" t="s">
        <v>48</v>
      </c>
      <c r="D59" s="4" t="s">
        <v>60</v>
      </c>
      <c r="E59" t="s">
        <v>234</v>
      </c>
      <c r="F59" t="s">
        <v>61</v>
      </c>
      <c r="G59" s="4">
        <v>1</v>
      </c>
      <c r="H59" s="4" t="s">
        <v>32</v>
      </c>
      <c r="I59" s="4" t="s">
        <v>48</v>
      </c>
      <c r="J59" s="9">
        <v>1</v>
      </c>
      <c r="K59" s="18">
        <v>141.49591000000001</v>
      </c>
      <c r="L59" s="6" t="s">
        <v>280</v>
      </c>
      <c r="M59" s="100">
        <f t="shared" si="65"/>
        <v>0.30727374131931617</v>
      </c>
      <c r="N59" s="19">
        <v>7.2143850249999995</v>
      </c>
      <c r="O59" s="19">
        <v>5.3760078350000011</v>
      </c>
      <c r="P59" s="19">
        <f t="shared" si="61"/>
        <v>30.352545980000002</v>
      </c>
      <c r="Q59" s="19"/>
      <c r="R59" s="19">
        <v>29.441993931999995</v>
      </c>
      <c r="S59" s="19">
        <v>20.683198413999989</v>
      </c>
      <c r="T59" s="19">
        <v>48.427778814000021</v>
      </c>
      <c r="U59" s="18"/>
      <c r="V59" s="19">
        <v>2.7959999999999999E-2</v>
      </c>
      <c r="W59" s="19">
        <v>1766.925</v>
      </c>
      <c r="X59" s="19">
        <v>87.613619999999997</v>
      </c>
      <c r="Y59" s="19">
        <v>370.22349000000003</v>
      </c>
      <c r="Z59" s="19">
        <v>68.533799999999999</v>
      </c>
      <c r="AA59" s="19">
        <v>123.29465999999999</v>
      </c>
      <c r="AB59" s="18">
        <f t="shared" si="63"/>
        <v>2416.6185300000002</v>
      </c>
      <c r="AC59" s="19">
        <v>121.52589521499999</v>
      </c>
      <c r="AD59" s="19">
        <v>111.217332869</v>
      </c>
      <c r="AE59" s="19">
        <f t="shared" si="32"/>
        <v>624.0471580960002</v>
      </c>
      <c r="AF59" s="19"/>
      <c r="AG59" s="19">
        <v>556.21174222999991</v>
      </c>
      <c r="AH59" s="19">
        <v>319.89401521640002</v>
      </c>
      <c r="AI59" s="19">
        <v>683.72238637360033</v>
      </c>
      <c r="AJ59" s="18"/>
      <c r="AK59" s="18">
        <f t="shared" si="62"/>
        <v>2416.6185300000006</v>
      </c>
      <c r="AL59" s="3">
        <f t="shared" si="56"/>
        <v>23.120246732026143</v>
      </c>
      <c r="AM59" s="3">
        <f t="shared" si="57"/>
        <v>0.98718156180344152</v>
      </c>
      <c r="AN59" s="42">
        <f t="shared" si="36"/>
        <v>30.389546523938545</v>
      </c>
      <c r="AP59" s="3">
        <f t="shared" si="30"/>
        <v>39.304419444444441</v>
      </c>
      <c r="AQ59" s="44"/>
      <c r="AR59" s="42">
        <f t="shared" si="37"/>
        <v>17.088878019323673</v>
      </c>
      <c r="AS59" s="44"/>
      <c r="AT59" s="3">
        <f t="shared" si="64"/>
        <v>2.30342364420803</v>
      </c>
      <c r="AU59" s="42"/>
      <c r="AV59" s="3"/>
      <c r="AW59" s="3">
        <f t="shared" si="38"/>
        <v>26.423139122315593</v>
      </c>
      <c r="AX59" s="3"/>
      <c r="AY59" s="42">
        <f t="shared" si="39"/>
        <v>20.551330428467683</v>
      </c>
      <c r="AZ59" s="3"/>
      <c r="BA59" s="3">
        <f t="shared" si="40"/>
        <v>25.324622103282117</v>
      </c>
      <c r="BB59" s="42"/>
      <c r="BC59" s="48"/>
      <c r="BD59" s="3">
        <f t="shared" si="41"/>
        <v>26.677207767722471</v>
      </c>
      <c r="BE59" s="3"/>
      <c r="BF59" s="3">
        <f t="shared" si="66"/>
        <v>19.266872276688453</v>
      </c>
    </row>
    <row r="60" spans="1:58" x14ac:dyDescent="0.25">
      <c r="A60" s="4">
        <v>2045</v>
      </c>
      <c r="B60" s="4" t="s">
        <v>47</v>
      </c>
      <c r="C60" s="4" t="s">
        <v>48</v>
      </c>
      <c r="D60" s="4" t="s">
        <v>60</v>
      </c>
      <c r="E60" t="s">
        <v>235</v>
      </c>
      <c r="F60" t="s">
        <v>61</v>
      </c>
      <c r="G60" s="4">
        <v>1</v>
      </c>
      <c r="H60" s="4" t="s">
        <v>32</v>
      </c>
      <c r="I60" s="4" t="s">
        <v>48</v>
      </c>
      <c r="J60" s="9">
        <v>1</v>
      </c>
      <c r="K60" s="18">
        <v>139.6756</v>
      </c>
      <c r="L60" s="6" t="s">
        <v>281</v>
      </c>
      <c r="M60" s="100">
        <f t="shared" si="65"/>
        <v>0.31618549386353478</v>
      </c>
      <c r="N60" s="19">
        <v>7.1141393850000005</v>
      </c>
      <c r="O60" s="19">
        <v>5.2343642909999994</v>
      </c>
      <c r="P60" s="19">
        <f t="shared" si="61"/>
        <v>29.599581584000006</v>
      </c>
      <c r="Q60" s="19"/>
      <c r="R60" s="19">
        <v>28.977272457999984</v>
      </c>
      <c r="S60" s="19">
        <v>20.374094263100005</v>
      </c>
      <c r="T60" s="19">
        <v>48.376148018900011</v>
      </c>
      <c r="U60" s="18"/>
      <c r="V60" s="19">
        <v>2.793E-2</v>
      </c>
      <c r="W60" s="19">
        <v>1753.3897999999999</v>
      </c>
      <c r="X60" s="19">
        <v>85.315889999999996</v>
      </c>
      <c r="Y60" s="19">
        <v>357.21325999999999</v>
      </c>
      <c r="Z60" s="19">
        <v>67.744820000000004</v>
      </c>
      <c r="AA60" s="19">
        <v>120.47481999999999</v>
      </c>
      <c r="AB60" s="18">
        <f t="shared" si="63"/>
        <v>2384.1665199999998</v>
      </c>
      <c r="AC60" s="19">
        <v>119.73586696000001</v>
      </c>
      <c r="AD60" s="19">
        <v>108.69627533599999</v>
      </c>
      <c r="AE60" s="19">
        <f t="shared" si="32"/>
        <v>610.64547094399995</v>
      </c>
      <c r="AF60" s="19"/>
      <c r="AG60" s="19">
        <v>547.91365230399958</v>
      </c>
      <c r="AH60" s="19">
        <v>314.3747812454003</v>
      </c>
      <c r="AI60" s="19">
        <v>682.80047321059988</v>
      </c>
      <c r="AJ60" s="18"/>
      <c r="AK60" s="18">
        <f t="shared" si="62"/>
        <v>2384.1665199999998</v>
      </c>
      <c r="AL60" s="3">
        <f t="shared" si="56"/>
        <v>22.82281045751634</v>
      </c>
      <c r="AM60" s="3">
        <f t="shared" si="57"/>
        <v>0.97392501116552943</v>
      </c>
      <c r="AN60" s="42">
        <f t="shared" si="36"/>
        <v>30.803192911226269</v>
      </c>
      <c r="AP60" s="3">
        <f t="shared" si="30"/>
        <v>38.798777777777779</v>
      </c>
      <c r="AQ60" s="44"/>
      <c r="AR60" s="42">
        <f t="shared" si="37"/>
        <v>16.869033816425123</v>
      </c>
      <c r="AS60" s="44"/>
      <c r="AT60" s="3">
        <f t="shared" si="64"/>
        <v>2.2724916927195684</v>
      </c>
      <c r="AU60" s="42"/>
      <c r="AV60" s="3"/>
      <c r="AW60" s="3">
        <f t="shared" si="38"/>
        <v>26.08321195144725</v>
      </c>
      <c r="AX60" s="3"/>
      <c r="AY60" s="42">
        <f t="shared" si="39"/>
        <v>20.286942628903414</v>
      </c>
      <c r="AZ60" s="3"/>
      <c r="BA60" s="3">
        <f t="shared" si="40"/>
        <v>25.669327426021894</v>
      </c>
      <c r="BB60" s="42"/>
      <c r="BC60" s="48"/>
      <c r="BD60" s="3">
        <f t="shared" si="41"/>
        <v>26.334012066365005</v>
      </c>
      <c r="BE60" s="3"/>
      <c r="BF60" s="3">
        <f t="shared" si="66"/>
        <v>19.01900871459695</v>
      </c>
    </row>
    <row r="61" spans="1:58" x14ac:dyDescent="0.25">
      <c r="A61" s="4">
        <v>2050</v>
      </c>
      <c r="B61" s="4" t="s">
        <v>47</v>
      </c>
      <c r="C61" s="4" t="s">
        <v>48</v>
      </c>
      <c r="D61" s="4" t="s">
        <v>60</v>
      </c>
      <c r="E61" t="s">
        <v>236</v>
      </c>
      <c r="F61" t="s">
        <v>61</v>
      </c>
      <c r="G61" s="4">
        <v>1</v>
      </c>
      <c r="H61" s="4" t="s">
        <v>32</v>
      </c>
      <c r="I61" s="4" t="s">
        <v>48</v>
      </c>
      <c r="J61" s="9">
        <v>1</v>
      </c>
      <c r="K61" s="21">
        <v>138.43948</v>
      </c>
      <c r="L61" s="6" t="s">
        <v>282</v>
      </c>
      <c r="M61" s="100">
        <f t="shared" si="65"/>
        <v>0.32223720788749755</v>
      </c>
      <c r="N61" s="19">
        <v>7.0462973</v>
      </c>
      <c r="O61" s="19">
        <v>5.1378364599999991</v>
      </c>
      <c r="P61" s="19">
        <f>K61-SUM(N61:O61,R61:U61)</f>
        <v>29.08644996000001</v>
      </c>
      <c r="Q61" s="19"/>
      <c r="R61" s="19">
        <v>28.662771479999993</v>
      </c>
      <c r="S61" s="19">
        <v>20.164919598599994</v>
      </c>
      <c r="T61" s="19">
        <v>48.341205201400015</v>
      </c>
      <c r="U61" s="18"/>
      <c r="V61" s="19">
        <v>2.793E-2</v>
      </c>
      <c r="W61" s="19">
        <v>1741.8547799999999</v>
      </c>
      <c r="X61" s="19">
        <v>83.081829999999997</v>
      </c>
      <c r="Y61" s="19">
        <v>338.90615000000003</v>
      </c>
      <c r="Z61" s="19">
        <v>67.12603</v>
      </c>
      <c r="AA61" s="19">
        <v>118.62451</v>
      </c>
      <c r="AB61" s="21">
        <f>SUM(V61:AA61)</f>
        <v>2349.6212299999997</v>
      </c>
      <c r="AC61" s="19">
        <v>117.84186794499999</v>
      </c>
      <c r="AD61" s="19">
        <v>105.995785547</v>
      </c>
      <c r="AE61" s="19">
        <f t="shared" si="32"/>
        <v>596.289944268</v>
      </c>
      <c r="AF61" s="19"/>
      <c r="AG61" s="19">
        <v>539.13361662</v>
      </c>
      <c r="AH61" s="19">
        <v>308.5350141045999</v>
      </c>
      <c r="AI61" s="19">
        <v>681.82500151539989</v>
      </c>
      <c r="AJ61" s="18"/>
      <c r="AK61" s="21">
        <f t="shared" si="62"/>
        <v>2349.6212299999997</v>
      </c>
      <c r="AL61" s="41">
        <f>K61*1000/(30*$G$103*$G$96*$G$116)</f>
        <v>22.620830065359478</v>
      </c>
      <c r="AM61" s="41">
        <f>AK61*$G$98/($G$103*$G$96*$G$116)*0.277778</f>
        <v>0.95981336180432353</v>
      </c>
      <c r="AN61" s="43">
        <f t="shared" si="36"/>
        <v>31.256076643488193</v>
      </c>
      <c r="AP61" s="41">
        <f t="shared" si="30"/>
        <v>38.455411111111111</v>
      </c>
      <c r="AQ61" s="53"/>
      <c r="AR61" s="43">
        <f t="shared" si="37"/>
        <v>16.719743961352659</v>
      </c>
      <c r="AS61" s="53"/>
      <c r="AT61" s="41">
        <f t="shared" si="64"/>
        <v>2.2395645108767548</v>
      </c>
      <c r="AU61" s="43"/>
      <c r="AV61" s="41"/>
      <c r="AW61" s="41">
        <f t="shared" si="38"/>
        <v>25.852377217553691</v>
      </c>
      <c r="AX61" s="41"/>
      <c r="AY61" s="43">
        <f t="shared" si="39"/>
        <v>20.107404502541758</v>
      </c>
      <c r="AZ61" s="41"/>
      <c r="BA61" s="41">
        <f t="shared" si="40"/>
        <v>26.046730536240158</v>
      </c>
      <c r="BB61" s="43"/>
      <c r="BC61" s="54"/>
      <c r="BD61" s="41">
        <f t="shared" si="41"/>
        <v>26.100957767722473</v>
      </c>
      <c r="BE61" s="41"/>
      <c r="BF61" s="41">
        <f t="shared" si="66"/>
        <v>18.850691721132897</v>
      </c>
    </row>
    <row r="62" spans="1:58" x14ac:dyDescent="0.25">
      <c r="D62" s="4"/>
      <c r="J62"/>
      <c r="K62" s="18" t="s">
        <v>16</v>
      </c>
      <c r="L62" s="18"/>
      <c r="M62" s="18"/>
      <c r="N62" s="6" t="s">
        <v>16</v>
      </c>
      <c r="O62" s="6" t="s">
        <v>16</v>
      </c>
      <c r="P62" s="6" t="s">
        <v>16</v>
      </c>
      <c r="Q62" s="6" t="s">
        <v>16</v>
      </c>
      <c r="R62" s="6" t="s">
        <v>16</v>
      </c>
      <c r="S62" s="6" t="s">
        <v>16</v>
      </c>
      <c r="T62" s="6" t="s">
        <v>16</v>
      </c>
      <c r="U62" s="6" t="s">
        <v>16</v>
      </c>
      <c r="V62" s="6" t="s">
        <v>17</v>
      </c>
      <c r="W62" s="6" t="s">
        <v>17</v>
      </c>
      <c r="X62" s="6" t="s">
        <v>17</v>
      </c>
      <c r="Y62" s="6" t="s">
        <v>17</v>
      </c>
      <c r="Z62" s="6" t="s">
        <v>17</v>
      </c>
      <c r="AA62" s="6" t="s">
        <v>17</v>
      </c>
      <c r="AB62" s="6" t="s">
        <v>17</v>
      </c>
      <c r="AC62" s="6" t="s">
        <v>17</v>
      </c>
      <c r="AD62" s="6" t="s">
        <v>17</v>
      </c>
      <c r="AE62" s="6" t="s">
        <v>17</v>
      </c>
      <c r="AF62" s="6" t="s">
        <v>17</v>
      </c>
      <c r="AG62" s="6" t="s">
        <v>17</v>
      </c>
      <c r="AH62" s="6" t="s">
        <v>17</v>
      </c>
      <c r="AI62" s="6" t="s">
        <v>17</v>
      </c>
      <c r="AJ62" s="6" t="s">
        <v>17</v>
      </c>
      <c r="AK62" s="6" t="s">
        <v>17</v>
      </c>
      <c r="AL62" s="3"/>
      <c r="AM62" s="3"/>
      <c r="AP62" s="44"/>
      <c r="AQ62" s="44"/>
      <c r="AR62" s="50"/>
      <c r="AS62" s="44"/>
      <c r="AT62" s="3"/>
      <c r="AU62" s="42"/>
      <c r="AV62" s="3"/>
      <c r="AW62" s="3"/>
      <c r="AX62" s="3"/>
      <c r="AY62" s="42"/>
      <c r="AZ62" s="3"/>
      <c r="BA62" s="3"/>
      <c r="BB62" s="42"/>
      <c r="BC62" s="48" t="s">
        <v>138</v>
      </c>
      <c r="BD62" s="3" t="s">
        <v>141</v>
      </c>
      <c r="BE62" s="3" t="s">
        <v>142</v>
      </c>
      <c r="BF62" s="3" t="s">
        <v>143</v>
      </c>
    </row>
    <row r="63" spans="1:58" x14ac:dyDescent="0.25">
      <c r="A63" s="4" t="s">
        <v>0</v>
      </c>
      <c r="B63" s="4" t="s">
        <v>1</v>
      </c>
      <c r="C63" s="4" t="s">
        <v>2</v>
      </c>
      <c r="D63" s="4" t="s">
        <v>25</v>
      </c>
      <c r="E63" s="4" t="s">
        <v>3</v>
      </c>
      <c r="F63" s="4" t="s">
        <v>4</v>
      </c>
      <c r="G63" s="4" t="s">
        <v>5</v>
      </c>
      <c r="H63" s="4" t="s">
        <v>6</v>
      </c>
      <c r="I63" s="4" t="s">
        <v>7</v>
      </c>
      <c r="J63" s="4" t="s">
        <v>55</v>
      </c>
      <c r="K63" s="6" t="s">
        <v>8</v>
      </c>
      <c r="L63" s="6"/>
      <c r="M63" s="6"/>
      <c r="N63" s="7" t="s">
        <v>33</v>
      </c>
      <c r="O63" s="7" t="s">
        <v>34</v>
      </c>
      <c r="P63" s="7" t="s">
        <v>35</v>
      </c>
      <c r="Q63" s="7" t="s">
        <v>36</v>
      </c>
      <c r="R63" s="7" t="s">
        <v>37</v>
      </c>
      <c r="S63" s="7" t="s">
        <v>38</v>
      </c>
      <c r="T63" s="7" t="s">
        <v>39</v>
      </c>
      <c r="U63" s="7" t="s">
        <v>40</v>
      </c>
      <c r="V63" s="7" t="s">
        <v>41</v>
      </c>
      <c r="W63" s="7" t="s">
        <v>42</v>
      </c>
      <c r="X63" s="7" t="s">
        <v>43</v>
      </c>
      <c r="Y63" s="7" t="s">
        <v>44</v>
      </c>
      <c r="Z63" s="7" t="s">
        <v>45</v>
      </c>
      <c r="AA63" s="7" t="s">
        <v>46</v>
      </c>
      <c r="AB63" s="6" t="s">
        <v>15</v>
      </c>
      <c r="AC63" s="7" t="s">
        <v>33</v>
      </c>
      <c r="AD63" s="7" t="s">
        <v>34</v>
      </c>
      <c r="AE63" s="7" t="s">
        <v>35</v>
      </c>
      <c r="AF63" s="7" t="s">
        <v>36</v>
      </c>
      <c r="AG63" s="7" t="s">
        <v>37</v>
      </c>
      <c r="AH63" s="7" t="s">
        <v>38</v>
      </c>
      <c r="AI63" s="7" t="s">
        <v>39</v>
      </c>
      <c r="AJ63" s="7" t="s">
        <v>40</v>
      </c>
      <c r="AK63" s="6" t="s">
        <v>15</v>
      </c>
      <c r="AL63" s="3"/>
      <c r="AM63" s="3"/>
      <c r="AP63" s="44"/>
      <c r="AQ63" s="44"/>
      <c r="AR63" s="50"/>
      <c r="AS63" s="44"/>
      <c r="AT63" s="3"/>
      <c r="AU63" s="42"/>
      <c r="AV63" s="3"/>
      <c r="AW63" s="3"/>
      <c r="AX63" s="3"/>
      <c r="AY63" s="42"/>
      <c r="AZ63" s="3"/>
      <c r="BA63" s="3"/>
      <c r="BB63" s="42"/>
      <c r="BC63" s="48" t="s">
        <v>148</v>
      </c>
      <c r="BD63" s="47">
        <v>0.15</v>
      </c>
      <c r="BE63" s="47">
        <v>0.18</v>
      </c>
      <c r="BF63" s="47">
        <v>0.21</v>
      </c>
    </row>
    <row r="64" spans="1:58" x14ac:dyDescent="0.25">
      <c r="A64" s="4">
        <v>2010</v>
      </c>
      <c r="B64" s="4" t="s">
        <v>18</v>
      </c>
      <c r="C64" s="4" t="s">
        <v>19</v>
      </c>
      <c r="D64" s="4" t="s">
        <v>63</v>
      </c>
      <c r="E64" t="s">
        <v>237</v>
      </c>
      <c r="F64" t="s">
        <v>64</v>
      </c>
      <c r="G64" s="4">
        <v>1</v>
      </c>
      <c r="H64" s="4" t="s">
        <v>32</v>
      </c>
      <c r="I64" s="4" t="s">
        <v>49</v>
      </c>
      <c r="J64" s="12">
        <v>0.14592989871628637</v>
      </c>
      <c r="K64" s="6">
        <f>SUM(N64:U64)</f>
        <v>328.44374446630002</v>
      </c>
      <c r="L64" s="6"/>
      <c r="M64" s="6"/>
      <c r="N64" s="7">
        <v>22.497659954</v>
      </c>
      <c r="O64" s="7">
        <v>23.497343791999999</v>
      </c>
      <c r="P64" s="7">
        <v>127.99560225800001</v>
      </c>
      <c r="Q64" s="7">
        <v>22.432368754000006</v>
      </c>
      <c r="R64" s="7">
        <v>39.086953807999976</v>
      </c>
      <c r="S64" s="7">
        <v>38.566200667899977</v>
      </c>
      <c r="T64" s="7">
        <v>51.403270766100036</v>
      </c>
      <c r="U64" s="6">
        <v>2.9643444662999996</v>
      </c>
      <c r="V64" s="6">
        <v>5.2200000000000003E-2</v>
      </c>
      <c r="W64" s="6">
        <v>3449.0476034800004</v>
      </c>
      <c r="X64" s="6">
        <v>209.87401738557998</v>
      </c>
      <c r="Y64" s="6">
        <v>165.29361844106</v>
      </c>
      <c r="Z64" s="6">
        <v>116.62980641997001</v>
      </c>
      <c r="AA64" s="6">
        <v>23.111712445203</v>
      </c>
      <c r="AB64" s="6">
        <f>SUM(V64:AA64)</f>
        <v>3964.0089581718134</v>
      </c>
      <c r="AC64" s="7">
        <v>253.45665522100003</v>
      </c>
      <c r="AD64" s="7">
        <v>252.74369932299996</v>
      </c>
      <c r="AE64" s="7">
        <v>1400.5750952420003</v>
      </c>
      <c r="AF64" s="7">
        <v>237.10110098299981</v>
      </c>
      <c r="AG64" s="7">
        <v>686.43044840999983</v>
      </c>
      <c r="AH64" s="7">
        <v>396.57012548560033</v>
      </c>
      <c r="AI64" s="7">
        <v>696.51460533540012</v>
      </c>
      <c r="AJ64" s="6">
        <v>40.617228171812997</v>
      </c>
      <c r="AK64" s="6">
        <f>SUM(AC64:AJ64)</f>
        <v>3964.0089581718134</v>
      </c>
      <c r="AL64" s="3">
        <f>K64*1000/(30*$G$103*$G$96*$G$106)</f>
        <v>61.923782893344644</v>
      </c>
      <c r="AM64" s="3">
        <f>AK64*$G$98/($G$103*$G$96*$G$106)*0.277778</f>
        <v>1.868406923726895</v>
      </c>
      <c r="AN64" s="42">
        <f>30/AM64</f>
        <v>16.056459446296238</v>
      </c>
      <c r="AP64" s="3">
        <f t="shared" ref="AP64:AP91" si="67">AL64*$AQ$3/$AP$3</f>
        <v>105.27043091868589</v>
      </c>
      <c r="AQ64" s="44"/>
      <c r="AR64" s="42">
        <f>AL64*$AQ$3/$AR$3</f>
        <v>45.769752573341691</v>
      </c>
      <c r="AS64" s="44"/>
      <c r="AT64" s="3"/>
      <c r="AU64" s="42"/>
      <c r="AV64" s="3"/>
      <c r="AW64" s="3">
        <f>AL64*$AX$3/$AW$3</f>
        <v>70.770037592393891</v>
      </c>
      <c r="AX64" s="3"/>
      <c r="AY64" s="42">
        <f>AL64*$AX$3/$AY$3</f>
        <v>55.043362571861906</v>
      </c>
      <c r="AZ64" s="3"/>
      <c r="BA64" s="3">
        <f>AN64/30*25</f>
        <v>13.380382871913532</v>
      </c>
      <c r="BB64" s="42"/>
      <c r="BC64" s="48" t="s">
        <v>121</v>
      </c>
      <c r="BD64" s="3">
        <f>AL64*BE$63/BD$63</f>
        <v>74.308539472013564</v>
      </c>
      <c r="BE64" s="3"/>
      <c r="BF64" s="3"/>
    </row>
    <row r="65" spans="1:58" x14ac:dyDescent="0.25">
      <c r="A65" s="4">
        <v>2010</v>
      </c>
      <c r="B65" s="4" t="s">
        <v>18</v>
      </c>
      <c r="C65" s="4" t="s">
        <v>20</v>
      </c>
      <c r="D65" s="4" t="s">
        <v>63</v>
      </c>
      <c r="E65" t="s">
        <v>238</v>
      </c>
      <c r="F65" t="s">
        <v>64</v>
      </c>
      <c r="G65" s="4">
        <v>1</v>
      </c>
      <c r="H65" s="4" t="s">
        <v>32</v>
      </c>
      <c r="I65" s="4" t="s">
        <v>50</v>
      </c>
      <c r="J65" s="12">
        <v>6.1044273387890396E-2</v>
      </c>
      <c r="K65" s="6">
        <f t="shared" ref="K65:K69" si="68">SUM(N65:U65)</f>
        <v>249.6146524255</v>
      </c>
      <c r="L65" s="6"/>
      <c r="M65" s="6"/>
      <c r="N65" s="7">
        <v>16.956161607000002</v>
      </c>
      <c r="O65" s="7">
        <v>16.114533040999998</v>
      </c>
      <c r="P65" s="7">
        <v>89.015776309000017</v>
      </c>
      <c r="Q65" s="7">
        <v>14.557118284999977</v>
      </c>
      <c r="R65" s="7">
        <v>33.053318611000009</v>
      </c>
      <c r="S65" s="7">
        <v>28.148111742200001</v>
      </c>
      <c r="T65" s="7">
        <v>49.748380404800002</v>
      </c>
      <c r="U65" s="6">
        <v>2.0212524254999997</v>
      </c>
      <c r="V65" s="6">
        <v>4.845E-2</v>
      </c>
      <c r="W65" s="6">
        <v>3066.6130298000003</v>
      </c>
      <c r="X65" s="6">
        <v>87.458444588299997</v>
      </c>
      <c r="Y65" s="6">
        <v>763.0114437881</v>
      </c>
      <c r="Z65" s="6">
        <v>89.847646198450008</v>
      </c>
      <c r="AA65" s="6">
        <v>76.443006552154998</v>
      </c>
      <c r="AB65" s="6">
        <f t="shared" ref="AB65:AB69" si="69">SUM(V65:AA65)</f>
        <v>4083.4220209270056</v>
      </c>
      <c r="AC65" s="7">
        <v>261.35696895000001</v>
      </c>
      <c r="AD65" s="7">
        <v>274.75101675000002</v>
      </c>
      <c r="AE65" s="7">
        <v>1521.4312494330004</v>
      </c>
      <c r="AF65" s="7">
        <v>247.85985932400007</v>
      </c>
      <c r="AG65" s="7">
        <v>634.15643705999946</v>
      </c>
      <c r="AH65" s="7">
        <v>410.80165645039961</v>
      </c>
      <c r="AI65" s="7">
        <v>705.3697820326006</v>
      </c>
      <c r="AJ65" s="6">
        <v>27.695050927005006</v>
      </c>
      <c r="AK65" s="6">
        <f t="shared" ref="AK65:AK69" si="70">SUM(AC65:AJ65)</f>
        <v>4083.4220209270047</v>
      </c>
      <c r="AL65" s="3">
        <f t="shared" ref="AL65:AL70" si="71">K65*1000/(30*$G$103*$G$96*$G$106)</f>
        <v>47.061586053073157</v>
      </c>
      <c r="AM65" s="3">
        <f t="shared" ref="AM65:AM70" si="72">AK65*$G$98/($G$103*$G$96*$G$106)*0.277778</f>
        <v>1.9246914063275931</v>
      </c>
      <c r="AN65" s="42">
        <f t="shared" ref="AN65:AN91" si="73">30/AM65</f>
        <v>15.586914297727079</v>
      </c>
      <c r="AP65" s="3">
        <f t="shared" si="67"/>
        <v>80.004696290224373</v>
      </c>
      <c r="AQ65" s="44"/>
      <c r="AR65" s="42">
        <f t="shared" ref="AR65:AR91" si="74">AL65*$AQ$3/$AR$3</f>
        <v>34.784650560967115</v>
      </c>
      <c r="AS65" s="44"/>
      <c r="AT65" s="3"/>
      <c r="AU65" s="42"/>
      <c r="AV65" s="3"/>
      <c r="AW65" s="3">
        <f t="shared" ref="AW65:AW91" si="75">AL65*$AX$3/$AW$3</f>
        <v>53.784669774940753</v>
      </c>
      <c r="AX65" s="3"/>
      <c r="AY65" s="42">
        <f t="shared" ref="AY65:AY91" si="76">AL65*$AX$3/$AY$3</f>
        <v>41.832520936065031</v>
      </c>
      <c r="AZ65" s="3"/>
      <c r="BA65" s="3">
        <f t="shared" ref="BA65:BA91" si="77">AN65/30*25</f>
        <v>12.989095248105901</v>
      </c>
      <c r="BB65" s="42"/>
      <c r="BC65" s="48"/>
      <c r="BD65" s="3">
        <f t="shared" ref="BD65:BD91" si="78">AL65*BE$63/BD$63</f>
        <v>56.473903263687788</v>
      </c>
      <c r="BE65" s="3"/>
      <c r="BF65" s="3"/>
    </row>
    <row r="66" spans="1:58" x14ac:dyDescent="0.25">
      <c r="A66" s="4">
        <v>2010</v>
      </c>
      <c r="B66" s="4" t="s">
        <v>18</v>
      </c>
      <c r="C66" s="4" t="s">
        <v>21</v>
      </c>
      <c r="D66" s="4" t="s">
        <v>62</v>
      </c>
      <c r="E66" t="s">
        <v>239</v>
      </c>
      <c r="F66" t="s">
        <v>64</v>
      </c>
      <c r="G66" s="4">
        <v>1</v>
      </c>
      <c r="H66" s="4" t="s">
        <v>32</v>
      </c>
      <c r="I66" s="4" t="s">
        <v>51</v>
      </c>
      <c r="J66" s="12">
        <v>5.6839615257396746E-2</v>
      </c>
      <c r="K66" s="6">
        <f t="shared" si="68"/>
        <v>232.29817263045001</v>
      </c>
      <c r="L66" s="6"/>
      <c r="M66" s="6"/>
      <c r="N66" s="7">
        <v>15.547521836</v>
      </c>
      <c r="O66" s="7">
        <v>13.792115978</v>
      </c>
      <c r="P66" s="7">
        <v>76.396836098000009</v>
      </c>
      <c r="Q66" s="7">
        <v>12.891590409999996</v>
      </c>
      <c r="R66" s="7">
        <v>35.616287785999987</v>
      </c>
      <c r="S66" s="7">
        <v>26.146772808000009</v>
      </c>
      <c r="T66" s="7">
        <v>49.336215084000003</v>
      </c>
      <c r="U66" s="6">
        <v>2.57083263045</v>
      </c>
      <c r="V66" s="6">
        <v>5.4600000000000003E-2</v>
      </c>
      <c r="W66" s="6">
        <v>2984.9761028200001</v>
      </c>
      <c r="X66" s="6">
        <v>122.50621118296999</v>
      </c>
      <c r="Y66" s="6">
        <v>884.57225893378995</v>
      </c>
      <c r="Z66" s="6">
        <v>107.05323247885499</v>
      </c>
      <c r="AA66" s="6">
        <v>21.2014927469145</v>
      </c>
      <c r="AB66" s="6">
        <f t="shared" si="69"/>
        <v>4120.363898162529</v>
      </c>
      <c r="AC66" s="7">
        <v>263.96845798399994</v>
      </c>
      <c r="AD66" s="7">
        <v>270.11763281199995</v>
      </c>
      <c r="AE66" s="7">
        <v>1492.944959054</v>
      </c>
      <c r="AF66" s="7">
        <v>251.531123949</v>
      </c>
      <c r="AG66" s="7">
        <v>691.67992525600039</v>
      </c>
      <c r="AH66" s="7">
        <v>415.25551456579979</v>
      </c>
      <c r="AI66" s="7">
        <v>699.64092637919975</v>
      </c>
      <c r="AJ66" s="6">
        <v>35.225358162529503</v>
      </c>
      <c r="AK66" s="6">
        <f t="shared" si="70"/>
        <v>4120.363898162529</v>
      </c>
      <c r="AL66" s="3">
        <f t="shared" si="71"/>
        <v>43.796789711623305</v>
      </c>
      <c r="AM66" s="3">
        <f t="shared" si="72"/>
        <v>1.9421036927100523</v>
      </c>
      <c r="AN66" s="42">
        <f t="shared" si="73"/>
        <v>15.447166962613293</v>
      </c>
      <c r="AP66" s="3">
        <f t="shared" si="67"/>
        <v>74.454542509759619</v>
      </c>
      <c r="AQ66" s="44"/>
      <c r="AR66" s="42">
        <f t="shared" si="74"/>
        <v>32.371540221634618</v>
      </c>
      <c r="AS66" s="44"/>
      <c r="AT66" s="3"/>
      <c r="AU66" s="42"/>
      <c r="AV66" s="3"/>
      <c r="AW66" s="3">
        <f t="shared" si="75"/>
        <v>50.05347395614092</v>
      </c>
      <c r="AX66" s="3"/>
      <c r="AY66" s="42">
        <f t="shared" si="76"/>
        <v>38.93047974366516</v>
      </c>
      <c r="AZ66" s="3"/>
      <c r="BA66" s="3">
        <f t="shared" si="77"/>
        <v>12.872639135511077</v>
      </c>
      <c r="BB66" s="42"/>
      <c r="BC66" s="48"/>
      <c r="BD66" s="3">
        <f t="shared" si="78"/>
        <v>52.556147653947967</v>
      </c>
      <c r="BE66" s="3"/>
      <c r="BF66" s="3"/>
    </row>
    <row r="67" spans="1:58" x14ac:dyDescent="0.25">
      <c r="A67" s="4">
        <v>2010</v>
      </c>
      <c r="B67" s="4" t="s">
        <v>18</v>
      </c>
      <c r="C67" s="4" t="s">
        <v>22</v>
      </c>
      <c r="D67" s="4" t="s">
        <v>63</v>
      </c>
      <c r="E67" t="s">
        <v>240</v>
      </c>
      <c r="F67" t="s">
        <v>64</v>
      </c>
      <c r="G67" s="4">
        <v>1</v>
      </c>
      <c r="H67" s="4" t="s">
        <v>32</v>
      </c>
      <c r="I67" s="4" t="s">
        <v>52</v>
      </c>
      <c r="J67" s="12">
        <v>1.9122845523667789E-2</v>
      </c>
      <c r="K67" s="6">
        <f t="shared" si="68"/>
        <v>241.95863700000001</v>
      </c>
      <c r="L67" s="6"/>
      <c r="M67" s="6"/>
      <c r="N67" s="7">
        <v>16.548425124000001</v>
      </c>
      <c r="O67" s="7">
        <v>14.834044112000001</v>
      </c>
      <c r="P67" s="7">
        <v>81.936380021000019</v>
      </c>
      <c r="Q67" s="7">
        <v>14.265579615999979</v>
      </c>
      <c r="R67" s="7">
        <v>36.116070578499986</v>
      </c>
      <c r="S67" s="7">
        <v>27.928758064300013</v>
      </c>
      <c r="T67" s="7">
        <v>49.633892484200004</v>
      </c>
      <c r="U67" s="6">
        <v>0.69548699999999997</v>
      </c>
      <c r="V67" s="6">
        <v>4.9050000000000003E-2</v>
      </c>
      <c r="W67" s="6">
        <v>3324.0105400000002</v>
      </c>
      <c r="X67" s="6">
        <v>176.9029913</v>
      </c>
      <c r="Y67" s="6">
        <v>181.68154150000001</v>
      </c>
      <c r="Z67" s="6">
        <v>78.019093080000005</v>
      </c>
      <c r="AA67" s="6">
        <v>58.401608494100003</v>
      </c>
      <c r="AB67" s="6">
        <f t="shared" si="69"/>
        <v>3819.0648243741002</v>
      </c>
      <c r="AC67" s="7">
        <v>246.64677776200003</v>
      </c>
      <c r="AD67" s="7">
        <v>239.79191641599991</v>
      </c>
      <c r="AE67" s="7">
        <v>1331.7161104410004</v>
      </c>
      <c r="AF67" s="7">
        <v>227.75294795499974</v>
      </c>
      <c r="AG67" s="7">
        <v>683.0294846610002</v>
      </c>
      <c r="AH67" s="7">
        <v>384.41562257770011</v>
      </c>
      <c r="AI67" s="7">
        <v>694.48924018729986</v>
      </c>
      <c r="AJ67" s="6">
        <v>11.2227243741</v>
      </c>
      <c r="AK67" s="6">
        <f t="shared" si="70"/>
        <v>3819.0648243740998</v>
      </c>
      <c r="AL67" s="3">
        <f t="shared" si="71"/>
        <v>45.618144230769232</v>
      </c>
      <c r="AM67" s="3">
        <f t="shared" si="72"/>
        <v>1.800088555630637</v>
      </c>
      <c r="AN67" s="42">
        <f t="shared" si="73"/>
        <v>16.665846747461767</v>
      </c>
      <c r="AP67" s="3">
        <f t="shared" si="67"/>
        <v>77.55084519230769</v>
      </c>
      <c r="AQ67" s="44"/>
      <c r="AR67" s="42">
        <f t="shared" si="74"/>
        <v>33.717758779264216</v>
      </c>
      <c r="AS67" s="44"/>
      <c r="AT67" s="3"/>
      <c r="AU67" s="42"/>
      <c r="AV67" s="3"/>
      <c r="AW67" s="3">
        <f t="shared" si="75"/>
        <v>52.135021978021989</v>
      </c>
      <c r="AX67" s="3"/>
      <c r="AY67" s="42">
        <f t="shared" si="76"/>
        <v>40.549461538461543</v>
      </c>
      <c r="AZ67" s="3"/>
      <c r="BA67" s="3">
        <f t="shared" si="77"/>
        <v>13.888205622884806</v>
      </c>
      <c r="BB67" s="42"/>
      <c r="BC67" s="48"/>
      <c r="BD67" s="3">
        <f t="shared" si="78"/>
        <v>54.741773076923081</v>
      </c>
      <c r="BE67" s="3"/>
      <c r="BF67" s="3"/>
    </row>
    <row r="68" spans="1:58" x14ac:dyDescent="0.25">
      <c r="A68" s="4">
        <v>2010</v>
      </c>
      <c r="B68" s="4" t="s">
        <v>18</v>
      </c>
      <c r="C68" s="4" t="s">
        <v>23</v>
      </c>
      <c r="D68" s="4" t="s">
        <v>63</v>
      </c>
      <c r="E68" t="s">
        <v>241</v>
      </c>
      <c r="F68" t="s">
        <v>64</v>
      </c>
      <c r="G68" s="4">
        <v>1</v>
      </c>
      <c r="H68" s="4" t="s">
        <v>32</v>
      </c>
      <c r="I68" s="4" t="s">
        <v>53</v>
      </c>
      <c r="J68" s="12">
        <v>0.29638843777954382</v>
      </c>
      <c r="K68" s="6">
        <f t="shared" si="68"/>
        <v>294.08852997679998</v>
      </c>
      <c r="L68" s="6"/>
      <c r="M68" s="6"/>
      <c r="N68" s="7">
        <v>20.041896104999999</v>
      </c>
      <c r="O68" s="7">
        <v>19.862753935000001</v>
      </c>
      <c r="P68" s="7">
        <v>108.67198515500002</v>
      </c>
      <c r="Q68" s="7">
        <v>19.061245454000002</v>
      </c>
      <c r="R68" s="7">
        <v>37.860612380499987</v>
      </c>
      <c r="S68" s="7">
        <v>34.148592760500009</v>
      </c>
      <c r="T68" s="7">
        <v>50.672894209999981</v>
      </c>
      <c r="U68" s="6">
        <v>3.7685499767999997</v>
      </c>
      <c r="V68" s="6">
        <v>5.1659999999999998E-2</v>
      </c>
      <c r="W68" s="6">
        <v>3892.8944292800002</v>
      </c>
      <c r="X68" s="6">
        <v>104.42853093488</v>
      </c>
      <c r="Y68" s="6">
        <v>110.12162385616</v>
      </c>
      <c r="Z68" s="6">
        <v>107.39480877992</v>
      </c>
      <c r="AA68" s="6">
        <v>13.588519621208</v>
      </c>
      <c r="AB68" s="6">
        <f t="shared" si="69"/>
        <v>4228.4795724721689</v>
      </c>
      <c r="AC68" s="7">
        <v>271.95484893500003</v>
      </c>
      <c r="AD68" s="7">
        <v>278.37722036500008</v>
      </c>
      <c r="AE68" s="7">
        <v>1536.8581843330001</v>
      </c>
      <c r="AF68" s="7">
        <v>262.49447823999952</v>
      </c>
      <c r="AG68" s="7">
        <v>695.66779634500062</v>
      </c>
      <c r="AH68" s="7">
        <v>429.47444829489905</v>
      </c>
      <c r="AI68" s="7">
        <v>702.01620348710048</v>
      </c>
      <c r="AJ68" s="6">
        <v>51.636392472167991</v>
      </c>
      <c r="AK68" s="6">
        <f t="shared" si="70"/>
        <v>4228.479572472168</v>
      </c>
      <c r="AL68" s="3">
        <f t="shared" si="71"/>
        <v>55.446555425490189</v>
      </c>
      <c r="AM68" s="3">
        <f t="shared" si="72"/>
        <v>1.9930632330579874</v>
      </c>
      <c r="AN68" s="42">
        <f t="shared" si="73"/>
        <v>15.052206825355231</v>
      </c>
      <c r="AP68" s="3">
        <f t="shared" si="67"/>
        <v>94.259144223333323</v>
      </c>
      <c r="AQ68" s="44"/>
      <c r="AR68" s="42">
        <f t="shared" si="74"/>
        <v>40.982236618840574</v>
      </c>
      <c r="AS68" s="44"/>
      <c r="AT68" s="3"/>
      <c r="AU68" s="42"/>
      <c r="AV68" s="3"/>
      <c r="AW68" s="3">
        <f t="shared" si="75"/>
        <v>63.367491914845942</v>
      </c>
      <c r="AX68" s="3"/>
      <c r="AY68" s="42">
        <f t="shared" si="76"/>
        <v>49.285827044880172</v>
      </c>
      <c r="AZ68" s="3"/>
      <c r="BA68" s="3">
        <f t="shared" si="77"/>
        <v>12.543505687796024</v>
      </c>
      <c r="BB68" s="42"/>
      <c r="BC68" s="48"/>
      <c r="BD68" s="3">
        <f t="shared" si="78"/>
        <v>66.535866510588221</v>
      </c>
      <c r="BE68" s="3"/>
      <c r="BF68" s="3"/>
    </row>
    <row r="69" spans="1:58" x14ac:dyDescent="0.25">
      <c r="A69" s="4">
        <v>2010</v>
      </c>
      <c r="B69" s="4" t="s">
        <v>18</v>
      </c>
      <c r="C69" s="4" t="s">
        <v>24</v>
      </c>
      <c r="D69" s="4" t="s">
        <v>62</v>
      </c>
      <c r="E69" t="s">
        <v>242</v>
      </c>
      <c r="F69" t="s">
        <v>64</v>
      </c>
      <c r="G69" s="4">
        <v>1</v>
      </c>
      <c r="H69" s="4" t="s">
        <v>32</v>
      </c>
      <c r="I69" s="4" t="s">
        <v>54</v>
      </c>
      <c r="J69" s="12">
        <v>0.42067492933521489</v>
      </c>
      <c r="K69" s="6">
        <f t="shared" si="68"/>
        <v>288.983812785</v>
      </c>
      <c r="L69" s="6"/>
      <c r="M69" s="6"/>
      <c r="N69" s="7">
        <v>19.587622054000001</v>
      </c>
      <c r="O69" s="7">
        <v>19.519859791999998</v>
      </c>
      <c r="P69" s="7">
        <v>106.84891774900002</v>
      </c>
      <c r="Q69" s="7">
        <v>18.437631789999987</v>
      </c>
      <c r="R69" s="7">
        <v>37.633781667999983</v>
      </c>
      <c r="S69" s="7">
        <v>33.339799884099989</v>
      </c>
      <c r="T69" s="7">
        <v>50.537787062900009</v>
      </c>
      <c r="U69" s="6">
        <v>3.0784127849999998</v>
      </c>
      <c r="V69" s="6">
        <v>5.237E-2</v>
      </c>
      <c r="W69" s="6">
        <v>3488.5735359999999</v>
      </c>
      <c r="X69" s="6">
        <v>73.997524980999998</v>
      </c>
      <c r="Y69" s="6">
        <v>600.80669176699996</v>
      </c>
      <c r="Z69" s="6">
        <v>76.763385591499997</v>
      </c>
      <c r="AA69" s="6">
        <v>17.73067548085</v>
      </c>
      <c r="AB69" s="6">
        <f t="shared" si="69"/>
        <v>4257.9241838203498</v>
      </c>
      <c r="AC69" s="7">
        <v>272.77947966499994</v>
      </c>
      <c r="AD69" s="7">
        <v>283.88951294499998</v>
      </c>
      <c r="AE69" s="7">
        <v>1566.1643336080003</v>
      </c>
      <c r="AF69" s="7">
        <v>263.62642360599983</v>
      </c>
      <c r="AG69" s="7">
        <v>696.08000061999974</v>
      </c>
      <c r="AH69" s="7">
        <v>430.94280945000082</v>
      </c>
      <c r="AI69" s="7">
        <v>702.2614401059991</v>
      </c>
      <c r="AJ69" s="6">
        <v>42.180183820350003</v>
      </c>
      <c r="AK69" s="6">
        <f t="shared" si="70"/>
        <v>4257.9241838203498</v>
      </c>
      <c r="AL69" s="3">
        <f t="shared" si="71"/>
        <v>54.484127598981907</v>
      </c>
      <c r="AM69" s="3">
        <f t="shared" si="72"/>
        <v>2.0069417374432961</v>
      </c>
      <c r="AN69" s="42">
        <f t="shared" si="73"/>
        <v>14.94811704809025</v>
      </c>
      <c r="AP69" s="3">
        <f t="shared" si="67"/>
        <v>92.623016918269244</v>
      </c>
      <c r="AQ69" s="44"/>
      <c r="AR69" s="42">
        <f t="shared" si="74"/>
        <v>40.27087692098663</v>
      </c>
      <c r="AS69" s="44"/>
      <c r="AT69" s="3"/>
      <c r="AU69" s="42"/>
      <c r="AV69" s="3"/>
      <c r="AW69" s="3">
        <f t="shared" si="75"/>
        <v>62.267574398836473</v>
      </c>
      <c r="AX69" s="3"/>
      <c r="AY69" s="42">
        <f t="shared" si="76"/>
        <v>48.430335643539472</v>
      </c>
      <c r="AZ69" s="3"/>
      <c r="BA69" s="3">
        <f t="shared" si="77"/>
        <v>12.456764206741875</v>
      </c>
      <c r="BB69" s="42"/>
      <c r="BC69" s="48"/>
      <c r="BD69" s="3">
        <f t="shared" si="78"/>
        <v>65.380953118778294</v>
      </c>
      <c r="BE69" s="3"/>
      <c r="BF69" s="3"/>
    </row>
    <row r="70" spans="1:58" x14ac:dyDescent="0.25">
      <c r="A70" s="4">
        <v>2010</v>
      </c>
      <c r="B70" s="4" t="s">
        <v>18</v>
      </c>
      <c r="C70" s="4"/>
      <c r="I70" s="4"/>
      <c r="J70" s="8"/>
      <c r="K70" s="10">
        <f>$J64*K64+$J65*K65+$J66*K66+$J67*K67+$J68*K68+$J69*K69</f>
        <v>289.73066883508693</v>
      </c>
      <c r="L70" s="10"/>
      <c r="M70" s="10"/>
      <c r="N70" s="6">
        <f>$J64*N64+$J65*N65+$J66*N66+$J67*N67+$J68*N68+$J69*N69</f>
        <v>19.698533739970301</v>
      </c>
      <c r="O70" s="6">
        <f t="shared" ref="O70:AK70" si="79">$J64*O64+$J65*O65+$J66*O66+$J67*O67+$J68*O68+$J69*O69</f>
        <v>19.578878907388319</v>
      </c>
      <c r="P70" s="6">
        <f t="shared" si="79"/>
        <v>107.17929300118175</v>
      </c>
      <c r="Q70" s="6">
        <f t="shared" si="79"/>
        <v>18.57351573544015</v>
      </c>
      <c r="R70" s="6">
        <f t="shared" si="79"/>
        <v>37.489765361880075</v>
      </c>
      <c r="S70" s="6">
        <f t="shared" si="79"/>
        <v>33.51295863959156</v>
      </c>
      <c r="T70" s="6">
        <f t="shared" si="79"/>
        <v>50.570360527076218</v>
      </c>
      <c r="U70" s="6">
        <f t="shared" si="79"/>
        <v>3.1273629225585449</v>
      </c>
      <c r="V70" s="6">
        <f t="shared" si="79"/>
        <v>5.1958727069599642E-2</v>
      </c>
      <c r="W70" s="6">
        <f t="shared" si="79"/>
        <v>3545.1120889942295</v>
      </c>
      <c r="X70" s="6">
        <f t="shared" si="79"/>
        <v>108.39213852313654</v>
      </c>
      <c r="Y70" s="6">
        <f t="shared" si="79"/>
        <v>409.83486375169218</v>
      </c>
      <c r="Z70" s="6">
        <f t="shared" si="79"/>
        <v>94.204283136136638</v>
      </c>
      <c r="AA70" s="6">
        <f t="shared" si="79"/>
        <v>21.847318032272682</v>
      </c>
      <c r="AB70" s="10">
        <f t="shared" si="79"/>
        <v>4179.4426511645379</v>
      </c>
      <c r="AC70" s="6">
        <f t="shared" si="79"/>
        <v>268.01746526632246</v>
      </c>
      <c r="AD70" s="6">
        <f t="shared" si="79"/>
        <v>275.52671497673362</v>
      </c>
      <c r="AE70" s="6">
        <f t="shared" si="79"/>
        <v>1521.9381321699716</v>
      </c>
      <c r="AF70" s="6">
        <f t="shared" si="79"/>
        <v>257.08413687091195</v>
      </c>
      <c r="AG70" s="6">
        <f t="shared" si="79"/>
        <v>690.26992932763346</v>
      </c>
      <c r="AH70" s="6">
        <f t="shared" si="79"/>
        <v>422.48070782870002</v>
      </c>
      <c r="AI70" s="6">
        <f t="shared" si="79"/>
        <v>701.24229069554281</v>
      </c>
      <c r="AJ70" s="6">
        <f t="shared" si="79"/>
        <v>42.883274028720777</v>
      </c>
      <c r="AK70" s="10">
        <f t="shared" si="79"/>
        <v>4179.4426511645379</v>
      </c>
      <c r="AL70" s="41">
        <f t="shared" si="71"/>
        <v>54.624937563176267</v>
      </c>
      <c r="AM70" s="41">
        <f t="shared" si="72"/>
        <v>1.9699500352180705</v>
      </c>
      <c r="AN70" s="43">
        <f t="shared" si="73"/>
        <v>15.228812641778015</v>
      </c>
      <c r="AP70" s="41">
        <f t="shared" si="67"/>
        <v>92.862393857399653</v>
      </c>
      <c r="AQ70" s="53"/>
      <c r="AR70" s="43">
        <f t="shared" si="74"/>
        <v>40.37495385104333</v>
      </c>
      <c r="AS70" s="53"/>
      <c r="AT70" s="41"/>
      <c r="AU70" s="43"/>
      <c r="AV70" s="41"/>
      <c r="AW70" s="41">
        <f t="shared" si="75"/>
        <v>62.428500072201459</v>
      </c>
      <c r="AX70" s="41"/>
      <c r="AY70" s="43">
        <f t="shared" si="76"/>
        <v>48.555500056156689</v>
      </c>
      <c r="AZ70" s="41"/>
      <c r="BA70" s="41">
        <f t="shared" si="77"/>
        <v>12.690677201481678</v>
      </c>
      <c r="BB70" s="43"/>
      <c r="BC70" s="54"/>
      <c r="BD70" s="41">
        <f t="shared" si="78"/>
        <v>65.549925075811529</v>
      </c>
      <c r="BE70" s="3"/>
      <c r="BF70" s="3"/>
    </row>
    <row r="71" spans="1:58" x14ac:dyDescent="0.25">
      <c r="A71" s="4">
        <v>2015</v>
      </c>
      <c r="B71" s="4" t="s">
        <v>18</v>
      </c>
      <c r="C71" s="4" t="s">
        <v>19</v>
      </c>
      <c r="D71" s="4" t="s">
        <v>63</v>
      </c>
      <c r="E71" t="s">
        <v>243</v>
      </c>
      <c r="F71" t="s">
        <v>64</v>
      </c>
      <c r="G71" s="4">
        <v>1</v>
      </c>
      <c r="H71" s="4" t="s">
        <v>32</v>
      </c>
      <c r="I71" s="4" t="s">
        <v>49</v>
      </c>
      <c r="J71" s="12">
        <v>0.36245376315328581</v>
      </c>
      <c r="K71" s="6">
        <f>SUM(N71:U71)</f>
        <v>310.84470446630002</v>
      </c>
      <c r="L71" s="6"/>
      <c r="M71" s="6"/>
      <c r="N71" s="7">
        <v>21.238928171999998</v>
      </c>
      <c r="O71" s="7">
        <v>21.697569686000001</v>
      </c>
      <c r="P71" s="7">
        <v>118.42694472800002</v>
      </c>
      <c r="Q71" s="7">
        <v>20.704460176999987</v>
      </c>
      <c r="R71" s="7">
        <v>38.458382831999984</v>
      </c>
      <c r="S71" s="7">
        <v>36.325163309999994</v>
      </c>
      <c r="T71" s="7">
        <v>51.028911095000012</v>
      </c>
      <c r="U71" s="6">
        <v>2.9643444662999996</v>
      </c>
      <c r="V71" s="6">
        <v>5.2499999999999998E-2</v>
      </c>
      <c r="W71" s="6">
        <v>3297.7202334800004</v>
      </c>
      <c r="X71" s="6">
        <v>227.72578738557999</v>
      </c>
      <c r="Y71" s="6">
        <v>199.12108844106001</v>
      </c>
      <c r="Z71" s="6">
        <v>125.68015641997</v>
      </c>
      <c r="AA71" s="6">
        <v>41.290462445203005</v>
      </c>
      <c r="AB71" s="6">
        <f>SUM(V71:AA71)</f>
        <v>3891.5902281718131</v>
      </c>
      <c r="AC71" s="7">
        <v>248.29578004000001</v>
      </c>
      <c r="AD71" s="7">
        <v>245.32312633999999</v>
      </c>
      <c r="AE71" s="7">
        <v>1361.1229552389998</v>
      </c>
      <c r="AF71" s="7">
        <v>230.01655728500003</v>
      </c>
      <c r="AG71" s="7">
        <v>683.85324309899988</v>
      </c>
      <c r="AH71" s="7">
        <v>387.38165910420048</v>
      </c>
      <c r="AI71" s="7">
        <v>694.97967889279971</v>
      </c>
      <c r="AJ71" s="6">
        <v>40.617228171812997</v>
      </c>
      <c r="AK71" s="6">
        <f>SUM(AC71:AJ71)</f>
        <v>3891.5902281718131</v>
      </c>
      <c r="AL71" s="3">
        <f>K71*1000/(30*$G$103*$G$96*$G$110)</f>
        <v>47.61714222829351</v>
      </c>
      <c r="AM71" s="3">
        <f>AK71*$G$98/($G$103*$G$96*$G$110)*0.277778</f>
        <v>1.4903467147074128</v>
      </c>
      <c r="AN71" s="42">
        <f t="shared" si="73"/>
        <v>20.12954415502546</v>
      </c>
      <c r="AP71" s="3">
        <f t="shared" si="67"/>
        <v>80.949141788098956</v>
      </c>
      <c r="AQ71" s="44"/>
      <c r="AR71" s="42">
        <f t="shared" si="74"/>
        <v>35.195279038303894</v>
      </c>
      <c r="AS71" s="44"/>
      <c r="AT71" s="3"/>
      <c r="AU71" s="42"/>
      <c r="AV71" s="3"/>
      <c r="AW71" s="3">
        <f t="shared" si="75"/>
        <v>54.41959111804973</v>
      </c>
      <c r="AX71" s="3"/>
      <c r="AY71" s="42">
        <f t="shared" si="76"/>
        <v>42.326348647372008</v>
      </c>
      <c r="AZ71" s="3"/>
      <c r="BA71" s="3">
        <f t="shared" si="77"/>
        <v>16.774620129187884</v>
      </c>
      <c r="BB71" s="42"/>
      <c r="BC71" s="48"/>
      <c r="BD71" s="3">
        <f t="shared" si="78"/>
        <v>57.140570673952205</v>
      </c>
      <c r="BE71" s="3"/>
      <c r="BF71" s="3"/>
    </row>
    <row r="72" spans="1:58" x14ac:dyDescent="0.25">
      <c r="A72" s="4">
        <v>2015</v>
      </c>
      <c r="B72" s="4" t="s">
        <v>18</v>
      </c>
      <c r="C72" s="4" t="s">
        <v>21</v>
      </c>
      <c r="D72" s="4" t="s">
        <v>63</v>
      </c>
      <c r="E72" t="s">
        <v>244</v>
      </c>
      <c r="F72" t="s">
        <v>64</v>
      </c>
      <c r="G72" s="4">
        <v>1</v>
      </c>
      <c r="H72" s="4" t="s">
        <v>32</v>
      </c>
      <c r="I72" s="4" t="s">
        <v>51</v>
      </c>
      <c r="J72" s="12">
        <v>6.9116063002115188E-2</v>
      </c>
      <c r="K72" s="6">
        <f t="shared" ref="K72:K76" si="80">SUM(N72:U72)</f>
        <v>264.65304263044999</v>
      </c>
      <c r="L72" s="6"/>
      <c r="M72" s="6"/>
      <c r="N72" s="7">
        <v>17.836386875999999</v>
      </c>
      <c r="O72" s="7">
        <v>17.120673608000001</v>
      </c>
      <c r="P72" s="7">
        <v>94.093415300000018</v>
      </c>
      <c r="Q72" s="7">
        <v>16.033616995999978</v>
      </c>
      <c r="R72" s="7">
        <v>36.759280767000007</v>
      </c>
      <c r="S72" s="7">
        <v>30.221886902800009</v>
      </c>
      <c r="T72" s="7">
        <v>50.016949550199968</v>
      </c>
      <c r="U72" s="6">
        <v>2.57083263045</v>
      </c>
      <c r="V72" s="6">
        <v>5.7290000000000001E-2</v>
      </c>
      <c r="W72" s="6">
        <v>3416.7823828199998</v>
      </c>
      <c r="X72" s="6">
        <v>130.16438118297</v>
      </c>
      <c r="Y72" s="6">
        <v>165.93914893378999</v>
      </c>
      <c r="Z72" s="6">
        <v>123.08222247885499</v>
      </c>
      <c r="AA72" s="6">
        <v>23.340132746914499</v>
      </c>
      <c r="AB72" s="6">
        <f t="shared" ref="AB72:AB76" si="81">SUM(V72:AA72)</f>
        <v>3859.3655581625294</v>
      </c>
      <c r="AC72" s="7">
        <v>245.15933226400006</v>
      </c>
      <c r="AD72" s="7">
        <v>243.53775966199998</v>
      </c>
      <c r="AE72" s="7">
        <v>1351.6305751129998</v>
      </c>
      <c r="AF72" s="7">
        <v>225.71090317600027</v>
      </c>
      <c r="AG72" s="7">
        <v>682.28723768849977</v>
      </c>
      <c r="AH72" s="7">
        <v>381.76753172510053</v>
      </c>
      <c r="AI72" s="7">
        <v>694.04686037139982</v>
      </c>
      <c r="AJ72" s="6">
        <v>35.225358162529503</v>
      </c>
      <c r="AK72" s="6">
        <f t="shared" ref="AK72:AK76" si="82">SUM(AC72:AJ72)</f>
        <v>3859.3655581625299</v>
      </c>
      <c r="AL72" s="3">
        <f t="shared" ref="AL72:AL77" si="83">K72*1000/(30*$G$103*$G$96*$G$110)</f>
        <v>40.541213638242951</v>
      </c>
      <c r="AM72" s="3">
        <f t="shared" ref="AM72:AM77" si="84">AK72*$G$98/($G$103*$G$96*$G$110)*0.277778</f>
        <v>1.4780057619695837</v>
      </c>
      <c r="AN72" s="42">
        <f t="shared" si="73"/>
        <v>20.297620463956878</v>
      </c>
      <c r="AP72" s="3">
        <f t="shared" si="67"/>
        <v>68.920063185013021</v>
      </c>
      <c r="AQ72" s="44"/>
      <c r="AR72" s="42">
        <f t="shared" si="74"/>
        <v>29.965244863049136</v>
      </c>
      <c r="AS72" s="44"/>
      <c r="AT72" s="3"/>
      <c r="AU72" s="42"/>
      <c r="AV72" s="3"/>
      <c r="AW72" s="3">
        <f t="shared" si="75"/>
        <v>46.332815586563378</v>
      </c>
      <c r="AX72" s="3"/>
      <c r="AY72" s="42">
        <f t="shared" si="76"/>
        <v>36.036634345104851</v>
      </c>
      <c r="AZ72" s="3"/>
      <c r="BA72" s="3">
        <f t="shared" si="77"/>
        <v>16.914683719964067</v>
      </c>
      <c r="BB72" s="42"/>
      <c r="BC72" s="48"/>
      <c r="BD72" s="3">
        <f t="shared" si="78"/>
        <v>48.649456365891545</v>
      </c>
      <c r="BE72" s="3"/>
      <c r="BF72" s="3"/>
    </row>
    <row r="73" spans="1:58" x14ac:dyDescent="0.25">
      <c r="A73" s="4">
        <v>2015</v>
      </c>
      <c r="B73" s="4" t="s">
        <v>18</v>
      </c>
      <c r="C73" s="4" t="s">
        <v>27</v>
      </c>
      <c r="D73" s="4" t="s">
        <v>62</v>
      </c>
      <c r="E73" t="s">
        <v>245</v>
      </c>
      <c r="F73" t="s">
        <v>64</v>
      </c>
      <c r="G73" s="4">
        <v>1</v>
      </c>
      <c r="H73" s="4" t="s">
        <v>32</v>
      </c>
      <c r="I73" s="4" t="s">
        <v>56</v>
      </c>
      <c r="J73" s="12">
        <v>5.4906800535959713E-2</v>
      </c>
      <c r="K73" s="6">
        <f t="shared" si="80"/>
        <v>256.83130326970002</v>
      </c>
      <c r="L73" s="6"/>
      <c r="M73" s="6"/>
      <c r="N73" s="7">
        <v>17.329974045999997</v>
      </c>
      <c r="O73" s="7">
        <v>16.254867947999998</v>
      </c>
      <c r="P73" s="7">
        <v>89.490296467000022</v>
      </c>
      <c r="Q73" s="7">
        <v>15.338438803999971</v>
      </c>
      <c r="R73" s="7">
        <v>36.506384765000007</v>
      </c>
      <c r="S73" s="7">
        <v>29.320252624999995</v>
      </c>
      <c r="T73" s="7">
        <v>49.86633534500001</v>
      </c>
      <c r="U73" s="6">
        <v>2.7247532696999999</v>
      </c>
      <c r="V73" s="6">
        <v>5.1459999999999999E-2</v>
      </c>
      <c r="W73" s="6">
        <v>3232.7786121199997</v>
      </c>
      <c r="X73" s="6">
        <v>61.183851432019999</v>
      </c>
      <c r="Y73" s="6">
        <v>977.74573752213996</v>
      </c>
      <c r="Z73" s="6">
        <v>87.645271758429999</v>
      </c>
      <c r="AA73" s="6">
        <v>16.160294520956999</v>
      </c>
      <c r="AB73" s="6">
        <f t="shared" si="81"/>
        <v>4375.565227353547</v>
      </c>
      <c r="AC73" s="7">
        <v>282.837181165</v>
      </c>
      <c r="AD73" s="7">
        <v>295.39916637499994</v>
      </c>
      <c r="AE73" s="7">
        <v>1627.3567801700001</v>
      </c>
      <c r="AF73" s="7">
        <v>277.4331848319996</v>
      </c>
      <c r="AG73" s="7">
        <v>701.10224785650007</v>
      </c>
      <c r="AH73" s="7">
        <v>448.84954852479996</v>
      </c>
      <c r="AI73" s="7">
        <v>705.25275107669995</v>
      </c>
      <c r="AJ73" s="6">
        <v>37.334367353546995</v>
      </c>
      <c r="AK73" s="6">
        <f t="shared" si="82"/>
        <v>4375.565227353547</v>
      </c>
      <c r="AL73" s="3">
        <f t="shared" si="83"/>
        <v>39.343030525382964</v>
      </c>
      <c r="AM73" s="3">
        <f t="shared" si="84"/>
        <v>1.6756926806854049</v>
      </c>
      <c r="AN73" s="42">
        <f t="shared" si="73"/>
        <v>17.903044123657068</v>
      </c>
      <c r="AP73" s="3">
        <f t="shared" si="67"/>
        <v>66.883151893151037</v>
      </c>
      <c r="AQ73" s="44"/>
      <c r="AR73" s="42">
        <f t="shared" si="74"/>
        <v>29.079631257891755</v>
      </c>
      <c r="AS73" s="44"/>
      <c r="AT73" s="3"/>
      <c r="AU73" s="42"/>
      <c r="AV73" s="3"/>
      <c r="AW73" s="3">
        <f t="shared" si="75"/>
        <v>44.963463457580538</v>
      </c>
      <c r="AX73" s="3"/>
      <c r="AY73" s="42">
        <f t="shared" si="76"/>
        <v>34.971582689229301</v>
      </c>
      <c r="AZ73" s="3"/>
      <c r="BA73" s="3">
        <f t="shared" si="77"/>
        <v>14.91920343638089</v>
      </c>
      <c r="BB73" s="42"/>
      <c r="BC73" s="48"/>
      <c r="BD73" s="3">
        <f t="shared" si="78"/>
        <v>47.211636630459559</v>
      </c>
      <c r="BE73" s="3"/>
      <c r="BF73" s="3"/>
    </row>
    <row r="74" spans="1:58" x14ac:dyDescent="0.25">
      <c r="A74" s="4">
        <v>2015</v>
      </c>
      <c r="B74" s="4" t="s">
        <v>18</v>
      </c>
      <c r="C74" s="4" t="s">
        <v>22</v>
      </c>
      <c r="D74" s="4" t="s">
        <v>63</v>
      </c>
      <c r="E74" t="s">
        <v>246</v>
      </c>
      <c r="F74" t="s">
        <v>64</v>
      </c>
      <c r="G74" s="4">
        <v>1</v>
      </c>
      <c r="H74" s="4" t="s">
        <v>32</v>
      </c>
      <c r="I74" s="4" t="s">
        <v>52</v>
      </c>
      <c r="J74" s="12">
        <v>5.8678570306366001E-2</v>
      </c>
      <c r="K74" s="6">
        <f t="shared" si="80"/>
        <v>234.14920699999999</v>
      </c>
      <c r="L74" s="6"/>
      <c r="M74" s="6"/>
      <c r="N74" s="7">
        <v>15.983811535999999</v>
      </c>
      <c r="O74" s="7">
        <v>14.040158397999999</v>
      </c>
      <c r="P74" s="7">
        <v>77.715619801000003</v>
      </c>
      <c r="Q74" s="7">
        <v>13.490509225</v>
      </c>
      <c r="R74" s="7">
        <v>35.834124416499989</v>
      </c>
      <c r="S74" s="7">
        <v>26.923523928899982</v>
      </c>
      <c r="T74" s="7">
        <v>49.465972694600026</v>
      </c>
      <c r="U74" s="6">
        <v>0.69548699999999997</v>
      </c>
      <c r="V74" s="6">
        <v>4.8989999999999999E-2</v>
      </c>
      <c r="W74" s="6">
        <v>3254.9075200000002</v>
      </c>
      <c r="X74" s="6">
        <v>146.55241129999999</v>
      </c>
      <c r="Y74" s="6">
        <v>228.91598150000002</v>
      </c>
      <c r="Z74" s="6">
        <v>84.092003079999998</v>
      </c>
      <c r="AA74" s="6">
        <v>72.989998494099993</v>
      </c>
      <c r="AB74" s="6">
        <f t="shared" si="81"/>
        <v>3787.5069043740996</v>
      </c>
      <c r="AC74" s="7">
        <v>244.37255650500001</v>
      </c>
      <c r="AD74" s="7">
        <v>236.57805543500001</v>
      </c>
      <c r="AE74" s="7">
        <v>1314.6293248260001</v>
      </c>
      <c r="AF74" s="7">
        <v>224.63100241799981</v>
      </c>
      <c r="AG74" s="7">
        <v>681.89381122150007</v>
      </c>
      <c r="AH74" s="7">
        <v>380.36657831800039</v>
      </c>
      <c r="AI74" s="7">
        <v>693.81285127649926</v>
      </c>
      <c r="AJ74" s="6">
        <v>11.2227243741</v>
      </c>
      <c r="AK74" s="6">
        <f t="shared" si="82"/>
        <v>3787.5069043740996</v>
      </c>
      <c r="AL74" s="3">
        <f t="shared" si="83"/>
        <v>35.868444699754903</v>
      </c>
      <c r="AM74" s="3">
        <f t="shared" si="84"/>
        <v>1.4504863412912161</v>
      </c>
      <c r="AN74" s="42">
        <f t="shared" si="73"/>
        <v>20.682718027730026</v>
      </c>
      <c r="AP74" s="3">
        <f t="shared" si="67"/>
        <v>60.97635598958334</v>
      </c>
      <c r="AQ74" s="44"/>
      <c r="AR74" s="42">
        <f t="shared" si="74"/>
        <v>26.511459125905798</v>
      </c>
      <c r="AS74" s="44"/>
      <c r="AT74" s="3"/>
      <c r="AU74" s="42"/>
      <c r="AV74" s="3"/>
      <c r="AW74" s="3">
        <f t="shared" si="75"/>
        <v>40.992508228291328</v>
      </c>
      <c r="AX74" s="3"/>
      <c r="AY74" s="42">
        <f t="shared" si="76"/>
        <v>31.883061955337695</v>
      </c>
      <c r="AZ74" s="3"/>
      <c r="BA74" s="3">
        <f t="shared" si="77"/>
        <v>17.235598356441688</v>
      </c>
      <c r="BB74" s="42"/>
      <c r="BC74" s="48"/>
      <c r="BD74" s="3">
        <f t="shared" si="78"/>
        <v>43.042133639705888</v>
      </c>
      <c r="BE74" s="3"/>
      <c r="BF74" s="3"/>
    </row>
    <row r="75" spans="1:58" x14ac:dyDescent="0.25">
      <c r="A75" s="4">
        <v>2015</v>
      </c>
      <c r="B75" s="4" t="s">
        <v>18</v>
      </c>
      <c r="C75" s="4" t="s">
        <v>23</v>
      </c>
      <c r="D75" s="4" t="s">
        <v>63</v>
      </c>
      <c r="E75" t="s">
        <v>247</v>
      </c>
      <c r="F75" t="s">
        <v>64</v>
      </c>
      <c r="G75" s="4">
        <v>1</v>
      </c>
      <c r="H75" s="4" t="s">
        <v>32</v>
      </c>
      <c r="I75" s="4" t="s">
        <v>53</v>
      </c>
      <c r="J75" s="12">
        <v>0.37167849707604594</v>
      </c>
      <c r="K75" s="6">
        <f t="shared" si="80"/>
        <v>298.10946997679997</v>
      </c>
      <c r="L75" s="6"/>
      <c r="M75" s="6"/>
      <c r="N75" s="7">
        <v>20.331488792999998</v>
      </c>
      <c r="O75" s="7">
        <v>20.272383279000003</v>
      </c>
      <c r="P75" s="7">
        <v>110.84981181400002</v>
      </c>
      <c r="Q75" s="7">
        <v>19.45878785899999</v>
      </c>
      <c r="R75" s="7">
        <v>38.005227992999977</v>
      </c>
      <c r="S75" s="7">
        <v>34.664193548399993</v>
      </c>
      <c r="T75" s="7">
        <v>50.759026713600008</v>
      </c>
      <c r="U75" s="6">
        <v>3.7685499767999997</v>
      </c>
      <c r="V75" s="6">
        <v>5.176E-2</v>
      </c>
      <c r="W75" s="6">
        <v>3816.0067392800001</v>
      </c>
      <c r="X75" s="6">
        <v>138.94728093487998</v>
      </c>
      <c r="Y75" s="6">
        <v>110.02597385616001</v>
      </c>
      <c r="Z75" s="6">
        <v>98.438058779919999</v>
      </c>
      <c r="AA75" s="6">
        <v>13.612169621208</v>
      </c>
      <c r="AB75" s="6">
        <f t="shared" si="81"/>
        <v>4177.0819824721675</v>
      </c>
      <c r="AC75" s="7">
        <v>268.27519888399996</v>
      </c>
      <c r="AD75" s="7">
        <v>273.12381971199994</v>
      </c>
      <c r="AE75" s="7">
        <v>1508.9279825570002</v>
      </c>
      <c r="AF75" s="7">
        <v>257.44329374600028</v>
      </c>
      <c r="AG75" s="7">
        <v>693.83028167449947</v>
      </c>
      <c r="AH75" s="7">
        <v>422.92319745880059</v>
      </c>
      <c r="AI75" s="7">
        <v>700.92181596769979</v>
      </c>
      <c r="AJ75" s="6">
        <v>51.636392472167991</v>
      </c>
      <c r="AK75" s="6">
        <f t="shared" si="82"/>
        <v>4177.0819824721684</v>
      </c>
      <c r="AL75" s="3">
        <f t="shared" si="83"/>
        <v>45.666279101838228</v>
      </c>
      <c r="AM75" s="3">
        <f t="shared" si="84"/>
        <v>1.5996803477855985</v>
      </c>
      <c r="AN75" s="42">
        <f t="shared" si="73"/>
        <v>18.753746672907699</v>
      </c>
      <c r="AP75" s="3">
        <f t="shared" si="67"/>
        <v>77.632674473124993</v>
      </c>
      <c r="AQ75" s="44"/>
      <c r="AR75" s="42">
        <f t="shared" si="74"/>
        <v>33.75333672744565</v>
      </c>
      <c r="AS75" s="44"/>
      <c r="AT75" s="3"/>
      <c r="AU75" s="42"/>
      <c r="AV75" s="3"/>
      <c r="AW75" s="3">
        <f t="shared" si="75"/>
        <v>52.190033259243691</v>
      </c>
      <c r="AX75" s="3"/>
      <c r="AY75" s="42">
        <f t="shared" si="76"/>
        <v>40.592248090522872</v>
      </c>
      <c r="AZ75" s="3"/>
      <c r="BA75" s="3">
        <f t="shared" si="77"/>
        <v>15.628122227423082</v>
      </c>
      <c r="BB75" s="42"/>
      <c r="BC75" s="48"/>
      <c r="BD75" s="3">
        <f t="shared" si="78"/>
        <v>54.799534922205872</v>
      </c>
      <c r="BE75" s="3"/>
      <c r="BF75" s="3"/>
    </row>
    <row r="76" spans="1:58" x14ac:dyDescent="0.25">
      <c r="A76" s="4">
        <v>2015</v>
      </c>
      <c r="B76" s="4" t="s">
        <v>18</v>
      </c>
      <c r="C76" s="4" t="s">
        <v>24</v>
      </c>
      <c r="D76" s="4" t="s">
        <v>62</v>
      </c>
      <c r="E76" t="s">
        <v>248</v>
      </c>
      <c r="F76" t="s">
        <v>64</v>
      </c>
      <c r="G76" s="4">
        <v>1</v>
      </c>
      <c r="H76" s="4" t="s">
        <v>32</v>
      </c>
      <c r="I76" s="4" t="s">
        <v>54</v>
      </c>
      <c r="J76" s="12">
        <v>8.3166305926227355E-2</v>
      </c>
      <c r="K76" s="6">
        <f t="shared" si="80"/>
        <v>284.961342785</v>
      </c>
      <c r="L76" s="6"/>
      <c r="M76" s="6"/>
      <c r="N76" s="7">
        <v>19.298677321</v>
      </c>
      <c r="O76" s="7">
        <v>19.109473172999998</v>
      </c>
      <c r="P76" s="7">
        <v>104.66706345600002</v>
      </c>
      <c r="Q76" s="7">
        <v>18.040992135999989</v>
      </c>
      <c r="R76" s="7">
        <v>37.489494509499991</v>
      </c>
      <c r="S76" s="7">
        <v>32.8253705626</v>
      </c>
      <c r="T76" s="7">
        <v>50.451858841899991</v>
      </c>
      <c r="U76" s="6">
        <v>3.0784127849999998</v>
      </c>
      <c r="V76" s="6">
        <v>5.1970000000000002E-2</v>
      </c>
      <c r="W76" s="6">
        <v>3498.9820359999999</v>
      </c>
      <c r="X76" s="6">
        <v>73.668384981000003</v>
      </c>
      <c r="Y76" s="6">
        <v>523.24770176699997</v>
      </c>
      <c r="Z76" s="6">
        <v>76.031345591499999</v>
      </c>
      <c r="AA76" s="6">
        <v>19.208845480850002</v>
      </c>
      <c r="AB76" s="6">
        <f t="shared" si="81"/>
        <v>4191.1902838203496</v>
      </c>
      <c r="AC76" s="7">
        <v>267.993295262</v>
      </c>
      <c r="AD76" s="7">
        <v>277.07532372599991</v>
      </c>
      <c r="AE76" s="7">
        <v>1529.9360537699997</v>
      </c>
      <c r="AF76" s="7">
        <v>257.05615448300028</v>
      </c>
      <c r="AG76" s="7">
        <v>693.68992344649996</v>
      </c>
      <c r="AH76" s="7">
        <v>422.42139318310001</v>
      </c>
      <c r="AI76" s="7">
        <v>700.83795612940048</v>
      </c>
      <c r="AJ76" s="6">
        <v>42.180183820350003</v>
      </c>
      <c r="AK76" s="6">
        <f t="shared" si="82"/>
        <v>4191.1902838203505</v>
      </c>
      <c r="AL76" s="3">
        <f t="shared" si="83"/>
        <v>43.65216648054534</v>
      </c>
      <c r="AM76" s="3">
        <f t="shared" si="84"/>
        <v>1.6050833474159691</v>
      </c>
      <c r="AN76" s="42">
        <f t="shared" si="73"/>
        <v>18.690618183969782</v>
      </c>
      <c r="AP76" s="3">
        <f t="shared" si="67"/>
        <v>74.208683016927083</v>
      </c>
      <c r="AQ76" s="44"/>
      <c r="AR76" s="42">
        <f t="shared" si="74"/>
        <v>32.264644789968294</v>
      </c>
      <c r="AS76" s="44"/>
      <c r="AT76" s="3"/>
      <c r="AU76" s="42"/>
      <c r="AV76" s="3"/>
      <c r="AW76" s="3">
        <f t="shared" si="75"/>
        <v>49.888190263480389</v>
      </c>
      <c r="AX76" s="3"/>
      <c r="AY76" s="42">
        <f t="shared" si="76"/>
        <v>38.801925760484743</v>
      </c>
      <c r="AZ76" s="3"/>
      <c r="BA76" s="3">
        <f t="shared" si="77"/>
        <v>15.575515153308153</v>
      </c>
      <c r="BB76" s="42"/>
      <c r="BC76" s="48"/>
      <c r="BD76" s="3">
        <f t="shared" si="78"/>
        <v>52.382599776654409</v>
      </c>
      <c r="BE76" s="3"/>
      <c r="BF76" s="3"/>
    </row>
    <row r="77" spans="1:58" x14ac:dyDescent="0.25">
      <c r="A77" s="4">
        <v>2015</v>
      </c>
      <c r="B77" s="4" t="s">
        <v>18</v>
      </c>
      <c r="C77" s="4"/>
      <c r="I77" s="4"/>
      <c r="J77" s="8"/>
      <c r="K77" s="10">
        <f>$J71*K71+$J72*K72+$J73*K73+$J74*K74+$J75*K75+$J76*K76</f>
        <v>293.29999707969796</v>
      </c>
      <c r="L77" s="10"/>
      <c r="M77" s="10"/>
      <c r="N77" s="6">
        <f>$J71*N71+$J72*N72+$J73*N73+$J74*N74+$J75*N75+$J76*N76</f>
        <v>19.982127817501954</v>
      </c>
      <c r="O77" s="6">
        <f t="shared" ref="O77:AK77" si="85">$J71*O71+$J72*O72+$J73*O73+$J74*O74+$J75*O75+$J76*O76</f>
        <v>19.888111794812332</v>
      </c>
      <c r="P77" s="6">
        <f t="shared" si="85"/>
        <v>108.80678998975364</v>
      </c>
      <c r="Q77" s="6">
        <f t="shared" si="85"/>
        <v>18.979194079180363</v>
      </c>
      <c r="R77" s="6">
        <f t="shared" si="85"/>
        <v>37.830775114041437</v>
      </c>
      <c r="S77" s="6">
        <f t="shared" si="85"/>
        <v>34.058625303159246</v>
      </c>
      <c r="T77" s="6">
        <f t="shared" si="85"/>
        <v>50.655122466008521</v>
      </c>
      <c r="U77" s="6">
        <f t="shared" si="85"/>
        <v>3.0992505152404259</v>
      </c>
      <c r="V77" s="6">
        <f t="shared" si="85"/>
        <v>5.2248880857470217E-2</v>
      </c>
      <c r="W77" s="6">
        <f t="shared" si="85"/>
        <v>3509.2455651966948</v>
      </c>
      <c r="X77" s="6">
        <f t="shared" si="85"/>
        <v>161.26585766515652</v>
      </c>
      <c r="Y77" s="6">
        <f t="shared" si="85"/>
        <v>235.1694682431127</v>
      </c>
      <c r="Z77" s="6">
        <f t="shared" si="85"/>
        <v>106.71748015054318</v>
      </c>
      <c r="AA77" s="6">
        <f t="shared" si="85"/>
        <v>28.406199873683672</v>
      </c>
      <c r="AB77" s="10">
        <f t="shared" si="85"/>
        <v>4040.8568200100476</v>
      </c>
      <c r="AC77" s="6">
        <f t="shared" si="85"/>
        <v>258.80943973701812</v>
      </c>
      <c r="AD77" s="6">
        <f t="shared" si="85"/>
        <v>260.40972859991172</v>
      </c>
      <c r="AE77" s="6">
        <f t="shared" si="85"/>
        <v>1441.3322592672175</v>
      </c>
      <c r="AF77" s="6">
        <f t="shared" si="85"/>
        <v>244.44915767546223</v>
      </c>
      <c r="AG77" s="6">
        <f t="shared" si="85"/>
        <v>689.10344904295562</v>
      </c>
      <c r="AH77" s="6">
        <f t="shared" si="85"/>
        <v>406.08115375861792</v>
      </c>
      <c r="AI77" s="6">
        <f t="shared" si="85"/>
        <v>698.10657575235803</v>
      </c>
      <c r="AJ77" s="6">
        <f t="shared" si="85"/>
        <v>42.565056176506765</v>
      </c>
      <c r="AK77" s="10">
        <f t="shared" si="85"/>
        <v>4040.8568200100485</v>
      </c>
      <c r="AL77" s="41">
        <f t="shared" si="83"/>
        <v>44.929533866375301</v>
      </c>
      <c r="AM77" s="41">
        <f t="shared" si="84"/>
        <v>1.5475107432197859</v>
      </c>
      <c r="AN77" s="43">
        <f t="shared" si="73"/>
        <v>19.38597204022075</v>
      </c>
      <c r="AP77" s="41">
        <f t="shared" si="67"/>
        <v>76.380207572838017</v>
      </c>
      <c r="AQ77" s="53"/>
      <c r="AR77" s="43">
        <f t="shared" si="74"/>
        <v>33.208785901233917</v>
      </c>
      <c r="AS77" s="53"/>
      <c r="AT77" s="41"/>
      <c r="AU77" s="43"/>
      <c r="AV77" s="41"/>
      <c r="AW77" s="41">
        <f t="shared" si="75"/>
        <v>51.348038704428916</v>
      </c>
      <c r="AX77" s="41"/>
      <c r="AY77" s="43">
        <f t="shared" si="76"/>
        <v>39.937363436778043</v>
      </c>
      <c r="AZ77" s="41"/>
      <c r="BA77" s="41">
        <f t="shared" si="77"/>
        <v>16.154976700183958</v>
      </c>
      <c r="BB77" s="43"/>
      <c r="BC77" s="54"/>
      <c r="BD77" s="41">
        <f t="shared" si="78"/>
        <v>53.915440639650356</v>
      </c>
      <c r="BE77" s="3"/>
      <c r="BF77" s="3"/>
    </row>
    <row r="78" spans="1:58" x14ac:dyDescent="0.25">
      <c r="A78" s="4">
        <v>2020</v>
      </c>
      <c r="B78" s="4" t="s">
        <v>18</v>
      </c>
      <c r="C78" s="4" t="s">
        <v>19</v>
      </c>
      <c r="D78" s="4" t="s">
        <v>63</v>
      </c>
      <c r="E78" t="s">
        <v>249</v>
      </c>
      <c r="F78" t="s">
        <v>64</v>
      </c>
      <c r="G78" s="4">
        <v>1</v>
      </c>
      <c r="H78" s="4" t="s">
        <v>32</v>
      </c>
      <c r="I78" s="4" t="s">
        <v>49</v>
      </c>
      <c r="J78" s="12">
        <v>6.3611092852727744E-2</v>
      </c>
      <c r="K78" s="6">
        <f>SUM(N78:U78)</f>
        <v>295.30757446630003</v>
      </c>
      <c r="L78" s="6"/>
      <c r="M78" s="6"/>
      <c r="N78" s="7">
        <v>20.130104378999999</v>
      </c>
      <c r="O78" s="7">
        <v>20.106762867</v>
      </c>
      <c r="P78" s="7">
        <v>109.969272256</v>
      </c>
      <c r="Q78" s="7">
        <v>19.182312683000006</v>
      </c>
      <c r="R78" s="7">
        <v>37.904667007499967</v>
      </c>
      <c r="S78" s="7">
        <v>34.350983687300015</v>
      </c>
      <c r="T78" s="7">
        <v>50.699127120200018</v>
      </c>
      <c r="U78" s="6">
        <v>2.9643444662999996</v>
      </c>
      <c r="V78" s="6">
        <v>5.339E-2</v>
      </c>
      <c r="W78" s="6">
        <v>3164.0578934800001</v>
      </c>
      <c r="X78" s="6">
        <v>209.22744738557998</v>
      </c>
      <c r="Y78" s="6">
        <v>251.11670844106001</v>
      </c>
      <c r="Z78" s="6">
        <v>144.20622641996999</v>
      </c>
      <c r="AA78" s="6">
        <v>65.965172445202995</v>
      </c>
      <c r="AB78" s="6">
        <f>SUM(V78:AA78)</f>
        <v>3834.6268381718128</v>
      </c>
      <c r="AC78" s="7">
        <v>244.27030920599998</v>
      </c>
      <c r="AD78" s="7">
        <v>239.45960214799996</v>
      </c>
      <c r="AE78" s="7">
        <v>1329.9489817760004</v>
      </c>
      <c r="AF78" s="7">
        <v>224.49057237199975</v>
      </c>
      <c r="AG78" s="7">
        <v>681.8430404174992</v>
      </c>
      <c r="AH78" s="7">
        <v>380.21464116530069</v>
      </c>
      <c r="AI78" s="7">
        <v>693.78246291519963</v>
      </c>
      <c r="AJ78" s="6">
        <v>40.617228171812997</v>
      </c>
      <c r="AK78" s="6">
        <f>SUM(AC78:AJ78)</f>
        <v>3834.6268381718128</v>
      </c>
      <c r="AL78" s="3">
        <f t="shared" ref="AL78:AL91" si="86">K78*1000/(30*$G$103*$G$96*$G$114)</f>
        <v>40.210726370683552</v>
      </c>
      <c r="AM78" s="3">
        <f>AK78*$G$98/($G$103*$G$96*$G$114)*0.277778</f>
        <v>1.3053614875657964</v>
      </c>
      <c r="AN78" s="42">
        <f t="shared" si="73"/>
        <v>22.982139649257775</v>
      </c>
      <c r="AP78" s="3">
        <f t="shared" si="67"/>
        <v>68.358234830162033</v>
      </c>
      <c r="AQ78" s="44"/>
      <c r="AR78" s="42">
        <f t="shared" si="74"/>
        <v>29.720971665287841</v>
      </c>
      <c r="AS78" s="44"/>
      <c r="AT78" s="3"/>
      <c r="AU78" s="42"/>
      <c r="AV78" s="3"/>
      <c r="AW78" s="3">
        <f t="shared" si="75"/>
        <v>45.955115852209779</v>
      </c>
      <c r="AX78" s="3"/>
      <c r="AY78" s="42">
        <f t="shared" si="76"/>
        <v>35.74286788505205</v>
      </c>
      <c r="AZ78" s="3"/>
      <c r="BA78" s="3">
        <f t="shared" si="77"/>
        <v>19.151783041048144</v>
      </c>
      <c r="BB78" s="42"/>
      <c r="BC78" s="48"/>
      <c r="BD78" s="3">
        <f t="shared" si="78"/>
        <v>48.252871644820267</v>
      </c>
      <c r="BE78" s="3"/>
      <c r="BF78" s="3"/>
    </row>
    <row r="79" spans="1:58" x14ac:dyDescent="0.25">
      <c r="A79" s="4">
        <v>2020</v>
      </c>
      <c r="B79" s="4" t="s">
        <v>18</v>
      </c>
      <c r="C79" s="4" t="s">
        <v>27</v>
      </c>
      <c r="D79" s="4" t="s">
        <v>63</v>
      </c>
      <c r="E79" t="s">
        <v>250</v>
      </c>
      <c r="F79" t="s">
        <v>64</v>
      </c>
      <c r="G79" s="4">
        <v>1</v>
      </c>
      <c r="H79" s="4" t="s">
        <v>32</v>
      </c>
      <c r="I79" s="4" t="s">
        <v>56</v>
      </c>
      <c r="J79" s="12">
        <v>9.7665377765249708E-2</v>
      </c>
      <c r="K79" s="6">
        <f t="shared" ref="K79:K83" si="87">SUM(N79:U79)</f>
        <v>249.58237326969999</v>
      </c>
      <c r="L79" s="6"/>
      <c r="M79" s="6"/>
      <c r="N79" s="7">
        <v>16.806253618</v>
      </c>
      <c r="O79" s="7">
        <v>15.517671654000001</v>
      </c>
      <c r="P79" s="7">
        <v>85.570919347</v>
      </c>
      <c r="Q79" s="7">
        <v>14.619512566999983</v>
      </c>
      <c r="R79" s="7">
        <v>36.244853604500008</v>
      </c>
      <c r="S79" s="7">
        <v>28.38783465100002</v>
      </c>
      <c r="T79" s="7">
        <v>49.710574558499985</v>
      </c>
      <c r="U79" s="6">
        <v>2.7247532696999999</v>
      </c>
      <c r="V79" s="6">
        <v>5.2089999999999997E-2</v>
      </c>
      <c r="W79" s="6">
        <v>3179.7836321199998</v>
      </c>
      <c r="X79" s="6">
        <v>61.633781432019994</v>
      </c>
      <c r="Y79" s="6">
        <v>909.54860752213995</v>
      </c>
      <c r="Z79" s="6">
        <v>110.07692175843</v>
      </c>
      <c r="AA79" s="6">
        <v>19.284164520956999</v>
      </c>
      <c r="AB79" s="6">
        <f t="shared" ref="AB79:AB83" si="88">SUM(V79:AA79)</f>
        <v>4280.3791973535472</v>
      </c>
      <c r="AC79" s="7">
        <v>275.93254388699995</v>
      </c>
      <c r="AD79" s="7">
        <v>285.740726241</v>
      </c>
      <c r="AE79" s="7">
        <v>1576.0067682620002</v>
      </c>
      <c r="AF79" s="7">
        <v>267.9548164539994</v>
      </c>
      <c r="AG79" s="7">
        <v>697.65431550000039</v>
      </c>
      <c r="AH79" s="7">
        <v>436.55644313099992</v>
      </c>
      <c r="AI79" s="7">
        <v>703.19921652499988</v>
      </c>
      <c r="AJ79" s="6">
        <v>37.334367353546995</v>
      </c>
      <c r="AK79" s="6">
        <f t="shared" ref="AK79:AK83" si="89">SUM(AC79:AJ79)</f>
        <v>4280.3791973535463</v>
      </c>
      <c r="AL79" s="3">
        <f t="shared" si="86"/>
        <v>33.984527950667207</v>
      </c>
      <c r="AM79" s="3">
        <f t="shared" ref="AM79:AM91" si="90">AK79*$G$98/($G$103*$G$96*$G$114)*0.277778</f>
        <v>1.4571019273069528</v>
      </c>
      <c r="AN79" s="42">
        <f t="shared" si="73"/>
        <v>20.588813615425412</v>
      </c>
      <c r="AP79" s="3">
        <f t="shared" si="67"/>
        <v>57.773697516134249</v>
      </c>
      <c r="AQ79" s="44"/>
      <c r="AR79" s="42">
        <f t="shared" si="74"/>
        <v>25.11899892005837</v>
      </c>
      <c r="AS79" s="44"/>
      <c r="AT79" s="3"/>
      <c r="AU79" s="42"/>
      <c r="AV79" s="3"/>
      <c r="AW79" s="3">
        <f t="shared" si="75"/>
        <v>38.839460515048238</v>
      </c>
      <c r="AX79" s="3"/>
      <c r="AY79" s="42">
        <f t="shared" si="76"/>
        <v>30.208469289481961</v>
      </c>
      <c r="AZ79" s="3"/>
      <c r="BA79" s="3">
        <f t="shared" si="77"/>
        <v>17.157344679521177</v>
      </c>
      <c r="BB79" s="42"/>
      <c r="BC79" s="48"/>
      <c r="BD79" s="3">
        <f t="shared" si="78"/>
        <v>40.781433540800649</v>
      </c>
      <c r="BE79" s="3"/>
      <c r="BF79" s="3"/>
    </row>
    <row r="80" spans="1:58" x14ac:dyDescent="0.25">
      <c r="A80" s="4">
        <v>2020</v>
      </c>
      <c r="B80" s="4" t="s">
        <v>18</v>
      </c>
      <c r="C80" s="4" t="s">
        <v>23</v>
      </c>
      <c r="D80" s="4" t="s">
        <v>62</v>
      </c>
      <c r="E80" t="s">
        <v>251</v>
      </c>
      <c r="F80" t="s">
        <v>64</v>
      </c>
      <c r="G80" s="4">
        <v>1</v>
      </c>
      <c r="H80" s="4" t="s">
        <v>32</v>
      </c>
      <c r="I80" s="4" t="s">
        <v>53</v>
      </c>
      <c r="J80" s="12">
        <v>0.40930715649976673</v>
      </c>
      <c r="K80" s="6">
        <f t="shared" si="87"/>
        <v>294.36788997679997</v>
      </c>
      <c r="L80" s="6"/>
      <c r="M80" s="6"/>
      <c r="N80" s="7">
        <v>20.062789054</v>
      </c>
      <c r="O80" s="7">
        <v>19.890606762000001</v>
      </c>
      <c r="P80" s="7">
        <v>108.820063382</v>
      </c>
      <c r="Q80" s="7">
        <v>19.08993667899998</v>
      </c>
      <c r="R80" s="7">
        <v>37.871036064500004</v>
      </c>
      <c r="S80" s="7">
        <v>34.185794033899981</v>
      </c>
      <c r="T80" s="7">
        <v>50.679114024600011</v>
      </c>
      <c r="U80" s="6">
        <v>3.7685499767999997</v>
      </c>
      <c r="V80" s="6">
        <v>5.246E-2</v>
      </c>
      <c r="W80" s="6">
        <v>3672.1735392800001</v>
      </c>
      <c r="X80" s="6">
        <v>188.66048093487998</v>
      </c>
      <c r="Y80" s="6">
        <v>109.87865385616</v>
      </c>
      <c r="Z80" s="6">
        <v>110.51737877991999</v>
      </c>
      <c r="AA80" s="6">
        <v>13.609659621208001</v>
      </c>
      <c r="AB80" s="6">
        <f t="shared" si="88"/>
        <v>4094.8921724721677</v>
      </c>
      <c r="AC80" s="7">
        <v>262.37274640499999</v>
      </c>
      <c r="AD80" s="7">
        <v>264.73750124499998</v>
      </c>
      <c r="AE80" s="7">
        <v>1464.3413484470002</v>
      </c>
      <c r="AF80" s="7">
        <v>249.34066481699944</v>
      </c>
      <c r="AG80" s="7">
        <v>690.88280024699998</v>
      </c>
      <c r="AH80" s="7">
        <v>412.41438286950006</v>
      </c>
      <c r="AI80" s="7">
        <v>699.16633596950032</v>
      </c>
      <c r="AJ80" s="6">
        <v>51.636392472167991</v>
      </c>
      <c r="AK80" s="6">
        <f t="shared" si="89"/>
        <v>4094.8921724721681</v>
      </c>
      <c r="AL80" s="3">
        <f t="shared" si="86"/>
        <v>40.082773689651411</v>
      </c>
      <c r="AM80" s="3">
        <f t="shared" si="90"/>
        <v>1.3939595072119779</v>
      </c>
      <c r="AN80" s="42">
        <f t="shared" si="73"/>
        <v>21.521428595872358</v>
      </c>
      <c r="AP80" s="3">
        <f t="shared" si="67"/>
        <v>68.140715272407391</v>
      </c>
      <c r="AQ80" s="44"/>
      <c r="AR80" s="42">
        <f t="shared" si="74"/>
        <v>29.626397944524957</v>
      </c>
      <c r="AS80" s="44"/>
      <c r="AT80" s="3"/>
      <c r="AU80" s="42"/>
      <c r="AV80" s="3"/>
      <c r="AW80" s="3">
        <f t="shared" si="75"/>
        <v>45.808884216744481</v>
      </c>
      <c r="AX80" s="3"/>
      <c r="AY80" s="42">
        <f t="shared" si="76"/>
        <v>35.629132168579034</v>
      </c>
      <c r="AZ80" s="3"/>
      <c r="BA80" s="3">
        <f t="shared" si="77"/>
        <v>17.934523829893632</v>
      </c>
      <c r="BB80" s="42"/>
      <c r="BC80" s="48"/>
      <c r="BD80" s="3">
        <f t="shared" si="78"/>
        <v>48.099328427581689</v>
      </c>
      <c r="BE80" s="3"/>
      <c r="BF80" s="3"/>
    </row>
    <row r="81" spans="1:58" x14ac:dyDescent="0.25">
      <c r="A81" s="4">
        <v>2020</v>
      </c>
      <c r="B81" s="4" t="s">
        <v>18</v>
      </c>
      <c r="C81" s="4" t="s">
        <v>28</v>
      </c>
      <c r="D81" s="4" t="s">
        <v>63</v>
      </c>
      <c r="E81" t="s">
        <v>252</v>
      </c>
      <c r="F81" t="s">
        <v>64</v>
      </c>
      <c r="G81" s="4">
        <v>1</v>
      </c>
      <c r="H81" s="4" t="s">
        <v>32</v>
      </c>
      <c r="I81" s="4" t="s">
        <v>57</v>
      </c>
      <c r="J81" s="12">
        <v>2.9976801670557808E-2</v>
      </c>
      <c r="K81" s="6">
        <f t="shared" si="87"/>
        <v>214.8609609403</v>
      </c>
      <c r="L81" s="6"/>
      <c r="M81" s="6"/>
      <c r="N81" s="7">
        <v>14.198119551</v>
      </c>
      <c r="O81" s="7">
        <v>11.892237382999999</v>
      </c>
      <c r="P81" s="7">
        <v>66.295943603000012</v>
      </c>
      <c r="Q81" s="7">
        <v>11.039195375999984</v>
      </c>
      <c r="R81" s="7">
        <v>34.942426785500004</v>
      </c>
      <c r="S81" s="7">
        <v>23.744273873899999</v>
      </c>
      <c r="T81" s="7">
        <v>48.934873427599996</v>
      </c>
      <c r="U81" s="6">
        <v>3.8138909403000003</v>
      </c>
      <c r="V81" s="6">
        <v>4.7120000000000002E-2</v>
      </c>
      <c r="W81" s="6">
        <v>3453.6130538799998</v>
      </c>
      <c r="X81" s="6">
        <v>55.459643953980006</v>
      </c>
      <c r="Y81" s="6">
        <v>108.45418157986001</v>
      </c>
      <c r="Z81" s="6">
        <v>71.911400040570001</v>
      </c>
      <c r="AA81" s="6">
        <v>13.231421539143</v>
      </c>
      <c r="AB81" s="6">
        <f t="shared" si="88"/>
        <v>3702.716820993553</v>
      </c>
      <c r="AC81" s="7">
        <v>231.94644988900001</v>
      </c>
      <c r="AD81" s="7">
        <v>226.39591313700001</v>
      </c>
      <c r="AE81" s="7">
        <v>1260.4941890699999</v>
      </c>
      <c r="AF81" s="7">
        <v>207.5728876310003</v>
      </c>
      <c r="AG81" s="7">
        <v>675.6893037149996</v>
      </c>
      <c r="AH81" s="7">
        <v>358.24325772519978</v>
      </c>
      <c r="AI81" s="7">
        <v>690.11716883280042</v>
      </c>
      <c r="AJ81" s="6">
        <v>52.257650993553007</v>
      </c>
      <c r="AK81" s="6">
        <f t="shared" si="89"/>
        <v>3702.7168209935535</v>
      </c>
      <c r="AL81" s="3">
        <f t="shared" si="86"/>
        <v>29.256666794703158</v>
      </c>
      <c r="AM81" s="3">
        <f t="shared" si="90"/>
        <v>1.2604574425268962</v>
      </c>
      <c r="AN81" s="42">
        <f t="shared" si="73"/>
        <v>23.800882907920826</v>
      </c>
      <c r="AP81" s="3">
        <f t="shared" si="67"/>
        <v>49.736333550995369</v>
      </c>
      <c r="AQ81" s="44"/>
      <c r="AR81" s="42">
        <f t="shared" si="74"/>
        <v>21.624492848258857</v>
      </c>
      <c r="AS81" s="44"/>
      <c r="AT81" s="3"/>
      <c r="AU81" s="42"/>
      <c r="AV81" s="3"/>
      <c r="AW81" s="3">
        <f t="shared" si="75"/>
        <v>33.436190622517898</v>
      </c>
      <c r="AX81" s="3"/>
      <c r="AY81" s="42">
        <f t="shared" si="76"/>
        <v>26.005926039736142</v>
      </c>
      <c r="AZ81" s="3"/>
      <c r="BA81" s="3">
        <f t="shared" si="77"/>
        <v>19.834069089934022</v>
      </c>
      <c r="BB81" s="42"/>
      <c r="BC81" s="48"/>
      <c r="BD81" s="3">
        <f t="shared" si="78"/>
        <v>35.108000153643786</v>
      </c>
      <c r="BE81" s="3"/>
      <c r="BF81" s="3"/>
    </row>
    <row r="82" spans="1:58" x14ac:dyDescent="0.25">
      <c r="A82" s="4">
        <v>2020</v>
      </c>
      <c r="B82" s="4" t="s">
        <v>18</v>
      </c>
      <c r="C82" s="4" t="s">
        <v>29</v>
      </c>
      <c r="D82" s="4" t="s">
        <v>63</v>
      </c>
      <c r="E82" t="s">
        <v>253</v>
      </c>
      <c r="F82" t="s">
        <v>64</v>
      </c>
      <c r="G82" s="4">
        <v>1</v>
      </c>
      <c r="H82" s="4" t="s">
        <v>32</v>
      </c>
      <c r="I82" s="4" t="s">
        <v>58</v>
      </c>
      <c r="J82" s="12">
        <v>0.17811008035514522</v>
      </c>
      <c r="K82" s="6">
        <f t="shared" si="87"/>
        <v>254.46557418950002</v>
      </c>
      <c r="L82" s="6"/>
      <c r="M82" s="6"/>
      <c r="N82" s="7">
        <v>17.203104457000002</v>
      </c>
      <c r="O82" s="7">
        <v>15.858414010999997</v>
      </c>
      <c r="P82" s="7">
        <v>87.382539410000007</v>
      </c>
      <c r="Q82" s="7">
        <v>15.164282140999994</v>
      </c>
      <c r="R82" s="7">
        <v>36.443005320500021</v>
      </c>
      <c r="S82" s="7">
        <v>29.094368359299949</v>
      </c>
      <c r="T82" s="7">
        <v>49.82860630120004</v>
      </c>
      <c r="U82" s="6">
        <v>3.4912541894999998</v>
      </c>
      <c r="V82" s="6">
        <v>4.9419999999999999E-2</v>
      </c>
      <c r="W82" s="6">
        <v>3411.9078942000001</v>
      </c>
      <c r="X82" s="6">
        <v>80.026912470699997</v>
      </c>
      <c r="Y82" s="6">
        <v>112.2016647249</v>
      </c>
      <c r="Z82" s="6">
        <v>73.065737070049991</v>
      </c>
      <c r="AA82" s="6">
        <v>28.258227680994999</v>
      </c>
      <c r="AB82" s="6">
        <f t="shared" si="88"/>
        <v>3705.5098561466452</v>
      </c>
      <c r="AC82" s="7">
        <v>234.48628949899998</v>
      </c>
      <c r="AD82" s="7">
        <v>225.54763976700002</v>
      </c>
      <c r="AE82" s="7">
        <v>1255.9847474870005</v>
      </c>
      <c r="AF82" s="7">
        <v>211.05953304799931</v>
      </c>
      <c r="AG82" s="7">
        <v>676.95719558250016</v>
      </c>
      <c r="AH82" s="7">
        <v>362.76500824150025</v>
      </c>
      <c r="AI82" s="7">
        <v>690.87253637499998</v>
      </c>
      <c r="AJ82" s="6">
        <v>47.836906146645006</v>
      </c>
      <c r="AK82" s="6">
        <f t="shared" si="89"/>
        <v>3705.5098561466452</v>
      </c>
      <c r="AL82" s="3">
        <f t="shared" si="86"/>
        <v>34.649451823188997</v>
      </c>
      <c r="AM82" s="3">
        <f t="shared" si="90"/>
        <v>1.2614082313979202</v>
      </c>
      <c r="AN82" s="42">
        <f t="shared" si="73"/>
        <v>23.782942946831213</v>
      </c>
      <c r="AP82" s="3">
        <f t="shared" si="67"/>
        <v>58.904068099421295</v>
      </c>
      <c r="AQ82" s="44"/>
      <c r="AR82" s="42">
        <f t="shared" si="74"/>
        <v>25.610464391052737</v>
      </c>
      <c r="AS82" s="44"/>
      <c r="AT82" s="3"/>
      <c r="AU82" s="42"/>
      <c r="AV82" s="3"/>
      <c r="AW82" s="3">
        <f t="shared" si="75"/>
        <v>39.599373512215998</v>
      </c>
      <c r="AX82" s="3"/>
      <c r="AY82" s="42">
        <f t="shared" si="76"/>
        <v>30.799512731723553</v>
      </c>
      <c r="AZ82" s="3"/>
      <c r="BA82" s="3">
        <f t="shared" si="77"/>
        <v>19.819119122359343</v>
      </c>
      <c r="BB82" s="42"/>
      <c r="BC82" s="48"/>
      <c r="BD82" s="3">
        <f t="shared" si="78"/>
        <v>41.579342187826796</v>
      </c>
      <c r="BE82" s="3"/>
      <c r="BF82" s="3"/>
    </row>
    <row r="83" spans="1:58" x14ac:dyDescent="0.25">
      <c r="A83" s="4">
        <v>2020</v>
      </c>
      <c r="B83" s="4" t="s">
        <v>18</v>
      </c>
      <c r="C83" s="4" t="s">
        <v>30</v>
      </c>
      <c r="D83" s="4" t="s">
        <v>62</v>
      </c>
      <c r="E83" t="s">
        <v>254</v>
      </c>
      <c r="F83" t="s">
        <v>64</v>
      </c>
      <c r="G83" s="4">
        <v>1</v>
      </c>
      <c r="H83" s="4" t="s">
        <v>32</v>
      </c>
      <c r="I83" s="4" t="s">
        <v>59</v>
      </c>
      <c r="J83" s="12">
        <v>0.22132949085655271</v>
      </c>
      <c r="K83" s="6">
        <f t="shared" si="87"/>
        <v>248.48379460825001</v>
      </c>
      <c r="L83" s="6"/>
      <c r="M83" s="6"/>
      <c r="N83" s="7">
        <v>16.766713964000001</v>
      </c>
      <c r="O83" s="7">
        <v>15.258113071999999</v>
      </c>
      <c r="P83" s="7">
        <v>84.190978854999997</v>
      </c>
      <c r="Q83" s="7">
        <v>14.565232597999998</v>
      </c>
      <c r="R83" s="7">
        <v>36.225096372499991</v>
      </c>
      <c r="S83" s="7">
        <v>28.317414991200025</v>
      </c>
      <c r="T83" s="7">
        <v>49.698820147299983</v>
      </c>
      <c r="U83" s="6">
        <v>3.4614246082499998</v>
      </c>
      <c r="V83" s="6">
        <v>4.9000000000000002E-2</v>
      </c>
      <c r="W83" s="6">
        <v>3039.1741117000001</v>
      </c>
      <c r="X83" s="6">
        <v>301.79799048445</v>
      </c>
      <c r="Y83" s="6">
        <v>108.31320569615001</v>
      </c>
      <c r="Z83" s="6">
        <v>90.920241240675011</v>
      </c>
      <c r="AA83" s="6">
        <v>15.9570843139325</v>
      </c>
      <c r="AB83" s="6">
        <f t="shared" si="88"/>
        <v>3556.2116334352077</v>
      </c>
      <c r="AC83" s="7">
        <v>224.18184673500002</v>
      </c>
      <c r="AD83" s="7">
        <v>210.05143081499997</v>
      </c>
      <c r="AE83" s="7">
        <v>1173.5977944030003</v>
      </c>
      <c r="AF83" s="7">
        <v>196.91419820299978</v>
      </c>
      <c r="AG83" s="7">
        <v>671.81140807149995</v>
      </c>
      <c r="AH83" s="7">
        <v>344.41891400149962</v>
      </c>
      <c r="AI83" s="7">
        <v>687.80785777100027</v>
      </c>
      <c r="AJ83" s="6">
        <v>47.428183435207501</v>
      </c>
      <c r="AK83" s="6">
        <f t="shared" si="89"/>
        <v>3556.2116334352072</v>
      </c>
      <c r="AL83" s="3">
        <f t="shared" si="86"/>
        <v>33.834939352975219</v>
      </c>
      <c r="AM83" s="3">
        <f t="shared" si="90"/>
        <v>1.2105849940102513</v>
      </c>
      <c r="AN83" s="42">
        <f t="shared" si="73"/>
        <v>24.7814074587364</v>
      </c>
      <c r="AP83" s="3">
        <f t="shared" si="67"/>
        <v>57.51939690005787</v>
      </c>
      <c r="AQ83" s="44"/>
      <c r="AR83" s="42">
        <f t="shared" si="74"/>
        <v>25.00843343480777</v>
      </c>
      <c r="AS83" s="44"/>
      <c r="AT83" s="3"/>
      <c r="AU83" s="42"/>
      <c r="AV83" s="3"/>
      <c r="AW83" s="3">
        <f t="shared" si="75"/>
        <v>38.668502117685968</v>
      </c>
      <c r="AX83" s="3"/>
      <c r="AY83" s="42">
        <f t="shared" si="76"/>
        <v>30.075501647089084</v>
      </c>
      <c r="AZ83" s="3"/>
      <c r="BA83" s="3">
        <f t="shared" si="77"/>
        <v>20.651172882280335</v>
      </c>
      <c r="BB83" s="42"/>
      <c r="BC83" s="48"/>
      <c r="BD83" s="3">
        <f t="shared" si="78"/>
        <v>40.601927223570264</v>
      </c>
      <c r="BE83" s="3"/>
      <c r="BF83" s="3"/>
    </row>
    <row r="84" spans="1:58" x14ac:dyDescent="0.25">
      <c r="A84" s="4">
        <v>2020</v>
      </c>
      <c r="B84" s="4" t="s">
        <v>18</v>
      </c>
      <c r="C84" s="4"/>
      <c r="I84" s="4"/>
      <c r="J84" s="4"/>
      <c r="K84" s="10">
        <f>$J78*K78+$J79*K79+$J80*K80+$J81*K81+$J82*K82+$J83*K83</f>
        <v>270.40779834577364</v>
      </c>
      <c r="L84" s="10"/>
      <c r="M84" s="10"/>
      <c r="N84" s="6">
        <f>$J78*N78+$J79*N79+$J80*N80+$J81*N81+$J82*N82+$J83*N83</f>
        <v>18.334358982414617</v>
      </c>
      <c r="O84" s="6">
        <f t="shared" ref="O84:AK84" si="91">$J78*O78+$J79*O79+$J80*O80+$J81*O81+$J82*O82+$J83*O83</f>
        <v>17.494025151546012</v>
      </c>
      <c r="P84" s="6">
        <f t="shared" si="91"/>
        <v>96.078410418771909</v>
      </c>
      <c r="Q84" s="6">
        <f t="shared" si="91"/>
        <v>16.717222586823418</v>
      </c>
      <c r="R84" s="6">
        <f t="shared" si="91"/>
        <v>37.007921637165225</v>
      </c>
      <c r="S84" s="6">
        <f t="shared" si="91"/>
        <v>31.11135907420746</v>
      </c>
      <c r="T84" s="6">
        <f t="shared" si="91"/>
        <v>50.165055608493219</v>
      </c>
      <c r="U84" s="6">
        <f t="shared" si="91"/>
        <v>3.4994448863518062</v>
      </c>
      <c r="V84" s="6">
        <f t="shared" si="91"/>
        <v>5.1015691323015797E-2</v>
      </c>
      <c r="W84" s="6">
        <f t="shared" si="91"/>
        <v>3398.7531811630042</v>
      </c>
      <c r="X84" s="6">
        <f t="shared" si="91"/>
        <v>179.26165625868941</v>
      </c>
      <c r="Y84" s="6">
        <f t="shared" si="91"/>
        <v>196.98759965837431</v>
      </c>
      <c r="Z84" s="6">
        <f t="shared" si="91"/>
        <v>100.45212263770819</v>
      </c>
      <c r="AA84" s="6">
        <f t="shared" si="91"/>
        <v>20.611527251783045</v>
      </c>
      <c r="AB84" s="10">
        <f t="shared" si="91"/>
        <v>3896.1171026608827</v>
      </c>
      <c r="AC84" s="6">
        <f t="shared" si="91"/>
        <v>248.21383881908105</v>
      </c>
      <c r="AD84" s="6">
        <f t="shared" si="91"/>
        <v>244.94772667732289</v>
      </c>
      <c r="AE84" s="6">
        <f t="shared" si="91"/>
        <v>1359.1271289478959</v>
      </c>
      <c r="AF84" s="6">
        <f t="shared" si="91"/>
        <v>229.90403843901709</v>
      </c>
      <c r="AG84" s="6">
        <f t="shared" si="91"/>
        <v>683.81230932220751</v>
      </c>
      <c r="AH84" s="6">
        <f t="shared" si="91"/>
        <v>387.20763186118666</v>
      </c>
      <c r="AI84" s="6">
        <f t="shared" si="91"/>
        <v>694.95529412632504</v>
      </c>
      <c r="AJ84" s="6">
        <f t="shared" si="91"/>
        <v>47.949134467846548</v>
      </c>
      <c r="AK84" s="10">
        <f t="shared" si="91"/>
        <v>3896.1171026608827</v>
      </c>
      <c r="AL84" s="41">
        <f t="shared" si="86"/>
        <v>36.820233979544341</v>
      </c>
      <c r="AM84" s="41">
        <f t="shared" si="90"/>
        <v>1.3262936477241847</v>
      </c>
      <c r="AN84" s="43">
        <f t="shared" si="73"/>
        <v>22.619425231718207</v>
      </c>
      <c r="AP84" s="41">
        <f t="shared" si="67"/>
        <v>62.594397765225381</v>
      </c>
      <c r="AQ84" s="53"/>
      <c r="AR84" s="43">
        <f t="shared" si="74"/>
        <v>27.214955550097994</v>
      </c>
      <c r="AS84" s="53"/>
      <c r="AT84" s="41"/>
      <c r="AU84" s="43"/>
      <c r="AV84" s="41"/>
      <c r="AW84" s="41">
        <f t="shared" si="75"/>
        <v>42.080267405193538</v>
      </c>
      <c r="AX84" s="41"/>
      <c r="AY84" s="43">
        <f t="shared" si="76"/>
        <v>32.72909687070608</v>
      </c>
      <c r="AZ84" s="41"/>
      <c r="BA84" s="41">
        <f t="shared" si="77"/>
        <v>18.849521026431841</v>
      </c>
      <c r="BB84" s="43"/>
      <c r="BC84" s="54"/>
      <c r="BD84" s="41">
        <f t="shared" si="78"/>
        <v>44.18428077545321</v>
      </c>
      <c r="BE84" s="3"/>
      <c r="BF84" s="3"/>
    </row>
    <row r="85" spans="1:58" x14ac:dyDescent="0.25">
      <c r="A85" s="4">
        <v>2020</v>
      </c>
      <c r="B85" s="4" t="s">
        <v>47</v>
      </c>
      <c r="C85" s="4" t="s">
        <v>48</v>
      </c>
      <c r="D85" s="4" t="s">
        <v>63</v>
      </c>
      <c r="E85" t="s">
        <v>255</v>
      </c>
      <c r="F85" t="s">
        <v>64</v>
      </c>
      <c r="G85" s="4">
        <v>1</v>
      </c>
      <c r="H85" s="4" t="s">
        <v>32</v>
      </c>
      <c r="I85" s="4" t="s">
        <v>48</v>
      </c>
      <c r="J85" s="9">
        <v>1</v>
      </c>
      <c r="K85" s="10">
        <f>SUM(N85:U85)</f>
        <v>208.52081000000001</v>
      </c>
      <c r="L85" s="10"/>
      <c r="M85" s="10" t="s">
        <v>278</v>
      </c>
      <c r="N85" s="7">
        <v>14.098968036999999</v>
      </c>
      <c r="O85" s="7">
        <v>11.575782761000001</v>
      </c>
      <c r="P85" s="7">
        <v>64.616277489000012</v>
      </c>
      <c r="Q85" s="7">
        <v>10.903092935999986</v>
      </c>
      <c r="R85" s="7">
        <v>34.879900426499972</v>
      </c>
      <c r="S85" s="7">
        <v>23.541395397200006</v>
      </c>
      <c r="T85" s="7">
        <v>48.905392953300037</v>
      </c>
      <c r="U85" s="70"/>
      <c r="V85" s="7">
        <v>4.8930000000000001E-2</v>
      </c>
      <c r="W85" s="7">
        <v>2732.0732200000002</v>
      </c>
      <c r="X85" s="7">
        <v>117.90004999999999</v>
      </c>
      <c r="Y85" s="7">
        <v>708.20600999999999</v>
      </c>
      <c r="Z85" s="7">
        <v>95.146420000000006</v>
      </c>
      <c r="AA85" s="7">
        <v>94.817459999999997</v>
      </c>
      <c r="AB85" s="10">
        <f>SUM(V85:AA85)</f>
        <v>3748.1920900000005</v>
      </c>
      <c r="AC85" s="7">
        <v>240.61605899099999</v>
      </c>
      <c r="AD85" s="7">
        <v>235.09313122299997</v>
      </c>
      <c r="AE85" s="7">
        <v>1306.7427881459998</v>
      </c>
      <c r="AF85" s="7">
        <v>219.47415188000036</v>
      </c>
      <c r="AG85" s="7">
        <v>679.97774439899945</v>
      </c>
      <c r="AH85" s="7">
        <v>373.59259968200058</v>
      </c>
      <c r="AI85" s="7">
        <v>692.69561567900018</v>
      </c>
      <c r="AJ85" s="6"/>
      <c r="AK85" s="10">
        <f t="shared" ref="AK85:AK91" si="92">SUM(AC85:AJ85)</f>
        <v>3748.1920900000005</v>
      </c>
      <c r="AL85" s="41">
        <f t="shared" si="86"/>
        <v>28.393356481481479</v>
      </c>
      <c r="AM85" s="41">
        <f t="shared" si="90"/>
        <v>1.2759378705588482</v>
      </c>
      <c r="AN85" s="43">
        <f t="shared" si="73"/>
        <v>23.512116610239254</v>
      </c>
      <c r="AP85" s="41">
        <f t="shared" si="67"/>
        <v>48.268706018518522</v>
      </c>
      <c r="AQ85" s="53"/>
      <c r="AR85" s="43">
        <f t="shared" si="74"/>
        <v>20.986393921095008</v>
      </c>
      <c r="AS85" s="53"/>
      <c r="AT85" s="41"/>
      <c r="AU85" s="43"/>
      <c r="AV85" s="41"/>
      <c r="AW85" s="41">
        <f t="shared" si="75"/>
        <v>32.449550264550268</v>
      </c>
      <c r="AX85" s="41"/>
      <c r="AY85" s="43">
        <f t="shared" si="76"/>
        <v>25.238539094650207</v>
      </c>
      <c r="AZ85" s="41"/>
      <c r="BA85" s="41">
        <f t="shared" si="77"/>
        <v>19.593430508532713</v>
      </c>
      <c r="BB85" s="43"/>
      <c r="BC85" s="54"/>
      <c r="BD85" s="41">
        <f t="shared" si="78"/>
        <v>34.072027777777777</v>
      </c>
      <c r="BE85" s="3"/>
      <c r="BF85" s="3"/>
    </row>
    <row r="86" spans="1:58" x14ac:dyDescent="0.25">
      <c r="A86" s="4">
        <v>2025</v>
      </c>
      <c r="B86" s="4" t="s">
        <v>47</v>
      </c>
      <c r="C86" s="4" t="s">
        <v>48</v>
      </c>
      <c r="D86" s="4" t="s">
        <v>63</v>
      </c>
      <c r="E86" t="s">
        <v>256</v>
      </c>
      <c r="F86" t="s">
        <v>64</v>
      </c>
      <c r="G86" s="4">
        <v>1</v>
      </c>
      <c r="H86" s="4" t="s">
        <v>32</v>
      </c>
      <c r="I86" s="4" t="s">
        <v>48</v>
      </c>
      <c r="J86" s="9">
        <v>1</v>
      </c>
      <c r="K86" s="6">
        <f t="shared" ref="K86:K91" si="93">SUM(N86:U86)</f>
        <v>196.11123000000001</v>
      </c>
      <c r="L86" s="6" t="s">
        <v>276</v>
      </c>
      <c r="M86" s="100">
        <f>1-K86/$K$84</f>
        <v>0.27475749146394712</v>
      </c>
      <c r="N86" s="7">
        <v>13.20805871</v>
      </c>
      <c r="O86" s="7">
        <v>10.30933783</v>
      </c>
      <c r="P86" s="7">
        <v>57.883108959000012</v>
      </c>
      <c r="Q86" s="7">
        <v>9.6800939079999822</v>
      </c>
      <c r="R86" s="7">
        <v>34.434997794500006</v>
      </c>
      <c r="S86" s="7">
        <v>21.955207567499983</v>
      </c>
      <c r="T86" s="7">
        <v>48.640425231000023</v>
      </c>
      <c r="U86" s="6"/>
      <c r="V86" s="7">
        <v>4.8840000000000001E-2</v>
      </c>
      <c r="W86" s="7">
        <v>2576.1116499999998</v>
      </c>
      <c r="X86" s="7">
        <v>116.44686</v>
      </c>
      <c r="Y86" s="7">
        <v>642.08975999999996</v>
      </c>
      <c r="Z86" s="7">
        <v>94.146780000000007</v>
      </c>
      <c r="AA86" s="7">
        <v>149.31589</v>
      </c>
      <c r="AB86" s="6">
        <f t="shared" ref="AB86:AB90" si="94">SUM(V86:AA86)</f>
        <v>3578.1597799999995</v>
      </c>
      <c r="AC86" s="7">
        <v>228.38318695500001</v>
      </c>
      <c r="AD86" s="7">
        <v>217.76094349499999</v>
      </c>
      <c r="AE86" s="7">
        <v>1214.594585629</v>
      </c>
      <c r="AF86" s="7">
        <v>202.68152124800028</v>
      </c>
      <c r="AG86" s="7">
        <v>673.86902634149988</v>
      </c>
      <c r="AH86" s="7">
        <v>351.81311696119974</v>
      </c>
      <c r="AI86" s="7">
        <v>689.05739937029966</v>
      </c>
      <c r="AJ86" s="6"/>
      <c r="AK86" s="6">
        <f t="shared" si="92"/>
        <v>3578.1597799999995</v>
      </c>
      <c r="AL86" s="3">
        <f t="shared" si="86"/>
        <v>26.703598856209151</v>
      </c>
      <c r="AM86" s="3">
        <f t="shared" si="90"/>
        <v>1.2180564551088724</v>
      </c>
      <c r="AN86" s="42">
        <f t="shared" si="73"/>
        <v>24.629400282861717</v>
      </c>
      <c r="AP86" s="3">
        <f t="shared" si="67"/>
        <v>45.396118055555554</v>
      </c>
      <c r="AQ86" s="44"/>
      <c r="AR86" s="42">
        <f t="shared" si="74"/>
        <v>19.737442632850239</v>
      </c>
      <c r="AS86" s="44"/>
      <c r="AT86" s="3">
        <f t="shared" ref="AT86:AT91" si="95">AM86/$AU$3*$AT$3</f>
        <v>2.8421317285873688</v>
      </c>
      <c r="AU86" s="42"/>
      <c r="AV86" s="3"/>
      <c r="AW86" s="3">
        <f t="shared" si="75"/>
        <v>30.518398692810461</v>
      </c>
      <c r="AX86" s="3"/>
      <c r="AY86" s="42">
        <f t="shared" si="76"/>
        <v>23.736532316630356</v>
      </c>
      <c r="AZ86" s="3"/>
      <c r="BA86" s="3">
        <f t="shared" si="77"/>
        <v>20.524500235718097</v>
      </c>
      <c r="BB86" s="42"/>
      <c r="BC86" s="48"/>
      <c r="BD86" s="3">
        <f t="shared" si="78"/>
        <v>32.044318627450984</v>
      </c>
      <c r="BE86" s="3"/>
      <c r="BF86" s="3">
        <f>AL86*BE$63/BF$63</f>
        <v>22.888799019607845</v>
      </c>
    </row>
    <row r="87" spans="1:58" x14ac:dyDescent="0.25">
      <c r="A87" s="4">
        <v>2030</v>
      </c>
      <c r="B87" s="4" t="s">
        <v>47</v>
      </c>
      <c r="C87" s="4" t="s">
        <v>48</v>
      </c>
      <c r="D87" s="4" t="s">
        <v>63</v>
      </c>
      <c r="E87" t="s">
        <v>257</v>
      </c>
      <c r="F87" t="s">
        <v>64</v>
      </c>
      <c r="G87" s="4">
        <v>1</v>
      </c>
      <c r="H87" s="4" t="s">
        <v>32</v>
      </c>
      <c r="I87" s="4" t="s">
        <v>48</v>
      </c>
      <c r="J87" s="9">
        <v>1</v>
      </c>
      <c r="K87" s="6">
        <f t="shared" si="93"/>
        <v>193.45545000000001</v>
      </c>
      <c r="L87" s="6" t="s">
        <v>277</v>
      </c>
      <c r="M87" s="100">
        <f t="shared" ref="M87:M91" si="96">1-K87/$K$84</f>
        <v>0.28457887981238528</v>
      </c>
      <c r="N87" s="7">
        <v>13.014305766</v>
      </c>
      <c r="O87" s="7">
        <v>10.040721818</v>
      </c>
      <c r="P87" s="7">
        <v>56.454993017</v>
      </c>
      <c r="Q87" s="7">
        <v>9.4141204279999986</v>
      </c>
      <c r="R87" s="7">
        <v>34.338255376499987</v>
      </c>
      <c r="S87" s="7">
        <v>21.610257222600026</v>
      </c>
      <c r="T87" s="7">
        <v>48.582796371900002</v>
      </c>
      <c r="U87" s="6"/>
      <c r="V87" s="7">
        <v>4.888E-2</v>
      </c>
      <c r="W87" s="7">
        <v>2545.0936299999998</v>
      </c>
      <c r="X87" s="7">
        <v>114.61763000000001</v>
      </c>
      <c r="Y87" s="7">
        <v>547.12072000000001</v>
      </c>
      <c r="Z87" s="7">
        <v>93.237610000000004</v>
      </c>
      <c r="AA87" s="7">
        <v>156.19871000000001</v>
      </c>
      <c r="AB87" s="6">
        <f t="shared" si="94"/>
        <v>3456.31718</v>
      </c>
      <c r="AC87" s="7">
        <v>219.58970325599998</v>
      </c>
      <c r="AD87" s="7">
        <v>205.36258001799999</v>
      </c>
      <c r="AE87" s="7">
        <v>1148.6775272140001</v>
      </c>
      <c r="AF87" s="7">
        <v>190.61029002699976</v>
      </c>
      <c r="AG87" s="7">
        <v>669.47785158450074</v>
      </c>
      <c r="AH87" s="7">
        <v>336.15710588559978</v>
      </c>
      <c r="AI87" s="7">
        <v>686.44212201489972</v>
      </c>
      <c r="AJ87" s="6"/>
      <c r="AK87" s="6">
        <f t="shared" si="92"/>
        <v>3456.31718</v>
      </c>
      <c r="AL87" s="3">
        <f t="shared" si="86"/>
        <v>26.341973039215688</v>
      </c>
      <c r="AM87" s="3">
        <f t="shared" si="90"/>
        <v>1.1765795019926963</v>
      </c>
      <c r="AN87" s="42">
        <f t="shared" si="73"/>
        <v>25.497639512834404</v>
      </c>
      <c r="AP87" s="3">
        <f t="shared" si="67"/>
        <v>44.781354166666674</v>
      </c>
      <c r="AQ87" s="44"/>
      <c r="AR87" s="42">
        <f t="shared" si="74"/>
        <v>19.470153985507249</v>
      </c>
      <c r="AS87" s="44"/>
      <c r="AT87" s="3">
        <f t="shared" si="95"/>
        <v>2.7453521713162914</v>
      </c>
      <c r="AU87" s="42"/>
      <c r="AV87" s="3"/>
      <c r="AW87" s="3">
        <f t="shared" si="75"/>
        <v>30.105112044817936</v>
      </c>
      <c r="AX87" s="3"/>
      <c r="AY87" s="42">
        <f t="shared" si="76"/>
        <v>23.415087145969505</v>
      </c>
      <c r="AZ87" s="3"/>
      <c r="BA87" s="3">
        <f t="shared" si="77"/>
        <v>21.248032927362004</v>
      </c>
      <c r="BB87" s="42"/>
      <c r="BC87" s="48"/>
      <c r="BD87" s="3">
        <f t="shared" si="78"/>
        <v>31.610367647058826</v>
      </c>
      <c r="BE87" s="3"/>
      <c r="BF87" s="3">
        <f t="shared" ref="BF87:BF91" si="97">AL87*BE$63/BF$63</f>
        <v>22.578834033613447</v>
      </c>
    </row>
    <row r="88" spans="1:58" x14ac:dyDescent="0.25">
      <c r="A88" s="4">
        <v>2035</v>
      </c>
      <c r="B88" s="4" t="s">
        <v>47</v>
      </c>
      <c r="C88" s="4" t="s">
        <v>48</v>
      </c>
      <c r="D88" s="4" t="s">
        <v>63</v>
      </c>
      <c r="E88" t="s">
        <v>258</v>
      </c>
      <c r="F88" t="s">
        <v>64</v>
      </c>
      <c r="G88" s="4">
        <v>1</v>
      </c>
      <c r="H88" s="4" t="s">
        <v>32</v>
      </c>
      <c r="I88" s="4" t="s">
        <v>48</v>
      </c>
      <c r="J88" s="9">
        <v>1</v>
      </c>
      <c r="K88" s="10">
        <f t="shared" si="93"/>
        <v>188.73500000000001</v>
      </c>
      <c r="L88" s="6" t="s">
        <v>279</v>
      </c>
      <c r="M88" s="100">
        <f t="shared" si="96"/>
        <v>0.30203566186111863</v>
      </c>
      <c r="N88" s="7">
        <v>12.673006269</v>
      </c>
      <c r="O88" s="7">
        <v>9.5608668669999997</v>
      </c>
      <c r="P88" s="7">
        <v>53.903800669000006</v>
      </c>
      <c r="Q88" s="7">
        <v>8.9455976089999858</v>
      </c>
      <c r="R88" s="7">
        <v>34.167827448500006</v>
      </c>
      <c r="S88" s="7">
        <v>21.002600755799975</v>
      </c>
      <c r="T88" s="7">
        <v>48.481300381700038</v>
      </c>
      <c r="U88" s="6"/>
      <c r="V88" s="7">
        <v>4.8860000000000001E-2</v>
      </c>
      <c r="W88" s="7">
        <v>2493.2341999999999</v>
      </c>
      <c r="X88" s="7">
        <v>112.27901</v>
      </c>
      <c r="Y88" s="7">
        <v>516.96056999999996</v>
      </c>
      <c r="Z88" s="7">
        <v>92.627769999999998</v>
      </c>
      <c r="AA88" s="7">
        <v>164.21232000000001</v>
      </c>
      <c r="AB88" s="10">
        <f t="shared" si="94"/>
        <v>3379.3627300000003</v>
      </c>
      <c r="AC88" s="7">
        <v>214.00519509600002</v>
      </c>
      <c r="AD88" s="7">
        <v>197.55593277799997</v>
      </c>
      <c r="AE88" s="7">
        <v>1107.172731484</v>
      </c>
      <c r="AF88" s="7">
        <v>182.94413385699968</v>
      </c>
      <c r="AG88" s="7">
        <v>666.68915981600048</v>
      </c>
      <c r="AH88" s="7">
        <v>326.21438019089965</v>
      </c>
      <c r="AI88" s="7">
        <v>684.78119677810037</v>
      </c>
      <c r="AJ88" s="6"/>
      <c r="AK88" s="10">
        <f t="shared" si="92"/>
        <v>3379.3627300000003</v>
      </c>
      <c r="AL88" s="41">
        <f t="shared" si="86"/>
        <v>25.699210239651418</v>
      </c>
      <c r="AM88" s="41">
        <f t="shared" si="90"/>
        <v>1.1503831132523779</v>
      </c>
      <c r="AN88" s="43">
        <f t="shared" si="73"/>
        <v>26.078268756209066</v>
      </c>
      <c r="AP88" s="41">
        <f t="shared" si="67"/>
        <v>43.688657407407412</v>
      </c>
      <c r="AQ88" s="53"/>
      <c r="AR88" s="43">
        <f t="shared" si="74"/>
        <v>18.995068438003223</v>
      </c>
      <c r="AS88" s="53"/>
      <c r="AT88" s="41">
        <f t="shared" si="95"/>
        <v>2.6842272642555485</v>
      </c>
      <c r="AU88" s="43"/>
      <c r="AV88" s="41"/>
      <c r="AW88" s="41">
        <f t="shared" si="75"/>
        <v>29.37052598817305</v>
      </c>
      <c r="AX88" s="41"/>
      <c r="AY88" s="43">
        <f t="shared" si="76"/>
        <v>22.843742435245705</v>
      </c>
      <c r="AZ88" s="41"/>
      <c r="BA88" s="41">
        <f t="shared" si="77"/>
        <v>21.73189063017422</v>
      </c>
      <c r="BB88" s="43"/>
      <c r="BC88" s="54"/>
      <c r="BD88" s="41">
        <f t="shared" si="78"/>
        <v>30.839052287581701</v>
      </c>
      <c r="BE88" s="41"/>
      <c r="BF88" s="41">
        <f t="shared" si="97"/>
        <v>22.027894491129786</v>
      </c>
    </row>
    <row r="89" spans="1:58" x14ac:dyDescent="0.25">
      <c r="A89" s="4">
        <v>2040</v>
      </c>
      <c r="B89" s="4" t="s">
        <v>47</v>
      </c>
      <c r="C89" s="4" t="s">
        <v>48</v>
      </c>
      <c r="D89" s="4" t="s">
        <v>62</v>
      </c>
      <c r="E89" t="s">
        <v>259</v>
      </c>
      <c r="F89" t="s">
        <v>64</v>
      </c>
      <c r="G89" s="4">
        <v>1</v>
      </c>
      <c r="H89" s="4" t="s">
        <v>32</v>
      </c>
      <c r="I89" s="4" t="s">
        <v>48</v>
      </c>
      <c r="J89" s="9">
        <v>1</v>
      </c>
      <c r="K89" s="6">
        <f t="shared" si="93"/>
        <v>186.24964</v>
      </c>
      <c r="L89" s="6" t="s">
        <v>280</v>
      </c>
      <c r="M89" s="100">
        <f t="shared" si="96"/>
        <v>0.31122681690621812</v>
      </c>
      <c r="N89" s="7">
        <v>12.493076364999999</v>
      </c>
      <c r="O89" s="7">
        <v>9.3084017750000001</v>
      </c>
      <c r="P89" s="7">
        <v>52.561542962000004</v>
      </c>
      <c r="Q89" s="7">
        <v>8.6986029810000094</v>
      </c>
      <c r="R89" s="7">
        <v>34.077973722999985</v>
      </c>
      <c r="S89" s="7">
        <v>20.682255318999992</v>
      </c>
      <c r="T89" s="7">
        <v>48.42778687500001</v>
      </c>
      <c r="U89" s="6"/>
      <c r="V89" s="7">
        <v>4.8809999999999999E-2</v>
      </c>
      <c r="W89" s="7">
        <v>2476.4509400000002</v>
      </c>
      <c r="X89" s="7">
        <v>109.71138999999999</v>
      </c>
      <c r="Y89" s="7">
        <v>489.59237999999999</v>
      </c>
      <c r="Z89" s="7">
        <v>91.341530000000006</v>
      </c>
      <c r="AA89" s="7">
        <v>163.10019</v>
      </c>
      <c r="AB89" s="6">
        <f t="shared" si="94"/>
        <v>3330.2452400000002</v>
      </c>
      <c r="AC89" s="7">
        <v>210.44514313899998</v>
      </c>
      <c r="AD89" s="7">
        <v>192.56980499700003</v>
      </c>
      <c r="AE89" s="7">
        <v>1080.6635133989998</v>
      </c>
      <c r="AF89" s="7">
        <v>178.05705701600007</v>
      </c>
      <c r="AG89" s="7">
        <v>664.91134497900021</v>
      </c>
      <c r="AH89" s="7">
        <v>319.87599253559983</v>
      </c>
      <c r="AI89" s="7">
        <v>683.72238393440011</v>
      </c>
      <c r="AJ89" s="6"/>
      <c r="AK89" s="6">
        <f t="shared" si="92"/>
        <v>3330.2452399999997</v>
      </c>
      <c r="AL89" s="3">
        <f t="shared" si="86"/>
        <v>25.360789760348585</v>
      </c>
      <c r="AM89" s="3">
        <f t="shared" si="90"/>
        <v>1.133662821417549</v>
      </c>
      <c r="AN89" s="42">
        <f t="shared" si="73"/>
        <v>26.462894816015531</v>
      </c>
      <c r="AP89" s="3">
        <f t="shared" si="67"/>
        <v>43.113342592592588</v>
      </c>
      <c r="AQ89" s="44"/>
      <c r="AR89" s="42">
        <f t="shared" si="74"/>
        <v>18.744931561996779</v>
      </c>
      <c r="AS89" s="44"/>
      <c r="AT89" s="3">
        <f t="shared" si="95"/>
        <v>2.6452132499742809</v>
      </c>
      <c r="AU89" s="42"/>
      <c r="AV89" s="3"/>
      <c r="AW89" s="3">
        <f t="shared" si="75"/>
        <v>28.98375972611267</v>
      </c>
      <c r="AX89" s="3"/>
      <c r="AY89" s="42">
        <f t="shared" si="76"/>
        <v>22.542924231420965</v>
      </c>
      <c r="AZ89" s="3"/>
      <c r="BA89" s="3">
        <f t="shared" si="77"/>
        <v>22.05241234667961</v>
      </c>
      <c r="BB89" s="42"/>
      <c r="BC89" s="48"/>
      <c r="BD89" s="3">
        <f t="shared" si="78"/>
        <v>30.432947712418304</v>
      </c>
      <c r="BE89" s="3"/>
      <c r="BF89" s="3">
        <f t="shared" si="97"/>
        <v>21.737819794584503</v>
      </c>
    </row>
    <row r="90" spans="1:58" x14ac:dyDescent="0.25">
      <c r="A90" s="4">
        <v>2045</v>
      </c>
      <c r="B90" s="4" t="s">
        <v>47</v>
      </c>
      <c r="C90" s="4" t="s">
        <v>48</v>
      </c>
      <c r="D90" s="4" t="s">
        <v>63</v>
      </c>
      <c r="E90" t="s">
        <v>260</v>
      </c>
      <c r="F90" t="s">
        <v>64</v>
      </c>
      <c r="G90" s="4">
        <v>1</v>
      </c>
      <c r="H90" s="4" t="s">
        <v>32</v>
      </c>
      <c r="I90" s="4" t="s">
        <v>48</v>
      </c>
      <c r="J90" s="9">
        <v>1</v>
      </c>
      <c r="K90" s="6">
        <f t="shared" si="93"/>
        <v>183.84117000000001</v>
      </c>
      <c r="L90" s="6" t="s">
        <v>281</v>
      </c>
      <c r="M90" s="100">
        <f t="shared" si="96"/>
        <v>0.32013362364305731</v>
      </c>
      <c r="N90" s="7">
        <v>12.319482020999999</v>
      </c>
      <c r="O90" s="7">
        <v>9.0631493829999989</v>
      </c>
      <c r="P90" s="7">
        <v>51.257632825000002</v>
      </c>
      <c r="Q90" s="7">
        <v>8.4602946669999923</v>
      </c>
      <c r="R90" s="7">
        <v>33.991286428500004</v>
      </c>
      <c r="S90" s="7">
        <v>20.373183015799995</v>
      </c>
      <c r="T90" s="7">
        <v>48.376141659700011</v>
      </c>
      <c r="U90" s="6"/>
      <c r="V90" s="7">
        <v>4.8770000000000001E-2</v>
      </c>
      <c r="W90" s="7">
        <v>2458.5765099999999</v>
      </c>
      <c r="X90" s="7">
        <v>106.66818000000001</v>
      </c>
      <c r="Y90" s="7">
        <v>472.36644999999999</v>
      </c>
      <c r="Z90" s="7">
        <v>90.297020000000003</v>
      </c>
      <c r="AA90" s="7">
        <v>159.37173999999999</v>
      </c>
      <c r="AB90" s="6">
        <f t="shared" si="94"/>
        <v>3287.3286699999999</v>
      </c>
      <c r="AC90" s="7">
        <v>207.345369616</v>
      </c>
      <c r="AD90" s="7">
        <v>188.20465451799998</v>
      </c>
      <c r="AE90" s="7">
        <v>1057.4557816880003</v>
      </c>
      <c r="AF90" s="7">
        <v>173.8018303749995</v>
      </c>
      <c r="AG90" s="7">
        <v>663.36341943700063</v>
      </c>
      <c r="AH90" s="7">
        <v>314.35714495129923</v>
      </c>
      <c r="AI90" s="7">
        <v>682.80046941470027</v>
      </c>
      <c r="AJ90" s="6"/>
      <c r="AK90" s="6">
        <f t="shared" si="92"/>
        <v>3287.3286699999999</v>
      </c>
      <c r="AL90" s="3">
        <f t="shared" si="86"/>
        <v>25.032839052287585</v>
      </c>
      <c r="AM90" s="3">
        <f t="shared" si="90"/>
        <v>1.1190534109010541</v>
      </c>
      <c r="AN90" s="42">
        <f t="shared" si="73"/>
        <v>26.808371886239286</v>
      </c>
      <c r="AP90" s="3">
        <f t="shared" si="67"/>
        <v>42.555826388888896</v>
      </c>
      <c r="AQ90" s="44"/>
      <c r="AR90" s="42">
        <f t="shared" si="74"/>
        <v>18.50253321256039</v>
      </c>
      <c r="AS90" s="44"/>
      <c r="AT90" s="3">
        <f t="shared" si="95"/>
        <v>2.6111246254357932</v>
      </c>
      <c r="AU90" s="42"/>
      <c r="AV90" s="3"/>
      <c r="AW90" s="3">
        <f t="shared" si="75"/>
        <v>28.608958916900104</v>
      </c>
      <c r="AX90" s="3"/>
      <c r="AY90" s="42">
        <f t="shared" si="76"/>
        <v>22.251412490922299</v>
      </c>
      <c r="AZ90" s="3"/>
      <c r="BA90" s="3">
        <f t="shared" si="77"/>
        <v>22.340309905199405</v>
      </c>
      <c r="BB90" s="42"/>
      <c r="BC90" s="48"/>
      <c r="BD90" s="3">
        <f t="shared" si="78"/>
        <v>30.0394068627451</v>
      </c>
      <c r="BE90" s="3"/>
      <c r="BF90" s="3">
        <f t="shared" si="97"/>
        <v>21.45671918767507</v>
      </c>
    </row>
    <row r="91" spans="1:58" x14ac:dyDescent="0.25">
      <c r="A91" s="4">
        <v>2050</v>
      </c>
      <c r="B91" s="4" t="s">
        <v>47</v>
      </c>
      <c r="C91" s="4" t="s">
        <v>48</v>
      </c>
      <c r="D91" s="4" t="s">
        <v>63</v>
      </c>
      <c r="E91" t="s">
        <v>261</v>
      </c>
      <c r="F91" t="s">
        <v>64</v>
      </c>
      <c r="G91" s="4">
        <v>1</v>
      </c>
      <c r="H91" s="4" t="s">
        <v>32</v>
      </c>
      <c r="I91" s="4" t="s">
        <v>48</v>
      </c>
      <c r="J91" s="9">
        <v>1</v>
      </c>
      <c r="K91" s="10">
        <f t="shared" si="93"/>
        <v>182.20392000000001</v>
      </c>
      <c r="L91" s="6" t="s">
        <v>282</v>
      </c>
      <c r="M91" s="100">
        <f t="shared" si="96"/>
        <v>0.32618836766307413</v>
      </c>
      <c r="N91" s="7">
        <v>12.20200058</v>
      </c>
      <c r="O91" s="7">
        <v>8.8960137599999989</v>
      </c>
      <c r="P91" s="7">
        <v>50.369041634000006</v>
      </c>
      <c r="Q91" s="7">
        <v>8.2990279420000075</v>
      </c>
      <c r="R91" s="7">
        <v>33.932612898999977</v>
      </c>
      <c r="S91" s="7">
        <v>20.164012912600001</v>
      </c>
      <c r="T91" s="7">
        <v>48.341210272400019</v>
      </c>
      <c r="U91" s="6"/>
      <c r="V91" s="7">
        <v>4.8770000000000001E-2</v>
      </c>
      <c r="W91" s="7">
        <v>2443.3075600000002</v>
      </c>
      <c r="X91" s="7">
        <v>103.70668000000001</v>
      </c>
      <c r="Y91" s="7">
        <v>448.09649000000002</v>
      </c>
      <c r="Z91" s="7">
        <v>89.476950000000002</v>
      </c>
      <c r="AA91" s="7">
        <v>156.92204000000001</v>
      </c>
      <c r="AB91" s="10">
        <f>SUM(V91:AA91)</f>
        <v>3241.5584899999999</v>
      </c>
      <c r="AC91" s="7">
        <v>204.06555099699997</v>
      </c>
      <c r="AD91" s="7">
        <v>183.52882122099999</v>
      </c>
      <c r="AE91" s="7">
        <v>1032.596283718</v>
      </c>
      <c r="AF91" s="7">
        <v>169.29950645700015</v>
      </c>
      <c r="AG91" s="7">
        <v>661.72558204949951</v>
      </c>
      <c r="AH91" s="7">
        <v>308.51773613609976</v>
      </c>
      <c r="AI91" s="7">
        <v>681.82500942140041</v>
      </c>
      <c r="AJ91" s="6"/>
      <c r="AK91" s="10">
        <f t="shared" si="92"/>
        <v>3241.5584899999999</v>
      </c>
      <c r="AL91" s="41">
        <f t="shared" si="86"/>
        <v>24.809901960784316</v>
      </c>
      <c r="AM91" s="41">
        <f t="shared" si="90"/>
        <v>1.1034725909745344</v>
      </c>
      <c r="AN91" s="43">
        <f t="shared" si="73"/>
        <v>27.186900921123403</v>
      </c>
      <c r="AP91" s="41">
        <f t="shared" si="67"/>
        <v>42.176833333333335</v>
      </c>
      <c r="AQ91" s="53"/>
      <c r="AR91" s="43">
        <f t="shared" si="74"/>
        <v>18.337753623188409</v>
      </c>
      <c r="AS91" s="53"/>
      <c r="AT91" s="41">
        <f t="shared" si="95"/>
        <v>2.5747693789405801</v>
      </c>
      <c r="AU91" s="43"/>
      <c r="AV91" s="41"/>
      <c r="AW91" s="41">
        <f t="shared" si="75"/>
        <v>28.354173669467794</v>
      </c>
      <c r="AX91" s="41"/>
      <c r="AY91" s="43">
        <f t="shared" si="76"/>
        <v>22.05324618736384</v>
      </c>
      <c r="AZ91" s="41"/>
      <c r="BA91" s="41">
        <f t="shared" si="77"/>
        <v>22.655750767602836</v>
      </c>
      <c r="BB91" s="43"/>
      <c r="BC91" s="54"/>
      <c r="BD91" s="41">
        <f t="shared" si="78"/>
        <v>29.77188235294118</v>
      </c>
      <c r="BE91" s="41"/>
      <c r="BF91" s="41">
        <f t="shared" si="97"/>
        <v>21.265630252100841</v>
      </c>
    </row>
    <row r="92" spans="1:58" x14ac:dyDescent="0.25">
      <c r="D92" s="4"/>
      <c r="J9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58" x14ac:dyDescent="0.25">
      <c r="F93" s="4" t="s">
        <v>100</v>
      </c>
      <c r="J93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58" x14ac:dyDescent="0.25">
      <c r="F94" s="4" t="s">
        <v>102</v>
      </c>
    </row>
    <row r="95" spans="1:58" x14ac:dyDescent="0.25">
      <c r="F95" s="16" t="s">
        <v>103</v>
      </c>
      <c r="G95" s="16">
        <v>1000</v>
      </c>
      <c r="H95" s="16" t="s">
        <v>105</v>
      </c>
      <c r="I95" s="72" t="s">
        <v>113</v>
      </c>
    </row>
    <row r="96" spans="1:58" x14ac:dyDescent="0.25">
      <c r="F96" s="16" t="s">
        <v>109</v>
      </c>
      <c r="G96" s="17">
        <v>1700</v>
      </c>
      <c r="H96" s="16" t="s">
        <v>105</v>
      </c>
      <c r="I96" s="72" t="s">
        <v>113</v>
      </c>
    </row>
    <row r="97" spans="6:13" x14ac:dyDescent="0.25">
      <c r="F97" s="16" t="s">
        <v>104</v>
      </c>
      <c r="G97" s="16">
        <v>2300</v>
      </c>
      <c r="H97" s="16" t="s">
        <v>105</v>
      </c>
      <c r="I97" s="72" t="s">
        <v>113</v>
      </c>
    </row>
    <row r="98" spans="6:13" x14ac:dyDescent="0.25">
      <c r="F98" s="16" t="s">
        <v>106</v>
      </c>
      <c r="G98" s="71">
        <v>0.3</v>
      </c>
      <c r="H98" s="16"/>
      <c r="I98" s="72" t="s">
        <v>113</v>
      </c>
      <c r="J98" s="72"/>
      <c r="K98" s="16"/>
      <c r="L98" s="16"/>
      <c r="M98" s="16"/>
    </row>
    <row r="99" spans="6:13" x14ac:dyDescent="0.25">
      <c r="F99" s="16"/>
      <c r="G99" s="73">
        <v>0.7</v>
      </c>
      <c r="H99" s="16"/>
      <c r="I99" s="72" t="s">
        <v>139</v>
      </c>
      <c r="J99" s="72"/>
      <c r="K99" s="16"/>
      <c r="L99" s="16"/>
      <c r="M99" s="16"/>
    </row>
    <row r="100" spans="6:13" x14ac:dyDescent="0.25">
      <c r="G100" s="23"/>
    </row>
    <row r="101" spans="6:13" x14ac:dyDescent="0.25">
      <c r="F101" t="s">
        <v>107</v>
      </c>
      <c r="G101" s="27">
        <v>30</v>
      </c>
      <c r="H101" t="s">
        <v>108</v>
      </c>
    </row>
    <row r="102" spans="6:13" x14ac:dyDescent="0.25">
      <c r="F102" t="s">
        <v>110</v>
      </c>
      <c r="G102" s="40">
        <v>0.75</v>
      </c>
      <c r="H102" t="s">
        <v>127</v>
      </c>
      <c r="I102" t="s">
        <v>126</v>
      </c>
    </row>
    <row r="103" spans="6:13" x14ac:dyDescent="0.25">
      <c r="G103" s="27">
        <v>0.8</v>
      </c>
      <c r="H103" t="s">
        <v>128</v>
      </c>
    </row>
    <row r="104" spans="6:13" x14ac:dyDescent="0.25">
      <c r="G104">
        <v>0.9</v>
      </c>
      <c r="H104">
        <v>0.7</v>
      </c>
      <c r="I104" t="s">
        <v>136</v>
      </c>
    </row>
    <row r="105" spans="6:13" ht="33.75" x14ac:dyDescent="0.25">
      <c r="F105" t="s">
        <v>111</v>
      </c>
      <c r="G105" s="71">
        <v>0.14000000000000001</v>
      </c>
      <c r="H105" s="16" t="s">
        <v>26</v>
      </c>
      <c r="I105" s="16">
        <v>2011</v>
      </c>
      <c r="J105" s="75" t="s">
        <v>112</v>
      </c>
    </row>
    <row r="106" spans="6:13" x14ac:dyDescent="0.25">
      <c r="G106" s="71">
        <v>0.13</v>
      </c>
      <c r="H106" s="16" t="s">
        <v>62</v>
      </c>
      <c r="I106" s="16">
        <v>2011</v>
      </c>
      <c r="J106" s="76"/>
    </row>
    <row r="107" spans="6:13" x14ac:dyDescent="0.25">
      <c r="G107" s="71">
        <v>0.11</v>
      </c>
      <c r="H107" s="16" t="s">
        <v>119</v>
      </c>
      <c r="I107" s="16"/>
      <c r="J107" s="76" t="s">
        <v>120</v>
      </c>
    </row>
    <row r="109" spans="6:13" x14ac:dyDescent="0.25">
      <c r="G109" s="29">
        <v>0.17</v>
      </c>
      <c r="H109" t="s">
        <v>26</v>
      </c>
      <c r="I109">
        <v>2015</v>
      </c>
      <c r="J109" s="1" t="s">
        <v>113</v>
      </c>
    </row>
    <row r="110" spans="6:13" x14ac:dyDescent="0.25">
      <c r="G110" s="29">
        <v>0.16</v>
      </c>
      <c r="H110" t="s">
        <v>62</v>
      </c>
      <c r="I110">
        <v>2015</v>
      </c>
      <c r="J110" s="1" t="s">
        <v>114</v>
      </c>
    </row>
    <row r="111" spans="6:13" x14ac:dyDescent="0.25">
      <c r="J111" s="1" t="s">
        <v>115</v>
      </c>
    </row>
    <row r="112" spans="6:13" ht="67.5" x14ac:dyDescent="0.25">
      <c r="G112" s="29">
        <v>0.13</v>
      </c>
      <c r="H112" t="s">
        <v>119</v>
      </c>
      <c r="I112">
        <v>2015</v>
      </c>
      <c r="J112" s="30" t="s">
        <v>123</v>
      </c>
    </row>
    <row r="113" spans="6:13" x14ac:dyDescent="0.25">
      <c r="G113" s="28">
        <v>0.20499999999999999</v>
      </c>
      <c r="H113" t="s">
        <v>26</v>
      </c>
      <c r="I113">
        <v>2020</v>
      </c>
      <c r="J113" s="1" t="s">
        <v>113</v>
      </c>
    </row>
    <row r="114" spans="6:13" x14ac:dyDescent="0.25">
      <c r="G114" s="29">
        <v>0.18</v>
      </c>
      <c r="H114" t="s">
        <v>62</v>
      </c>
      <c r="I114">
        <v>2020</v>
      </c>
      <c r="J114" s="1" t="s">
        <v>114</v>
      </c>
    </row>
    <row r="115" spans="6:13" x14ac:dyDescent="0.25">
      <c r="J115" s="1" t="s">
        <v>115</v>
      </c>
    </row>
    <row r="116" spans="6:13" ht="67.5" x14ac:dyDescent="0.25">
      <c r="G116" s="29">
        <v>0.15</v>
      </c>
      <c r="I116">
        <v>2020</v>
      </c>
      <c r="J116" s="30" t="s">
        <v>123</v>
      </c>
    </row>
    <row r="119" spans="6:13" x14ac:dyDescent="0.25">
      <c r="G119" s="39">
        <v>0.26700000000000002</v>
      </c>
      <c r="H119" s="31" t="s">
        <v>26</v>
      </c>
      <c r="I119" s="31" t="s">
        <v>116</v>
      </c>
      <c r="J119" s="32"/>
      <c r="K119" s="31" t="s">
        <v>117</v>
      </c>
      <c r="L119" s="31"/>
      <c r="M119" s="31"/>
    </row>
    <row r="120" spans="6:13" x14ac:dyDescent="0.25">
      <c r="G120" s="39">
        <v>0.23300000000000001</v>
      </c>
      <c r="H120" s="31" t="s">
        <v>62</v>
      </c>
      <c r="I120" s="31" t="s">
        <v>116</v>
      </c>
      <c r="J120" s="32"/>
      <c r="K120" s="31" t="s">
        <v>117</v>
      </c>
      <c r="L120" s="31"/>
      <c r="M120" s="31"/>
    </row>
    <row r="121" spans="6:13" x14ac:dyDescent="0.25">
      <c r="F121" s="26"/>
      <c r="I121" s="16"/>
    </row>
    <row r="122" spans="6:13" x14ac:dyDescent="0.25">
      <c r="G122" s="37" t="s">
        <v>133</v>
      </c>
      <c r="H122" s="31" t="s">
        <v>26</v>
      </c>
      <c r="I122" s="74" t="s">
        <v>134</v>
      </c>
      <c r="J122" s="32">
        <f>0.9*G119</f>
        <v>0.24030000000000001</v>
      </c>
      <c r="K122" s="31" t="s">
        <v>117</v>
      </c>
      <c r="L122" s="31"/>
      <c r="M122" s="31"/>
    </row>
    <row r="123" spans="6:13" x14ac:dyDescent="0.25">
      <c r="F123" s="26"/>
      <c r="G123" s="38" t="s">
        <v>118</v>
      </c>
      <c r="H123" s="31" t="s">
        <v>62</v>
      </c>
      <c r="I123" s="74" t="s">
        <v>134</v>
      </c>
      <c r="J123" s="32">
        <f>0.9*G120</f>
        <v>0.20970000000000003</v>
      </c>
      <c r="K123" s="31" t="s">
        <v>117</v>
      </c>
      <c r="L123" s="31"/>
      <c r="M123" s="31"/>
    </row>
    <row r="124" spans="6:13" x14ac:dyDescent="0.25">
      <c r="G124" s="31" t="s">
        <v>124</v>
      </c>
      <c r="H124" s="31" t="s">
        <v>125</v>
      </c>
      <c r="I124" s="74" t="s">
        <v>134</v>
      </c>
      <c r="J124" s="32"/>
      <c r="K124" s="31"/>
      <c r="L124" s="31"/>
      <c r="M124" s="31"/>
    </row>
    <row r="128" spans="6:13" x14ac:dyDescent="0.25">
      <c r="G128" s="31" t="s">
        <v>129</v>
      </c>
      <c r="H128" s="31"/>
      <c r="I128" s="31"/>
      <c r="J128" s="32"/>
      <c r="K128" s="31"/>
      <c r="L128" s="31"/>
      <c r="M128" s="31"/>
    </row>
    <row r="129" spans="7:13" x14ac:dyDescent="0.25">
      <c r="G129" s="33">
        <f>G113*(0.995^30)</f>
        <v>0.17637875934251276</v>
      </c>
      <c r="H129" s="74" t="s">
        <v>126</v>
      </c>
      <c r="I129" s="35" t="s">
        <v>132</v>
      </c>
      <c r="J129" s="36" t="s">
        <v>135</v>
      </c>
      <c r="K129" s="31" t="s">
        <v>26</v>
      </c>
      <c r="L129" s="31"/>
      <c r="M129" s="31"/>
    </row>
    <row r="130" spans="7:13" x14ac:dyDescent="0.25">
      <c r="G130" s="33">
        <f t="shared" ref="G130" si="98">G114*(0.995^30)</f>
        <v>0.15486915454464534</v>
      </c>
      <c r="H130" s="74" t="s">
        <v>126</v>
      </c>
      <c r="I130" s="35" t="s">
        <v>132</v>
      </c>
      <c r="J130" s="36" t="s">
        <v>131</v>
      </c>
      <c r="K130" s="31" t="s">
        <v>62</v>
      </c>
      <c r="L130" s="31"/>
      <c r="M130" s="31"/>
    </row>
    <row r="131" spans="7:13" x14ac:dyDescent="0.25">
      <c r="G131" s="33">
        <f>G116*(0.995^30)</f>
        <v>0.12905762878720445</v>
      </c>
      <c r="H131" s="74" t="s">
        <v>126</v>
      </c>
      <c r="I131" s="35" t="s">
        <v>132</v>
      </c>
      <c r="J131" s="36" t="s">
        <v>130</v>
      </c>
      <c r="K131" s="31" t="s">
        <v>125</v>
      </c>
      <c r="L131" s="31"/>
      <c r="M131" s="31"/>
    </row>
    <row r="132" spans="7:13" x14ac:dyDescent="0.25">
      <c r="H132" s="16"/>
    </row>
    <row r="133" spans="7:13" x14ac:dyDescent="0.25">
      <c r="H133" s="16"/>
    </row>
  </sheetData>
  <mergeCells count="5">
    <mergeCell ref="AO1:AR1"/>
    <mergeCell ref="AS1:AU1"/>
    <mergeCell ref="AV1:AY1"/>
    <mergeCell ref="AZ1:BB1"/>
    <mergeCell ref="BC1:BF1"/>
  </mergeCells>
  <phoneticPr fontId="13" type="noConversion"/>
  <hyperlinks>
    <hyperlink ref="H129" r:id="rId1" location="bib43" xr:uid="{5A66AED4-AB4D-44EF-A691-17C399A00BFE}"/>
    <hyperlink ref="H130" r:id="rId2" location="bib43" display="https://www.sciencedirect.com/science/article/pii/S136403211500146X - bib43" xr:uid="{C7CEFA75-C631-4A9A-A284-F248372CFCF5}"/>
    <hyperlink ref="H131" r:id="rId3" location="bib43" display="https://www.sciencedirect.com/science/article/pii/S136403211500146X - bib43" xr:uid="{55190E55-A4BA-4E35-B95B-B71880B7A22F}"/>
    <hyperlink ref="I122" r:id="rId4" xr:uid="{93CAC1F2-D92F-4C44-811E-4481C7E0BC40}"/>
    <hyperlink ref="I123" r:id="rId5" xr:uid="{40C4CAFC-4961-4AA6-9D16-49841B57B82D}"/>
    <hyperlink ref="I124" r:id="rId6" xr:uid="{4D4CA8C0-C9AB-4A0F-A3E9-87E986BB2013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738C-39B8-4FB0-8E52-A58EC8CE9B6B}">
  <dimension ref="A1:BD133"/>
  <sheetViews>
    <sheetView zoomScale="85" zoomScaleNormal="85" workbookViewId="0">
      <selection activeCell="AF103" sqref="AF103"/>
    </sheetView>
  </sheetViews>
  <sheetFormatPr defaultRowHeight="15" x14ac:dyDescent="0.25"/>
  <cols>
    <col min="5" max="5" width="79" customWidth="1"/>
    <col min="6" max="6" width="28.42578125" customWidth="1"/>
    <col min="7" max="7" width="10.7109375" customWidth="1"/>
    <col min="9" max="9" width="16.42578125" customWidth="1"/>
    <col min="10" max="10" width="14.7109375" style="1" customWidth="1"/>
    <col min="11" max="11" width="31.5703125" customWidth="1"/>
    <col min="12" max="13" width="10.28515625" bestFit="1" customWidth="1"/>
    <col min="14" max="15" width="11.42578125" bestFit="1" customWidth="1"/>
    <col min="16" max="18" width="10.5703125" bestFit="1" customWidth="1"/>
    <col min="19" max="20" width="9.28515625" bestFit="1" customWidth="1"/>
    <col min="21" max="21" width="13.140625" bestFit="1" customWidth="1"/>
    <col min="22" max="22" width="11.85546875" bestFit="1" customWidth="1"/>
    <col min="23" max="23" width="12.28515625" bestFit="1" customWidth="1"/>
    <col min="24" max="24" width="11.42578125" bestFit="1" customWidth="1"/>
    <col min="25" max="25" width="11.85546875" bestFit="1" customWidth="1"/>
    <col min="26" max="26" width="13.140625" bestFit="1" customWidth="1"/>
    <col min="27" max="28" width="11.85546875" bestFit="1" customWidth="1"/>
    <col min="29" max="30" width="12.7109375" bestFit="1" customWidth="1"/>
    <col min="31" max="33" width="11.85546875" bestFit="1" customWidth="1"/>
    <col min="34" max="34" width="10.5703125" bestFit="1" customWidth="1"/>
    <col min="35" max="35" width="13.140625" bestFit="1" customWidth="1"/>
    <col min="36" max="36" width="22.42578125" customWidth="1"/>
    <col min="37" max="37" width="11" customWidth="1"/>
    <col min="38" max="38" width="8.85546875" style="42"/>
    <col min="39" max="39" width="17.42578125" style="1" customWidth="1"/>
    <col min="42" max="42" width="8.85546875" style="51"/>
    <col min="45" max="45" width="8.85546875" style="51"/>
    <col min="49" max="49" width="8.85546875" style="51"/>
    <col min="52" max="52" width="8.85546875" style="51"/>
    <col min="53" max="53" width="8.85546875" style="1"/>
  </cols>
  <sheetData>
    <row r="1" spans="1:56" x14ac:dyDescent="0.25">
      <c r="AM1" s="101" t="s">
        <v>121</v>
      </c>
      <c r="AN1" s="102"/>
      <c r="AO1" s="102"/>
      <c r="AP1" s="102"/>
      <c r="AQ1" s="102" t="s">
        <v>122</v>
      </c>
      <c r="AR1" s="102"/>
      <c r="AS1" s="102"/>
      <c r="AT1" s="102" t="s">
        <v>121</v>
      </c>
      <c r="AU1" s="102"/>
      <c r="AV1" s="102"/>
      <c r="AW1" s="102"/>
      <c r="AX1" s="102" t="s">
        <v>137</v>
      </c>
      <c r="AY1" s="102"/>
      <c r="AZ1" s="102"/>
      <c r="BA1" s="102" t="s">
        <v>121</v>
      </c>
      <c r="BB1" s="102"/>
      <c r="BC1" s="102"/>
      <c r="BD1" s="102"/>
    </row>
    <row r="2" spans="1:56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 t="s">
        <v>16</v>
      </c>
      <c r="L2" s="4" t="s">
        <v>16</v>
      </c>
      <c r="M2" s="4" t="s">
        <v>16</v>
      </c>
      <c r="N2" s="4" t="s">
        <v>16</v>
      </c>
      <c r="O2" s="4" t="s">
        <v>16</v>
      </c>
      <c r="P2" s="4" t="s">
        <v>16</v>
      </c>
      <c r="Q2" s="4" t="s">
        <v>16</v>
      </c>
      <c r="R2" s="4" t="s">
        <v>16</v>
      </c>
      <c r="S2" s="4" t="s">
        <v>16</v>
      </c>
      <c r="T2" s="4" t="s">
        <v>17</v>
      </c>
      <c r="U2" s="4" t="s">
        <v>17</v>
      </c>
      <c r="V2" s="4" t="s">
        <v>17</v>
      </c>
      <c r="W2" s="4" t="s">
        <v>17</v>
      </c>
      <c r="X2" s="4" t="s">
        <v>17</v>
      </c>
      <c r="Y2" s="4" t="s">
        <v>17</v>
      </c>
      <c r="Z2" s="4" t="s">
        <v>17</v>
      </c>
      <c r="AA2" s="4" t="s">
        <v>17</v>
      </c>
      <c r="AB2" s="4" t="s">
        <v>17</v>
      </c>
      <c r="AC2" s="4" t="s">
        <v>17</v>
      </c>
      <c r="AD2" s="4" t="s">
        <v>17</v>
      </c>
      <c r="AE2" s="4" t="s">
        <v>17</v>
      </c>
      <c r="AF2" s="4" t="s">
        <v>17</v>
      </c>
      <c r="AG2" s="4" t="s">
        <v>17</v>
      </c>
      <c r="AH2" s="4" t="s">
        <v>17</v>
      </c>
      <c r="AI2" s="4" t="s">
        <v>17</v>
      </c>
      <c r="AJ2" s="3"/>
      <c r="AK2" s="3"/>
      <c r="AM2" s="1" t="s">
        <v>138</v>
      </c>
      <c r="AN2" s="44" t="s">
        <v>141</v>
      </c>
      <c r="AO2" s="44" t="s">
        <v>142</v>
      </c>
      <c r="AP2" s="50" t="s">
        <v>143</v>
      </c>
      <c r="AQ2" s="44" t="s">
        <v>138</v>
      </c>
      <c r="AR2" s="44" t="s">
        <v>145</v>
      </c>
      <c r="AS2" s="50" t="s">
        <v>142</v>
      </c>
      <c r="AT2" s="44" t="s">
        <v>138</v>
      </c>
      <c r="AU2" s="44" t="s">
        <v>141</v>
      </c>
      <c r="AV2" s="44" t="s">
        <v>142</v>
      </c>
      <c r="AW2" s="50" t="s">
        <v>143</v>
      </c>
      <c r="AX2" s="44" t="s">
        <v>138</v>
      </c>
      <c r="AY2" s="44" t="s">
        <v>141</v>
      </c>
      <c r="AZ2" s="50" t="s">
        <v>142</v>
      </c>
      <c r="BA2" s="1" t="s">
        <v>138</v>
      </c>
      <c r="BB2" s="44" t="s">
        <v>141</v>
      </c>
      <c r="BC2" s="44" t="s">
        <v>142</v>
      </c>
      <c r="BD2" s="44" t="s">
        <v>143</v>
      </c>
    </row>
    <row r="3" spans="1:56" x14ac:dyDescent="0.25">
      <c r="A3" s="4" t="s">
        <v>0</v>
      </c>
      <c r="B3" s="4" t="s">
        <v>1</v>
      </c>
      <c r="C3" s="4" t="s">
        <v>2</v>
      </c>
      <c r="D3" s="4" t="s">
        <v>25</v>
      </c>
      <c r="E3" s="4" t="s">
        <v>186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182</v>
      </c>
      <c r="K3" s="4" t="s">
        <v>8</v>
      </c>
      <c r="L3" s="5" t="s">
        <v>33</v>
      </c>
      <c r="M3" s="5" t="s">
        <v>34</v>
      </c>
      <c r="N3" s="5" t="s">
        <v>35</v>
      </c>
      <c r="O3" s="5" t="s">
        <v>36</v>
      </c>
      <c r="P3" s="5" t="s">
        <v>37</v>
      </c>
      <c r="Q3" s="5" t="s">
        <v>38</v>
      </c>
      <c r="R3" s="5" t="s">
        <v>39</v>
      </c>
      <c r="S3" s="5" t="s">
        <v>40</v>
      </c>
      <c r="T3" s="5" t="s">
        <v>41</v>
      </c>
      <c r="U3" s="5" t="s">
        <v>42</v>
      </c>
      <c r="V3" s="5" t="s">
        <v>43</v>
      </c>
      <c r="W3" s="5" t="s">
        <v>44</v>
      </c>
      <c r="X3" s="5" t="s">
        <v>45</v>
      </c>
      <c r="Y3" s="5" t="s">
        <v>46</v>
      </c>
      <c r="Z3" s="4" t="s">
        <v>15</v>
      </c>
      <c r="AA3" s="5" t="s">
        <v>33</v>
      </c>
      <c r="AB3" s="5" t="s">
        <v>34</v>
      </c>
      <c r="AC3" s="5" t="s">
        <v>35</v>
      </c>
      <c r="AD3" s="5" t="s">
        <v>36</v>
      </c>
      <c r="AE3" s="5" t="s">
        <v>37</v>
      </c>
      <c r="AF3" s="5" t="s">
        <v>38</v>
      </c>
      <c r="AG3" s="5" t="s">
        <v>39</v>
      </c>
      <c r="AH3" s="5" t="s">
        <v>40</v>
      </c>
      <c r="AI3" s="4" t="s">
        <v>15</v>
      </c>
      <c r="AJ3" s="6" t="s">
        <v>121</v>
      </c>
      <c r="AK3" s="6" t="s">
        <v>122</v>
      </c>
      <c r="AL3" s="13" t="s">
        <v>137</v>
      </c>
      <c r="AM3" s="49" t="s">
        <v>140</v>
      </c>
      <c r="AN3" s="44">
        <v>1000</v>
      </c>
      <c r="AO3" s="44">
        <v>1700</v>
      </c>
      <c r="AP3" s="50">
        <v>2300</v>
      </c>
      <c r="AQ3" s="44" t="s">
        <v>144</v>
      </c>
      <c r="AR3" s="45">
        <v>0.7</v>
      </c>
      <c r="AS3" s="52">
        <v>0.3</v>
      </c>
      <c r="AT3" s="44" t="s">
        <v>110</v>
      </c>
      <c r="AU3" s="44">
        <v>0.7</v>
      </c>
      <c r="AV3" s="44">
        <v>0.8</v>
      </c>
      <c r="AW3" s="50">
        <v>0.9</v>
      </c>
      <c r="AX3" s="44" t="s">
        <v>107</v>
      </c>
      <c r="AY3" s="44" t="s">
        <v>146</v>
      </c>
      <c r="AZ3" s="50" t="s">
        <v>147</v>
      </c>
      <c r="BA3" s="1" t="s">
        <v>148</v>
      </c>
      <c r="BB3" s="45">
        <v>0.18</v>
      </c>
      <c r="BC3" s="46">
        <v>0.20499999999999999</v>
      </c>
      <c r="BD3" s="45">
        <v>0.24</v>
      </c>
    </row>
    <row r="4" spans="1:56" x14ac:dyDescent="0.25">
      <c r="A4" s="4">
        <v>2010</v>
      </c>
      <c r="B4" s="4" t="s">
        <v>18</v>
      </c>
      <c r="C4" s="4" t="s">
        <v>19</v>
      </c>
      <c r="D4" s="4" t="s">
        <v>26</v>
      </c>
      <c r="E4" s="4" t="s">
        <v>187</v>
      </c>
      <c r="F4" s="4" t="s">
        <v>31</v>
      </c>
      <c r="G4" s="4">
        <v>1</v>
      </c>
      <c r="H4" s="4" t="s">
        <v>32</v>
      </c>
      <c r="I4" s="4" t="s">
        <v>49</v>
      </c>
      <c r="J4" s="12">
        <v>0.14592989871628637</v>
      </c>
      <c r="K4" s="6">
        <f>SUM(L4:S4)</f>
        <v>395.79079446630004</v>
      </c>
      <c r="L4" s="7">
        <v>19.900874701999999</v>
      </c>
      <c r="M4" s="7">
        <v>20.784450361999998</v>
      </c>
      <c r="N4" s="7">
        <v>113.22357630199998</v>
      </c>
      <c r="O4" s="7">
        <v>109.87642057800005</v>
      </c>
      <c r="P4" s="7">
        <v>39.071338981499991</v>
      </c>
      <c r="Q4" s="7">
        <v>38.566519522499959</v>
      </c>
      <c r="R4" s="7">
        <v>51.40326955200004</v>
      </c>
      <c r="S4" s="6">
        <v>2.9643444662999996</v>
      </c>
      <c r="T4" s="6">
        <v>5.8409999999999997E-2</v>
      </c>
      <c r="U4" s="6">
        <v>4106.9685134800002</v>
      </c>
      <c r="V4" s="6">
        <v>260.01896738557997</v>
      </c>
      <c r="W4" s="6">
        <v>213.78842844106001</v>
      </c>
      <c r="X4" s="6">
        <v>128.20138641996999</v>
      </c>
      <c r="Y4" s="6">
        <v>30.267852445203001</v>
      </c>
      <c r="Z4" s="6">
        <f>SUM(T4:Y4)</f>
        <v>4739.3035581718132</v>
      </c>
      <c r="AA4" s="7">
        <v>224.20150132300003</v>
      </c>
      <c r="AB4" s="7">
        <v>223.56372481599996</v>
      </c>
      <c r="AC4" s="7">
        <v>1238.9337949229998</v>
      </c>
      <c r="AD4" s="7">
        <v>1232.667692626</v>
      </c>
      <c r="AE4" s="7">
        <v>686.23131030149989</v>
      </c>
      <c r="AF4" s="7">
        <v>396.57372658910026</v>
      </c>
      <c r="AG4" s="7">
        <v>696.51457942140041</v>
      </c>
      <c r="AH4" s="6">
        <v>40.617228171812997</v>
      </c>
      <c r="AI4" s="6">
        <f>SUM(AA4:AH4)</f>
        <v>4739.3035581718132</v>
      </c>
      <c r="AJ4" s="3">
        <f>K4*1000/(30*$G$103*$G$96*$G$105)</f>
        <v>69.291105473792015</v>
      </c>
      <c r="AK4" s="3">
        <f t="shared" ref="AK4:AK10" si="0">AI4*$G$98/($G$103*$G$96*$G$105)*0.277778</f>
        <v>2.0742766761268645</v>
      </c>
      <c r="AL4" s="42">
        <f>30/AK4</f>
        <v>14.46287293555104</v>
      </c>
      <c r="AM4" s="1" t="s">
        <v>121</v>
      </c>
      <c r="AN4" s="3">
        <f t="shared" ref="AN4:AN30" si="1">AJ4*$AO$3/$AN$3</f>
        <v>117.79487930544643</v>
      </c>
      <c r="AO4" s="44" t="s">
        <v>121</v>
      </c>
      <c r="AP4" s="42">
        <f>AJ4*$AO$3/$AP$3</f>
        <v>51.215164915411492</v>
      </c>
      <c r="AQ4" s="44" t="s">
        <v>122</v>
      </c>
      <c r="AR4" s="3"/>
      <c r="AS4" s="42"/>
      <c r="AT4" s="3" t="s">
        <v>121</v>
      </c>
      <c r="AU4" s="3">
        <f>AJ4*$AV$3/$AU$3</f>
        <v>79.189834827190879</v>
      </c>
      <c r="AV4" s="3"/>
      <c r="AW4" s="42">
        <f>AJ4*$AV$3/$AW$3</f>
        <v>61.592093754481795</v>
      </c>
      <c r="AX4" s="3" t="s">
        <v>137</v>
      </c>
      <c r="AY4" s="3">
        <f>AL4/30*25</f>
        <v>12.052394112959201</v>
      </c>
      <c r="AZ4" s="42"/>
      <c r="BA4" s="48" t="s">
        <v>121</v>
      </c>
      <c r="BB4" s="3">
        <f>AJ4*BC$3/BB$3</f>
        <v>78.914870122929798</v>
      </c>
      <c r="BC4" s="3"/>
      <c r="BD4" s="3"/>
    </row>
    <row r="5" spans="1:56" x14ac:dyDescent="0.25">
      <c r="A5" s="4">
        <v>2010</v>
      </c>
      <c r="B5" s="4" t="s">
        <v>18</v>
      </c>
      <c r="C5" s="4" t="s">
        <v>20</v>
      </c>
      <c r="D5" s="4" t="s">
        <v>26</v>
      </c>
      <c r="E5" s="4" t="s">
        <v>188</v>
      </c>
      <c r="F5" s="4" t="s">
        <v>31</v>
      </c>
      <c r="G5" s="4">
        <v>1</v>
      </c>
      <c r="H5" s="4" t="s">
        <v>32</v>
      </c>
      <c r="I5" s="4" t="s">
        <v>50</v>
      </c>
      <c r="J5" s="12">
        <v>6.1044273387890396E-2</v>
      </c>
      <c r="K5" s="6">
        <f t="shared" ref="K5:K9" si="2">SUM(L5:S5)</f>
        <v>293.18981242550001</v>
      </c>
      <c r="L5" s="7">
        <v>14.999002041000001</v>
      </c>
      <c r="M5" s="7">
        <v>14.254108471999999</v>
      </c>
      <c r="N5" s="7">
        <v>78.742366601000001</v>
      </c>
      <c r="O5" s="7">
        <v>72.236114927000003</v>
      </c>
      <c r="P5" s="7">
        <v>33.040273738499991</v>
      </c>
      <c r="Q5" s="7">
        <v>28.148309514699974</v>
      </c>
      <c r="R5" s="7">
        <v>49.748384705800049</v>
      </c>
      <c r="S5" s="6">
        <v>2.0212524254999997</v>
      </c>
      <c r="T5" s="6">
        <v>4.9950000000000001E-2</v>
      </c>
      <c r="U5" s="6">
        <v>3585.5459698000004</v>
      </c>
      <c r="V5" s="6">
        <v>109.4443545883</v>
      </c>
      <c r="W5" s="6">
        <v>989.1176637881</v>
      </c>
      <c r="X5" s="6">
        <v>96.217806198450006</v>
      </c>
      <c r="Y5" s="6">
        <v>100.137626552155</v>
      </c>
      <c r="Z5" s="6">
        <f t="shared" ref="Z5:Z9" si="3">SUM(T5:Y5)</f>
        <v>4880.5133709270049</v>
      </c>
      <c r="AA5" s="7">
        <v>231.18992385000001</v>
      </c>
      <c r="AB5" s="7">
        <v>243.02945538</v>
      </c>
      <c r="AC5" s="7">
        <v>1345.8425188740002</v>
      </c>
      <c r="AD5" s="7">
        <v>1282.6300907999998</v>
      </c>
      <c r="AE5" s="7">
        <v>633.95120344950055</v>
      </c>
      <c r="AF5" s="7">
        <v>410.80536496769901</v>
      </c>
      <c r="AG5" s="7">
        <v>705.36976267879982</v>
      </c>
      <c r="AH5" s="6">
        <v>27.695050927005006</v>
      </c>
      <c r="AI5" s="6">
        <f t="shared" ref="AI5:AI9" si="4">SUM(AA5:AH5)</f>
        <v>4880.513370927004</v>
      </c>
      <c r="AJ5" s="3">
        <f t="shared" ref="AJ5:AJ10" si="5">K5*1000/(30*$G$103*$G$96*$G$105)</f>
        <v>51.328748673932068</v>
      </c>
      <c r="AK5" s="3">
        <f t="shared" si="0"/>
        <v>2.1360807402563466</v>
      </c>
      <c r="AL5" s="42">
        <f t="shared" ref="AL5:AL31" si="6">30/AK5</f>
        <v>14.044412944989974</v>
      </c>
      <c r="AN5" s="3">
        <f t="shared" si="1"/>
        <v>87.258872745684528</v>
      </c>
      <c r="AO5" s="44"/>
      <c r="AP5" s="42">
        <f t="shared" ref="AP5:AP31" si="7">AJ5*$AO$3/$AP$3</f>
        <v>37.93864032421066</v>
      </c>
      <c r="AQ5" s="44"/>
      <c r="AR5" s="3"/>
      <c r="AS5" s="42"/>
      <c r="AT5" s="3"/>
      <c r="AU5" s="3">
        <f t="shared" ref="AU5:AU31" si="8">AJ5*$AV$3/$AU$3</f>
        <v>58.661427055922374</v>
      </c>
      <c r="AV5" s="3"/>
      <c r="AW5" s="42">
        <f t="shared" ref="AW5:AW31" si="9">AJ5*$AV$3/$AW$3</f>
        <v>45.625554376828511</v>
      </c>
      <c r="AX5" s="3"/>
      <c r="AY5" s="3">
        <f t="shared" ref="AY5:AY31" si="10">AL5/30*25</f>
        <v>11.70367745415831</v>
      </c>
      <c r="AZ5" s="42"/>
      <c r="BA5" s="48"/>
      <c r="BB5" s="3">
        <f t="shared" ref="BB5:BB30" si="11">AJ5*BC$3/BB$3</f>
        <v>58.457741545311521</v>
      </c>
      <c r="BC5" s="3"/>
      <c r="BD5" s="3"/>
    </row>
    <row r="6" spans="1:56" x14ac:dyDescent="0.25">
      <c r="A6" s="4">
        <v>2010</v>
      </c>
      <c r="B6" s="4" t="s">
        <v>18</v>
      </c>
      <c r="C6" s="4" t="s">
        <v>21</v>
      </c>
      <c r="D6" s="4" t="s">
        <v>26</v>
      </c>
      <c r="E6" s="4" t="s">
        <v>189</v>
      </c>
      <c r="F6" s="4" t="s">
        <v>31</v>
      </c>
      <c r="G6" s="4">
        <v>1</v>
      </c>
      <c r="H6" s="4" t="s">
        <v>32</v>
      </c>
      <c r="I6" s="4" t="s">
        <v>51</v>
      </c>
      <c r="J6" s="12">
        <v>5.6839615257396746E-2</v>
      </c>
      <c r="K6" s="6">
        <f t="shared" si="2"/>
        <v>277.02541263045003</v>
      </c>
      <c r="L6" s="7">
        <v>13.752954067999999</v>
      </c>
      <c r="M6" s="7">
        <v>12.199871677999999</v>
      </c>
      <c r="N6" s="7">
        <v>67.579745395999993</v>
      </c>
      <c r="O6" s="7">
        <v>69.834965906999997</v>
      </c>
      <c r="P6" s="7">
        <v>35.603853046500006</v>
      </c>
      <c r="Q6" s="7">
        <v>26.146976315499984</v>
      </c>
      <c r="R6" s="7">
        <v>49.336213589000039</v>
      </c>
      <c r="S6" s="6">
        <v>2.57083263045</v>
      </c>
      <c r="T6" s="6">
        <v>6.1339999999999999E-2</v>
      </c>
      <c r="U6" s="6">
        <v>3533.8488228199999</v>
      </c>
      <c r="V6" s="6">
        <v>152.37678118297001</v>
      </c>
      <c r="W6" s="6">
        <v>1097.08717893379</v>
      </c>
      <c r="X6" s="6">
        <v>116.339052478855</v>
      </c>
      <c r="Y6" s="6">
        <v>27.900752746914499</v>
      </c>
      <c r="Z6" s="6">
        <f t="shared" si="3"/>
        <v>4927.6139281625292</v>
      </c>
      <c r="AA6" s="7">
        <v>233.49998259199998</v>
      </c>
      <c r="AB6" s="7">
        <v>238.93140818800001</v>
      </c>
      <c r="AC6" s="7">
        <v>1320.6434839999997</v>
      </c>
      <c r="AD6" s="7">
        <v>1292.9380586770003</v>
      </c>
      <c r="AE6" s="7">
        <v>691.47543365699994</v>
      </c>
      <c r="AF6" s="7">
        <v>415.25926010699959</v>
      </c>
      <c r="AG6" s="7">
        <v>699.6409427790004</v>
      </c>
      <c r="AH6" s="6">
        <v>35.225358162529503</v>
      </c>
      <c r="AI6" s="6">
        <f t="shared" si="4"/>
        <v>4927.6139281625292</v>
      </c>
      <c r="AJ6" s="3">
        <f t="shared" si="5"/>
        <v>48.49884674902836</v>
      </c>
      <c r="AK6" s="3">
        <f t="shared" si="0"/>
        <v>2.1566954964345553</v>
      </c>
      <c r="AL6" s="42">
        <f t="shared" si="6"/>
        <v>13.910169539277074</v>
      </c>
      <c r="AN6" s="3">
        <f t="shared" si="1"/>
        <v>82.448039473348203</v>
      </c>
      <c r="AO6" s="44"/>
      <c r="AP6" s="42">
        <f t="shared" si="7"/>
        <v>35.846973684064437</v>
      </c>
      <c r="AQ6" s="44"/>
      <c r="AR6" s="3"/>
      <c r="AS6" s="42"/>
      <c r="AT6" s="3"/>
      <c r="AU6" s="3">
        <f t="shared" si="8"/>
        <v>55.42725342746099</v>
      </c>
      <c r="AV6" s="3"/>
      <c r="AW6" s="42">
        <f t="shared" si="9"/>
        <v>43.110085999136324</v>
      </c>
      <c r="AX6" s="3"/>
      <c r="AY6" s="3">
        <f t="shared" si="10"/>
        <v>11.591807949397563</v>
      </c>
      <c r="AZ6" s="42"/>
      <c r="BA6" s="48"/>
      <c r="BB6" s="3">
        <f t="shared" si="11"/>
        <v>55.234797686393414</v>
      </c>
      <c r="BC6" s="3"/>
      <c r="BD6" s="3"/>
    </row>
    <row r="7" spans="1:56" x14ac:dyDescent="0.25">
      <c r="A7" s="4">
        <v>2010</v>
      </c>
      <c r="B7" s="4" t="s">
        <v>18</v>
      </c>
      <c r="C7" s="4" t="s">
        <v>22</v>
      </c>
      <c r="D7" s="4" t="s">
        <v>26</v>
      </c>
      <c r="E7" s="4" t="s">
        <v>190</v>
      </c>
      <c r="F7" s="4" t="s">
        <v>31</v>
      </c>
      <c r="G7" s="4">
        <v>1</v>
      </c>
      <c r="H7" s="4" t="s">
        <v>32</v>
      </c>
      <c r="I7" s="4" t="s">
        <v>52</v>
      </c>
      <c r="J7" s="12">
        <v>1.9122845523667789E-2</v>
      </c>
      <c r="K7" s="6">
        <f t="shared" si="2"/>
        <v>290.18299700000006</v>
      </c>
      <c r="L7" s="7">
        <v>14.638328412000002</v>
      </c>
      <c r="M7" s="7">
        <v>13.121503843999999</v>
      </c>
      <c r="N7" s="7">
        <v>72.479966955999998</v>
      </c>
      <c r="O7" s="7">
        <v>75.581590641000005</v>
      </c>
      <c r="P7" s="7">
        <v>36.10324615799999</v>
      </c>
      <c r="Q7" s="7">
        <v>27.928987918099978</v>
      </c>
      <c r="R7" s="7">
        <v>49.633886070900019</v>
      </c>
      <c r="S7" s="6">
        <v>0.69548699999999997</v>
      </c>
      <c r="T7" s="6">
        <v>5.4539999999999998E-2</v>
      </c>
      <c r="U7" s="6">
        <v>3965.9993100000002</v>
      </c>
      <c r="V7" s="6">
        <v>219.8752313</v>
      </c>
      <c r="W7" s="6">
        <v>234.23221150000001</v>
      </c>
      <c r="X7" s="6">
        <v>80.748633080000005</v>
      </c>
      <c r="Y7" s="6">
        <v>73.8439784941</v>
      </c>
      <c r="Z7" s="6">
        <f t="shared" si="3"/>
        <v>4574.7539043741008</v>
      </c>
      <c r="AA7" s="7">
        <v>218.17765180600003</v>
      </c>
      <c r="AB7" s="7">
        <v>212.10760191399993</v>
      </c>
      <c r="AC7" s="7">
        <v>1178.0216047820002</v>
      </c>
      <c r="AD7" s="7">
        <v>1193.4817716979996</v>
      </c>
      <c r="AE7" s="7">
        <v>682.8341776530001</v>
      </c>
      <c r="AF7" s="7">
        <v>384.41913523030007</v>
      </c>
      <c r="AG7" s="7">
        <v>694.48923691670007</v>
      </c>
      <c r="AH7" s="6">
        <v>11.2227243741</v>
      </c>
      <c r="AI7" s="6">
        <f t="shared" si="4"/>
        <v>4574.7539043740999</v>
      </c>
      <c r="AJ7" s="3">
        <f t="shared" si="5"/>
        <v>50.802345413165263</v>
      </c>
      <c r="AK7" s="3">
        <f t="shared" si="0"/>
        <v>2.0022573372624399</v>
      </c>
      <c r="AL7" s="42">
        <f t="shared" si="6"/>
        <v>14.983089057382157</v>
      </c>
      <c r="AN7" s="3">
        <f t="shared" si="1"/>
        <v>86.36398720238094</v>
      </c>
      <c r="AO7" s="44"/>
      <c r="AP7" s="42">
        <f t="shared" si="7"/>
        <v>37.549559653209108</v>
      </c>
      <c r="AQ7" s="44"/>
      <c r="AR7" s="3"/>
      <c r="AS7" s="42"/>
      <c r="AT7" s="3"/>
      <c r="AU7" s="3">
        <f t="shared" si="8"/>
        <v>58.059823329331735</v>
      </c>
      <c r="AV7" s="3"/>
      <c r="AW7" s="42">
        <f t="shared" si="9"/>
        <v>45.157640367258011</v>
      </c>
      <c r="AX7" s="3"/>
      <c r="AY7" s="3">
        <f t="shared" si="10"/>
        <v>12.485907547818464</v>
      </c>
      <c r="AZ7" s="42"/>
      <c r="BA7" s="48"/>
      <c r="BB7" s="3">
        <f t="shared" si="11"/>
        <v>57.858226720549325</v>
      </c>
      <c r="BC7" s="3"/>
      <c r="BD7" s="3"/>
    </row>
    <row r="8" spans="1:56" x14ac:dyDescent="0.25">
      <c r="A8" s="4">
        <v>2010</v>
      </c>
      <c r="B8" s="4" t="s">
        <v>18</v>
      </c>
      <c r="C8" s="4" t="s">
        <v>23</v>
      </c>
      <c r="D8" s="4" t="s">
        <v>26</v>
      </c>
      <c r="E8" s="4" t="s">
        <v>191</v>
      </c>
      <c r="F8" s="4" t="s">
        <v>31</v>
      </c>
      <c r="G8" s="4">
        <v>1</v>
      </c>
      <c r="H8" s="4" t="s">
        <v>32</v>
      </c>
      <c r="I8" s="4" t="s">
        <v>53</v>
      </c>
      <c r="J8" s="12">
        <v>0.29638843777954382</v>
      </c>
      <c r="K8" s="6">
        <f t="shared" si="2"/>
        <v>353.50448997680002</v>
      </c>
      <c r="L8" s="7">
        <v>17.728566615000002</v>
      </c>
      <c r="M8" s="7">
        <v>17.569549623999997</v>
      </c>
      <c r="N8" s="7">
        <v>96.130061574999985</v>
      </c>
      <c r="O8" s="7">
        <v>95.639828176000009</v>
      </c>
      <c r="P8" s="7">
        <v>37.846165290000016</v>
      </c>
      <c r="Q8" s="7">
        <v>34.14887693999998</v>
      </c>
      <c r="R8" s="7">
        <v>50.672891780000043</v>
      </c>
      <c r="S8" s="6">
        <v>3.7685499767999997</v>
      </c>
      <c r="T8" s="6">
        <v>5.7750000000000003E-2</v>
      </c>
      <c r="U8" s="6">
        <v>4652.0028892799992</v>
      </c>
      <c r="V8" s="6">
        <v>130.30439093487999</v>
      </c>
      <c r="W8" s="6">
        <v>145.89539385616001</v>
      </c>
      <c r="X8" s="6">
        <v>116.86378877992</v>
      </c>
      <c r="Y8" s="6">
        <v>18.549329621207999</v>
      </c>
      <c r="Z8" s="6">
        <f t="shared" si="3"/>
        <v>5063.6735424721664</v>
      </c>
      <c r="AA8" s="7">
        <v>240.56454690500001</v>
      </c>
      <c r="AB8" s="7">
        <v>246.23738669200003</v>
      </c>
      <c r="AC8" s="7">
        <v>1359.4886529689998</v>
      </c>
      <c r="AD8" s="7">
        <v>1338.7917756419999</v>
      </c>
      <c r="AE8" s="7">
        <v>695.46025128899964</v>
      </c>
      <c r="AF8" s="7">
        <v>429.47835000030045</v>
      </c>
      <c r="AG8" s="7">
        <v>702.01618650269847</v>
      </c>
      <c r="AH8" s="6">
        <v>51.636392472167991</v>
      </c>
      <c r="AI8" s="6">
        <f t="shared" si="4"/>
        <v>5063.6735424721664</v>
      </c>
      <c r="AJ8" s="3">
        <f t="shared" si="5"/>
        <v>61.888040962324915</v>
      </c>
      <c r="AK8" s="3">
        <f t="shared" si="0"/>
        <v>2.216245445295431</v>
      </c>
      <c r="AL8" s="42">
        <f t="shared" si="6"/>
        <v>13.536406837826993</v>
      </c>
      <c r="AM8" s="1">
        <f>1-AJ25/AJ24</f>
        <v>0.23370826969689662</v>
      </c>
      <c r="AN8" s="3">
        <f t="shared" si="1"/>
        <v>105.20966963595235</v>
      </c>
      <c r="AO8" s="44"/>
      <c r="AP8" s="42">
        <f t="shared" si="7"/>
        <v>45.743334624327105</v>
      </c>
      <c r="AQ8" s="44"/>
      <c r="AR8" s="3"/>
      <c r="AS8" s="42"/>
      <c r="AT8" s="3"/>
      <c r="AU8" s="3">
        <f t="shared" si="8"/>
        <v>70.729189671228482</v>
      </c>
      <c r="AV8" s="3"/>
      <c r="AW8" s="42">
        <f t="shared" si="9"/>
        <v>55.011591966511034</v>
      </c>
      <c r="AX8" s="3"/>
      <c r="AY8" s="3">
        <f t="shared" si="10"/>
        <v>11.280339031522495</v>
      </c>
      <c r="AZ8" s="42"/>
      <c r="BA8" s="48"/>
      <c r="BB8" s="3">
        <f t="shared" si="11"/>
        <v>70.483602207092261</v>
      </c>
      <c r="BC8" s="3"/>
      <c r="BD8" s="3"/>
    </row>
    <row r="9" spans="1:56" x14ac:dyDescent="0.25">
      <c r="A9" s="4">
        <v>2010</v>
      </c>
      <c r="B9" s="4" t="s">
        <v>18</v>
      </c>
      <c r="C9" s="4" t="s">
        <v>24</v>
      </c>
      <c r="D9" s="4" t="s">
        <v>26</v>
      </c>
      <c r="E9" s="4" t="s">
        <v>192</v>
      </c>
      <c r="F9" s="4" t="s">
        <v>31</v>
      </c>
      <c r="G9" s="4">
        <v>1</v>
      </c>
      <c r="H9" s="4" t="s">
        <v>32</v>
      </c>
      <c r="I9" s="4" t="s">
        <v>54</v>
      </c>
      <c r="J9" s="12">
        <v>0.42067492933521489</v>
      </c>
      <c r="K9" s="6">
        <f t="shared" si="2"/>
        <v>346.71775278500002</v>
      </c>
      <c r="L9" s="7">
        <v>17.326727001999998</v>
      </c>
      <c r="M9" s="7">
        <v>17.266237501999999</v>
      </c>
      <c r="N9" s="7">
        <v>94.517401449999994</v>
      </c>
      <c r="O9" s="7">
        <v>93.031638083000018</v>
      </c>
      <c r="P9" s="7">
        <v>37.619483585999973</v>
      </c>
      <c r="Q9" s="7">
        <v>33.340066724600035</v>
      </c>
      <c r="R9" s="7">
        <v>50.537785652399975</v>
      </c>
      <c r="S9" s="6">
        <v>3.0784127849999998</v>
      </c>
      <c r="T9" s="6">
        <v>5.8599999999999999E-2</v>
      </c>
      <c r="U9" s="6">
        <v>4148.9250160000001</v>
      </c>
      <c r="V9" s="6">
        <v>92.774854981000004</v>
      </c>
      <c r="W9" s="6">
        <v>748.09213176699996</v>
      </c>
      <c r="X9" s="6">
        <v>79.124675591499994</v>
      </c>
      <c r="Y9" s="6">
        <v>23.63204548085</v>
      </c>
      <c r="Z9" s="6">
        <f t="shared" si="3"/>
        <v>5092.6073238203508</v>
      </c>
      <c r="AA9" s="7">
        <v>241.29399489499994</v>
      </c>
      <c r="AB9" s="7">
        <v>251.11301065000001</v>
      </c>
      <c r="AC9" s="7">
        <v>1385.412771279</v>
      </c>
      <c r="AD9" s="7">
        <v>1343.528030787</v>
      </c>
      <c r="AE9" s="7">
        <v>695.8711895309998</v>
      </c>
      <c r="AF9" s="7">
        <v>430.94669162150012</v>
      </c>
      <c r="AG9" s="7">
        <v>702.26145123649985</v>
      </c>
      <c r="AH9" s="6">
        <v>42.180183820350003</v>
      </c>
      <c r="AI9" s="6">
        <f t="shared" si="4"/>
        <v>5092.6073238203498</v>
      </c>
      <c r="AJ9" s="3">
        <f t="shared" si="5"/>
        <v>60.699886692051813</v>
      </c>
      <c r="AK9" s="3">
        <f t="shared" si="0"/>
        <v>2.2289090502040483</v>
      </c>
      <c r="AL9" s="42">
        <f t="shared" si="6"/>
        <v>13.459499389288052</v>
      </c>
      <c r="AM9" s="1">
        <f>1-AJ28/AJ24</f>
        <v>0.30889066185497493</v>
      </c>
      <c r="AN9" s="3">
        <f t="shared" si="1"/>
        <v>103.18980737648808</v>
      </c>
      <c r="AO9" s="44"/>
      <c r="AP9" s="42">
        <f t="shared" si="7"/>
        <v>44.865133641951338</v>
      </c>
      <c r="AQ9" s="44"/>
      <c r="AR9" s="3"/>
      <c r="AS9" s="42"/>
      <c r="AT9" s="3"/>
      <c r="AU9" s="3">
        <f t="shared" si="8"/>
        <v>69.371299076630649</v>
      </c>
      <c r="AV9" s="3"/>
      <c r="AW9" s="42">
        <f t="shared" si="9"/>
        <v>53.955454837379392</v>
      </c>
      <c r="AX9" s="3"/>
      <c r="AY9" s="3">
        <f t="shared" si="10"/>
        <v>11.216249491073377</v>
      </c>
      <c r="AZ9" s="42"/>
      <c r="BA9" s="48"/>
      <c r="BB9" s="3">
        <f t="shared" si="11"/>
        <v>69.13042651039234</v>
      </c>
      <c r="BC9" s="3"/>
      <c r="BD9" s="3"/>
    </row>
    <row r="10" spans="1:56" x14ac:dyDescent="0.25">
      <c r="A10" s="4">
        <v>2010</v>
      </c>
      <c r="B10" s="4" t="s">
        <v>18</v>
      </c>
      <c r="C10" s="4"/>
      <c r="D10" s="4"/>
      <c r="E10" s="4"/>
      <c r="F10" s="4"/>
      <c r="G10" s="4"/>
      <c r="H10" s="4"/>
      <c r="I10" s="4"/>
      <c r="J10" s="8"/>
      <c r="K10" s="10">
        <f>$J4*K4+$J5*K5+$J6*K6+$J7*K7+$J8*K8+$J9*K9</f>
        <v>347.58052179358708</v>
      </c>
      <c r="L10" s="6">
        <f>$J4*L4+$J5*L5+$J6*L6+$J7*L7+$J8*L8+$J9*L9</f>
        <v>17.424836741857192</v>
      </c>
      <c r="M10" s="6">
        <f t="shared" ref="M10:U10" si="12">$J4*M4+$J5*M5+$J6*M6+$J7*M7+$J8*M8+$J9*M9</f>
        <v>17.318445540666328</v>
      </c>
      <c r="N10" s="6">
        <f t="shared" si="12"/>
        <v>94.809645465001594</v>
      </c>
      <c r="O10" s="6">
        <f t="shared" si="12"/>
        <v>93.341200789360684</v>
      </c>
      <c r="P10" s="6">
        <f t="shared" si="12"/>
        <v>37.475441556627374</v>
      </c>
      <c r="Q10" s="6">
        <f t="shared" si="12"/>
        <v>33.513229686262846</v>
      </c>
      <c r="R10" s="6">
        <f t="shared" si="12"/>
        <v>50.570359091252492</v>
      </c>
      <c r="S10" s="6">
        <f t="shared" si="12"/>
        <v>3.1273629225585449</v>
      </c>
      <c r="T10" s="6">
        <f t="shared" si="12"/>
        <v>5.7870411975305222E-2</v>
      </c>
      <c r="U10" s="6">
        <f t="shared" si="12"/>
        <v>4219.0589540699584</v>
      </c>
      <c r="V10" s="6">
        <f t="shared" ref="V10" si="13">$J4*V4+$J5*V5+$J6*V6+$J7*V7+$J8*V8+$J9*V9</f>
        <v>135.13994080459264</v>
      </c>
      <c r="W10" s="6">
        <f t="shared" ref="W10" si="14">$J4*W4+$J5*W5+$J6*W6+$J7*W7+$J8*W8+$J9*W9</f>
        <v>516.3606048733626</v>
      </c>
      <c r="X10" s="6">
        <f t="shared" ref="X10" si="15">$J4*X4+$J5*X5+$J6*X6+$J7*X7+$J8*X8+$J9*X9</f>
        <v>100.66161512346446</v>
      </c>
      <c r="Y10" s="6">
        <f t="shared" ref="Y10" si="16">$J4*Y4+$J5*Y5+$J6*Y6+$J7*Y7+$J8*Y8+$J9*Y9</f>
        <v>28.967004229465111</v>
      </c>
      <c r="Z10" s="10">
        <f t="shared" ref="Z10" si="17">$J4*Z4+$J5*Z5+$J6*Z6+$J7*Z7+$J8*Z8+$J9*Z9</f>
        <v>5000.2459895128177</v>
      </c>
      <c r="AA10" s="6">
        <f t="shared" ref="AA10" si="18">$J4*AA4+$J5*AA5+$J6*AA6+$J7*AA7+$J8*AA8+$J9*AA9</f>
        <v>237.0816344952531</v>
      </c>
      <c r="AB10" s="6">
        <f t="shared" ref="AB10:AD10" si="19">$J4*AB4+$J5*AB5+$J6*AB6+$J7*AB7+$J8*AB8+$J9*AB9</f>
        <v>243.71592082957352</v>
      </c>
      <c r="AC10" s="6">
        <f t="shared" si="19"/>
        <v>1346.2905922534223</v>
      </c>
      <c r="AD10" s="6">
        <f t="shared" si="19"/>
        <v>1316.4841251222563</v>
      </c>
      <c r="AE10" s="6">
        <f t="shared" ref="AE10" si="20">$J4*AE4+$J5*AE5+$J6*AE6+$J7*AE7+$J8*AE8+$J9*AE9</f>
        <v>690.06362719242111</v>
      </c>
      <c r="AF10" s="6">
        <f t="shared" ref="AF10" si="21">$J4*AF4+$J5*AF5+$J6*AF6+$J7*AF7+$J8*AF8+$J9*AF9</f>
        <v>422.48452934073646</v>
      </c>
      <c r="AG10" s="6">
        <f t="shared" ref="AG10" si="22">$J4*AG4+$J5*AG5+$J6*AG6+$J7*AG7+$J8*AG8+$J9*AG9</f>
        <v>701.24228625043406</v>
      </c>
      <c r="AH10" s="6">
        <f t="shared" ref="AH10" si="23">$J4*AH4+$J5*AH5+$J6*AH6+$J7*AH7+$J8*AH8+$J9*AH9</f>
        <v>42.883274028720777</v>
      </c>
      <c r="AI10" s="10">
        <f>$J4*AI4+$J5*AI5+$J6*AI6+$J7*AI7+$J8*AI8+$J9*AI9</f>
        <v>5000.2459895128177</v>
      </c>
      <c r="AJ10" s="41">
        <f t="shared" si="5"/>
        <v>60.85093168655235</v>
      </c>
      <c r="AK10" s="41">
        <f t="shared" si="0"/>
        <v>2.1884847644037158</v>
      </c>
      <c r="AL10" s="43">
        <f t="shared" si="6"/>
        <v>13.708114622481245</v>
      </c>
      <c r="AM10" s="1">
        <f>1-AJ31/AJ24</f>
        <v>0.33371227535556491</v>
      </c>
      <c r="AN10" s="41">
        <f t="shared" si="1"/>
        <v>103.446583867139</v>
      </c>
      <c r="AO10" s="53"/>
      <c r="AP10" s="43">
        <f t="shared" si="7"/>
        <v>44.976775594408259</v>
      </c>
      <c r="AQ10" s="53"/>
      <c r="AR10" s="41"/>
      <c r="AS10" s="43"/>
      <c r="AT10" s="41"/>
      <c r="AU10" s="41">
        <f t="shared" si="8"/>
        <v>69.543921927488412</v>
      </c>
      <c r="AV10" s="41"/>
      <c r="AW10" s="43">
        <f t="shared" si="9"/>
        <v>54.089717054713198</v>
      </c>
      <c r="AX10" s="41"/>
      <c r="AY10" s="41">
        <f t="shared" si="10"/>
        <v>11.423428852067705</v>
      </c>
      <c r="AZ10" s="43"/>
      <c r="BA10" s="54"/>
      <c r="BB10" s="41">
        <f t="shared" si="11"/>
        <v>69.302449976351284</v>
      </c>
      <c r="BC10" s="3"/>
      <c r="BD10" s="3"/>
    </row>
    <row r="11" spans="1:56" x14ac:dyDescent="0.25">
      <c r="A11" s="4">
        <v>2015</v>
      </c>
      <c r="B11" s="4" t="s">
        <v>18</v>
      </c>
      <c r="C11" s="4" t="s">
        <v>19</v>
      </c>
      <c r="D11" s="4" t="s">
        <v>26</v>
      </c>
      <c r="E11" s="4" t="s">
        <v>193</v>
      </c>
      <c r="F11" s="4" t="s">
        <v>31</v>
      </c>
      <c r="G11" s="4">
        <v>1</v>
      </c>
      <c r="H11" s="4" t="s">
        <v>32</v>
      </c>
      <c r="I11" s="4" t="s">
        <v>49</v>
      </c>
      <c r="J11" s="12">
        <v>0.36245376315328581</v>
      </c>
      <c r="K11" s="6">
        <f>SUM(L11:S11)</f>
        <v>374.15053446630003</v>
      </c>
      <c r="L11" s="7">
        <v>18.787431636000001</v>
      </c>
      <c r="M11" s="7">
        <v>19.192495321999999</v>
      </c>
      <c r="N11" s="7">
        <v>104.75922158799999</v>
      </c>
      <c r="O11" s="7">
        <v>102.64932573600001</v>
      </c>
      <c r="P11" s="7">
        <v>38.443348541999967</v>
      </c>
      <c r="Q11" s="7">
        <v>36.325463169499983</v>
      </c>
      <c r="R11" s="7">
        <v>51.028904006500056</v>
      </c>
      <c r="S11" s="6">
        <v>2.9643444662999996</v>
      </c>
      <c r="T11" s="6">
        <v>5.8790000000000002E-2</v>
      </c>
      <c r="U11" s="6">
        <v>3920.8993634800004</v>
      </c>
      <c r="V11" s="6">
        <v>281.99506738558</v>
      </c>
      <c r="W11" s="6">
        <v>255.41528844106</v>
      </c>
      <c r="X11" s="6">
        <v>139.34066641996998</v>
      </c>
      <c r="Y11" s="6">
        <v>52.636512445203003</v>
      </c>
      <c r="Z11" s="6">
        <f>SUM(T11:Y11)</f>
        <v>4650.345688171813</v>
      </c>
      <c r="AA11" s="7">
        <v>219.63631852000003</v>
      </c>
      <c r="AB11" s="7">
        <v>217.00000348399996</v>
      </c>
      <c r="AC11" s="7">
        <v>1204.0347592719997</v>
      </c>
      <c r="AD11" s="7">
        <v>1203.0359919080001</v>
      </c>
      <c r="AE11" s="7">
        <v>683.65649554500033</v>
      </c>
      <c r="AF11" s="7">
        <v>387.3852057952995</v>
      </c>
      <c r="AG11" s="7">
        <v>694.97968547570053</v>
      </c>
      <c r="AH11" s="6">
        <v>40.617228171812997</v>
      </c>
      <c r="AI11" s="6">
        <f>SUM(AA11:AH11)</f>
        <v>4650.345688171813</v>
      </c>
      <c r="AJ11" s="3">
        <f>K11*1000/(30*$G$103*$G$96*$G$109)</f>
        <v>53.94327198187716</v>
      </c>
      <c r="AK11" s="3">
        <f>AI11*$G$98/($G$103*$G$96*$G$109)*0.277778</f>
        <v>1.6761640024684124</v>
      </c>
      <c r="AL11" s="42">
        <f t="shared" si="6"/>
        <v>17.89800995357276</v>
      </c>
      <c r="AN11" s="3">
        <f t="shared" si="1"/>
        <v>91.703562369191175</v>
      </c>
      <c r="AO11" s="44"/>
      <c r="AP11" s="42">
        <f t="shared" si="7"/>
        <v>39.87111407356138</v>
      </c>
      <c r="AQ11" s="44"/>
      <c r="AR11" s="3"/>
      <c r="AS11" s="42"/>
      <c r="AT11" s="3"/>
      <c r="AU11" s="3">
        <f t="shared" si="8"/>
        <v>61.649453693573911</v>
      </c>
      <c r="AV11" s="3"/>
      <c r="AW11" s="42">
        <f t="shared" si="9"/>
        <v>47.949575095001926</v>
      </c>
      <c r="AX11" s="3"/>
      <c r="AY11" s="3">
        <f t="shared" si="10"/>
        <v>14.915008294643966</v>
      </c>
      <c r="AZ11" s="42"/>
      <c r="BA11" s="48"/>
      <c r="BB11" s="3">
        <f t="shared" si="11"/>
        <v>61.435393090471216</v>
      </c>
      <c r="BC11" s="3"/>
      <c r="BD11" s="3"/>
    </row>
    <row r="12" spans="1:56" x14ac:dyDescent="0.25">
      <c r="A12" s="4">
        <v>2015</v>
      </c>
      <c r="B12" s="4" t="s">
        <v>18</v>
      </c>
      <c r="C12" s="4" t="s">
        <v>21</v>
      </c>
      <c r="D12" s="4" t="s">
        <v>26</v>
      </c>
      <c r="E12" s="4" t="s">
        <v>194</v>
      </c>
      <c r="F12" s="4" t="s">
        <v>31</v>
      </c>
      <c r="G12" s="4">
        <v>1</v>
      </c>
      <c r="H12" s="4" t="s">
        <v>32</v>
      </c>
      <c r="I12" s="4" t="s">
        <v>51</v>
      </c>
      <c r="J12" s="12">
        <v>6.9116063002115188E-2</v>
      </c>
      <c r="K12" s="6">
        <f t="shared" ref="K12:K16" si="24">SUM(L12:S12)</f>
        <v>316.68811263045001</v>
      </c>
      <c r="L12" s="7">
        <v>15.777627588000001</v>
      </c>
      <c r="M12" s="7">
        <v>15.14408018</v>
      </c>
      <c r="N12" s="7">
        <v>83.233993732000002</v>
      </c>
      <c r="O12" s="7">
        <v>82.976732982000001</v>
      </c>
      <c r="P12" s="7">
        <v>36.745777651499964</v>
      </c>
      <c r="Q12" s="7">
        <v>30.222118454999986</v>
      </c>
      <c r="R12" s="7">
        <v>50.016949411500036</v>
      </c>
      <c r="S12" s="6">
        <v>2.57083263045</v>
      </c>
      <c r="T12" s="6">
        <v>6.4640000000000003E-2</v>
      </c>
      <c r="U12" s="6">
        <v>4063.2371328199997</v>
      </c>
      <c r="V12" s="6">
        <v>161.74489118297001</v>
      </c>
      <c r="W12" s="6">
        <v>214.43130893379001</v>
      </c>
      <c r="X12" s="6">
        <v>135.99824247885502</v>
      </c>
      <c r="Y12" s="6">
        <v>30.5222527469145</v>
      </c>
      <c r="Z12" s="6">
        <f t="shared" ref="Z12:Z16" si="25">SUM(T12:Y12)</f>
        <v>4605.9984681625292</v>
      </c>
      <c r="AA12" s="7">
        <v>216.86189423200008</v>
      </c>
      <c r="AB12" s="7">
        <v>215.42068834999995</v>
      </c>
      <c r="AC12" s="7">
        <v>1195.6379679119996</v>
      </c>
      <c r="AD12" s="7">
        <v>1184.9433008160004</v>
      </c>
      <c r="AE12" s="7">
        <v>682.09140464700022</v>
      </c>
      <c r="AF12" s="7">
        <v>381.77100427979985</v>
      </c>
      <c r="AG12" s="7">
        <v>694.04684976320095</v>
      </c>
      <c r="AH12" s="6">
        <v>35.225358162529503</v>
      </c>
      <c r="AI12" s="6">
        <f t="shared" ref="AI12:AI16" si="26">SUM(AA12:AH12)</f>
        <v>4605.9984681625301</v>
      </c>
      <c r="AJ12" s="3">
        <f t="shared" ref="AJ12:AJ17" si="27">K12*1000/(30*$G$103*$G$96*$G$109)</f>
        <v>45.658609087435117</v>
      </c>
      <c r="AK12" s="3">
        <f t="shared" ref="AK12:AK17" si="28">AI12*$G$98/($G$103*$G$96*$G$109)*0.277778</f>
        <v>1.6601795534030077</v>
      </c>
      <c r="AL12" s="42">
        <f t="shared" si="6"/>
        <v>18.070334584296326</v>
      </c>
      <c r="AN12" s="3">
        <f t="shared" si="1"/>
        <v>77.619635448639698</v>
      </c>
      <c r="AO12" s="44"/>
      <c r="AP12" s="42">
        <f t="shared" si="7"/>
        <v>33.74766758636509</v>
      </c>
      <c r="AQ12" s="44"/>
      <c r="AR12" s="3"/>
      <c r="AS12" s="42"/>
      <c r="AT12" s="3"/>
      <c r="AU12" s="3">
        <f t="shared" si="8"/>
        <v>52.181267528497287</v>
      </c>
      <c r="AV12" s="3"/>
      <c r="AW12" s="42">
        <f t="shared" si="9"/>
        <v>40.585430299942331</v>
      </c>
      <c r="AX12" s="3"/>
      <c r="AY12" s="3">
        <f t="shared" si="10"/>
        <v>15.058612153580272</v>
      </c>
      <c r="AZ12" s="42"/>
      <c r="BA12" s="48"/>
      <c r="BB12" s="3">
        <f t="shared" si="11"/>
        <v>52.000082571801109</v>
      </c>
      <c r="BC12" s="3"/>
      <c r="BD12" s="3"/>
    </row>
    <row r="13" spans="1:56" x14ac:dyDescent="0.25">
      <c r="A13" s="4">
        <v>2015</v>
      </c>
      <c r="B13" s="4" t="s">
        <v>18</v>
      </c>
      <c r="C13" s="4" t="s">
        <v>27</v>
      </c>
      <c r="D13" s="4" t="s">
        <v>26</v>
      </c>
      <c r="E13" s="4" t="s">
        <v>195</v>
      </c>
      <c r="F13" s="4" t="s">
        <v>31</v>
      </c>
      <c r="G13" s="4">
        <v>1</v>
      </c>
      <c r="H13" s="4" t="s">
        <v>32</v>
      </c>
      <c r="I13" s="4" t="s">
        <v>56</v>
      </c>
      <c r="J13" s="12">
        <v>5.4906800535959713E-2</v>
      </c>
      <c r="K13" s="6">
        <f t="shared" si="24"/>
        <v>307.34381326969998</v>
      </c>
      <c r="L13" s="7">
        <v>15.329667298</v>
      </c>
      <c r="M13" s="7">
        <v>14.378254146</v>
      </c>
      <c r="N13" s="7">
        <v>79.162108498000009</v>
      </c>
      <c r="O13" s="7">
        <v>80.069065230999996</v>
      </c>
      <c r="P13" s="7">
        <v>36.493132501499986</v>
      </c>
      <c r="Q13" s="7">
        <v>29.320496857900025</v>
      </c>
      <c r="R13" s="7">
        <v>49.866335467599981</v>
      </c>
      <c r="S13" s="6">
        <v>2.7247532696999999</v>
      </c>
      <c r="T13" s="6">
        <v>5.7500000000000002E-2</v>
      </c>
      <c r="U13" s="6">
        <v>3840.4030521199998</v>
      </c>
      <c r="V13" s="6">
        <v>77.070091432020007</v>
      </c>
      <c r="W13" s="6">
        <v>1212.8553575221401</v>
      </c>
      <c r="X13" s="6">
        <v>92.53245175843</v>
      </c>
      <c r="Y13" s="6">
        <v>21.713744520956997</v>
      </c>
      <c r="Z13" s="6">
        <f t="shared" si="25"/>
        <v>5244.6321973535478</v>
      </c>
      <c r="AA13" s="7">
        <v>250.190789395</v>
      </c>
      <c r="AB13" s="7">
        <v>261.29376035599995</v>
      </c>
      <c r="AC13" s="7">
        <v>1439.543004915</v>
      </c>
      <c r="AD13" s="7">
        <v>1401.2745630810002</v>
      </c>
      <c r="AE13" s="7">
        <v>700.88935796550049</v>
      </c>
      <c r="AF13" s="7">
        <v>448.85361161150013</v>
      </c>
      <c r="AG13" s="7">
        <v>705.2527426759998</v>
      </c>
      <c r="AH13" s="6">
        <v>37.334367353546995</v>
      </c>
      <c r="AI13" s="6">
        <f t="shared" si="26"/>
        <v>5244.6321973535478</v>
      </c>
      <c r="AJ13" s="3">
        <f>K13*1000/(30*$G$103*$G$96*$G$109)</f>
        <v>44.311391763220868</v>
      </c>
      <c r="AK13" s="3">
        <f t="shared" si="28"/>
        <v>1.8903677887324488</v>
      </c>
      <c r="AL13" s="42">
        <f t="shared" si="6"/>
        <v>15.869927629329711</v>
      </c>
      <c r="AM13" s="1">
        <f>1-AK25/AK24</f>
        <v>3.7696889524074573E-2</v>
      </c>
      <c r="AN13" s="3">
        <f t="shared" si="1"/>
        <v>75.329365997475463</v>
      </c>
      <c r="AO13" s="44"/>
      <c r="AP13" s="42">
        <f t="shared" si="7"/>
        <v>32.751898259771941</v>
      </c>
      <c r="AQ13" s="44"/>
      <c r="AR13" s="3"/>
      <c r="AS13" s="42"/>
      <c r="AT13" s="3"/>
      <c r="AU13" s="3">
        <f t="shared" si="8"/>
        <v>50.641590586538136</v>
      </c>
      <c r="AV13" s="3"/>
      <c r="AW13" s="42">
        <f t="shared" si="9"/>
        <v>39.387903789529659</v>
      </c>
      <c r="AX13" s="3"/>
      <c r="AY13" s="3">
        <f t="shared" si="10"/>
        <v>13.224939691108093</v>
      </c>
      <c r="AZ13" s="42"/>
      <c r="BA13" s="48"/>
      <c r="BB13" s="3">
        <f t="shared" si="11"/>
        <v>50.465751730334873</v>
      </c>
      <c r="BC13" s="3"/>
      <c r="BD13" s="3"/>
    </row>
    <row r="14" spans="1:56" x14ac:dyDescent="0.25">
      <c r="A14" s="4">
        <v>2015</v>
      </c>
      <c r="B14" s="4" t="s">
        <v>18</v>
      </c>
      <c r="C14" s="4" t="s">
        <v>22</v>
      </c>
      <c r="D14" s="4" t="s">
        <v>26</v>
      </c>
      <c r="E14" s="4" t="s">
        <v>196</v>
      </c>
      <c r="F14" s="4" t="s">
        <v>31</v>
      </c>
      <c r="G14" s="4">
        <v>1</v>
      </c>
      <c r="H14" s="4" t="s">
        <v>32</v>
      </c>
      <c r="I14" s="4" t="s">
        <v>52</v>
      </c>
      <c r="J14" s="12">
        <v>5.8678570306366001E-2</v>
      </c>
      <c r="K14" s="6">
        <f t="shared" si="24"/>
        <v>280.55107700000002</v>
      </c>
      <c r="L14" s="7">
        <v>14.138885168000002</v>
      </c>
      <c r="M14" s="7">
        <v>12.419287221999999</v>
      </c>
      <c r="N14" s="7">
        <v>68.746318079999995</v>
      </c>
      <c r="O14" s="7">
        <v>72.339823887000009</v>
      </c>
      <c r="P14" s="7">
        <v>35.821557829499994</v>
      </c>
      <c r="Q14" s="7">
        <v>26.923743622099977</v>
      </c>
      <c r="R14" s="7">
        <v>49.465974191400022</v>
      </c>
      <c r="S14" s="6">
        <v>0.69548699999999997</v>
      </c>
      <c r="T14" s="6">
        <v>5.4469999999999998E-2</v>
      </c>
      <c r="U14" s="6">
        <v>3880.7853500000001</v>
      </c>
      <c r="V14" s="6">
        <v>182.43306129999999</v>
      </c>
      <c r="W14" s="6">
        <v>292.50922150000002</v>
      </c>
      <c r="X14" s="6">
        <v>88.241303080000009</v>
      </c>
      <c r="Y14" s="6">
        <v>91.843368494099991</v>
      </c>
      <c r="Z14" s="6">
        <f t="shared" si="25"/>
        <v>4535.8667743741007</v>
      </c>
      <c r="AA14" s="7">
        <v>216.16593181500002</v>
      </c>
      <c r="AB14" s="7">
        <v>209.26484248399998</v>
      </c>
      <c r="AC14" s="7">
        <v>1162.9067778630001</v>
      </c>
      <c r="AD14" s="7">
        <v>1180.4240754309994</v>
      </c>
      <c r="AE14" s="7">
        <v>681.69952470450062</v>
      </c>
      <c r="AF14" s="7">
        <v>380.37005089159948</v>
      </c>
      <c r="AG14" s="7">
        <v>693.81284681090028</v>
      </c>
      <c r="AH14" s="6">
        <v>11.2227243741</v>
      </c>
      <c r="AI14" s="6">
        <f t="shared" si="26"/>
        <v>4535.8667743740998</v>
      </c>
      <c r="AJ14" s="3">
        <f t="shared" si="27"/>
        <v>40.448540513264128</v>
      </c>
      <c r="AK14" s="3">
        <f t="shared" si="28"/>
        <v>1.6349013851886962</v>
      </c>
      <c r="AL14" s="42">
        <f t="shared" si="6"/>
        <v>18.349730614814714</v>
      </c>
      <c r="AM14" s="1">
        <f>1-AK28/AK24</f>
        <v>0.13536954362328824</v>
      </c>
      <c r="AN14" s="3">
        <f t="shared" si="1"/>
        <v>68.762518872549009</v>
      </c>
      <c r="AO14" s="44"/>
      <c r="AP14" s="42">
        <f t="shared" si="7"/>
        <v>29.896747335890876</v>
      </c>
      <c r="AQ14" s="44"/>
      <c r="AR14" s="3"/>
      <c r="AS14" s="42"/>
      <c r="AT14" s="3"/>
      <c r="AU14" s="3">
        <f t="shared" si="8"/>
        <v>46.226903443730443</v>
      </c>
      <c r="AV14" s="3"/>
      <c r="AW14" s="42">
        <f t="shared" si="9"/>
        <v>35.954258234012563</v>
      </c>
      <c r="AX14" s="3"/>
      <c r="AY14" s="3">
        <f t="shared" si="10"/>
        <v>15.291442179012263</v>
      </c>
      <c r="AZ14" s="42"/>
      <c r="BA14" s="48"/>
      <c r="BB14" s="3">
        <f t="shared" si="11"/>
        <v>46.06639336232859</v>
      </c>
      <c r="BC14" s="3"/>
      <c r="BD14" s="3"/>
    </row>
    <row r="15" spans="1:56" x14ac:dyDescent="0.25">
      <c r="A15" s="4">
        <v>2015</v>
      </c>
      <c r="B15" s="4" t="s">
        <v>18</v>
      </c>
      <c r="C15" s="4" t="s">
        <v>23</v>
      </c>
      <c r="D15" s="4" t="s">
        <v>26</v>
      </c>
      <c r="E15" s="4" t="s">
        <v>197</v>
      </c>
      <c r="F15" s="4" t="s">
        <v>31</v>
      </c>
      <c r="G15" s="4">
        <v>1</v>
      </c>
      <c r="H15" s="4" t="s">
        <v>32</v>
      </c>
      <c r="I15" s="4" t="s">
        <v>53</v>
      </c>
      <c r="J15" s="12">
        <v>0.37167849707604594</v>
      </c>
      <c r="K15" s="6">
        <f t="shared" si="24"/>
        <v>358.45843997679998</v>
      </c>
      <c r="L15" s="7">
        <v>17.984733159000001</v>
      </c>
      <c r="M15" s="7">
        <v>17.931879431999999</v>
      </c>
      <c r="N15" s="7">
        <v>98.056548743000008</v>
      </c>
      <c r="O15" s="7">
        <v>97.302583086999988</v>
      </c>
      <c r="P15" s="7">
        <v>37.990635967500026</v>
      </c>
      <c r="Q15" s="7">
        <v>34.664482070299982</v>
      </c>
      <c r="R15" s="7">
        <v>50.759027541199998</v>
      </c>
      <c r="S15" s="6">
        <v>3.7685499767999997</v>
      </c>
      <c r="T15" s="6">
        <v>5.7869999999999998E-2</v>
      </c>
      <c r="U15" s="6">
        <v>4557.4043592799999</v>
      </c>
      <c r="V15" s="6">
        <v>172.79949093488</v>
      </c>
      <c r="W15" s="6">
        <v>145.77773385616001</v>
      </c>
      <c r="X15" s="6">
        <v>105.83856877992</v>
      </c>
      <c r="Y15" s="6">
        <v>18.578459621208001</v>
      </c>
      <c r="Z15" s="6">
        <f t="shared" si="25"/>
        <v>5000.4564824721674</v>
      </c>
      <c r="AA15" s="7">
        <v>237.30961929200001</v>
      </c>
      <c r="AB15" s="7">
        <v>241.59059342799995</v>
      </c>
      <c r="AC15" s="7">
        <v>1334.7818294839999</v>
      </c>
      <c r="AD15" s="7">
        <v>1317.6647349669995</v>
      </c>
      <c r="AE15" s="7">
        <v>693.62446400250064</v>
      </c>
      <c r="AF15" s="7">
        <v>422.92702028429994</v>
      </c>
      <c r="AG15" s="7">
        <v>700.92182854219936</v>
      </c>
      <c r="AH15" s="6">
        <v>51.636392472167991</v>
      </c>
      <c r="AI15" s="6">
        <f t="shared" si="26"/>
        <v>5000.4564824721674</v>
      </c>
      <c r="AJ15" s="3">
        <f t="shared" si="27"/>
        <v>51.680859281545551</v>
      </c>
      <c r="AK15" s="3">
        <f t="shared" si="28"/>
        <v>1.8023574404690577</v>
      </c>
      <c r="AL15" s="42">
        <f t="shared" si="6"/>
        <v>16.644867064877317</v>
      </c>
      <c r="AM15" s="1">
        <f>1-AK31/AK24</f>
        <v>0.17185963478737631</v>
      </c>
      <c r="AN15" s="3">
        <f t="shared" si="1"/>
        <v>87.857460778627441</v>
      </c>
      <c r="AO15" s="44"/>
      <c r="AP15" s="42">
        <f t="shared" si="7"/>
        <v>38.198895990707584</v>
      </c>
      <c r="AQ15" s="44"/>
      <c r="AR15" s="3"/>
      <c r="AS15" s="42"/>
      <c r="AT15" s="3"/>
      <c r="AU15" s="3">
        <f t="shared" si="8"/>
        <v>59.063839178909213</v>
      </c>
      <c r="AV15" s="3"/>
      <c r="AW15" s="42">
        <f t="shared" si="9"/>
        <v>45.938541583596049</v>
      </c>
      <c r="AX15" s="3"/>
      <c r="AY15" s="3">
        <f t="shared" si="10"/>
        <v>13.870722554064432</v>
      </c>
      <c r="AZ15" s="42"/>
      <c r="BA15" s="48"/>
      <c r="BB15" s="3">
        <f t="shared" si="11"/>
        <v>58.858756403982426</v>
      </c>
      <c r="BC15" s="3"/>
      <c r="BD15" s="3"/>
    </row>
    <row r="16" spans="1:56" x14ac:dyDescent="0.25">
      <c r="A16" s="4">
        <v>2015</v>
      </c>
      <c r="B16" s="4" t="s">
        <v>18</v>
      </c>
      <c r="C16" s="4" t="s">
        <v>24</v>
      </c>
      <c r="D16" s="4" t="s">
        <v>26</v>
      </c>
      <c r="E16" s="4" t="s">
        <v>198</v>
      </c>
      <c r="F16" s="4" t="s">
        <v>31</v>
      </c>
      <c r="G16" s="4">
        <v>1</v>
      </c>
      <c r="H16" s="4" t="s">
        <v>32</v>
      </c>
      <c r="I16" s="4" t="s">
        <v>54</v>
      </c>
      <c r="J16" s="12">
        <v>8.3166305926227355E-2</v>
      </c>
      <c r="K16" s="6">
        <f t="shared" si="24"/>
        <v>341.76563278500004</v>
      </c>
      <c r="L16" s="7">
        <v>17.071133623000001</v>
      </c>
      <c r="M16" s="7">
        <v>16.903237925999996</v>
      </c>
      <c r="N16" s="7">
        <v>92.587351415000001</v>
      </c>
      <c r="O16" s="7">
        <v>91.372670117999988</v>
      </c>
      <c r="P16" s="7">
        <v>37.475330189999994</v>
      </c>
      <c r="Q16" s="7">
        <v>32.825639230199982</v>
      </c>
      <c r="R16" s="7">
        <v>50.451857497800063</v>
      </c>
      <c r="S16" s="6">
        <v>3.0784127849999998</v>
      </c>
      <c r="T16" s="6">
        <v>5.8110000000000002E-2</v>
      </c>
      <c r="U16" s="6">
        <v>4161.5179959999996</v>
      </c>
      <c r="V16" s="6">
        <v>92.369134981000002</v>
      </c>
      <c r="W16" s="6">
        <v>652.86929176699994</v>
      </c>
      <c r="X16" s="6">
        <v>78.2254755915</v>
      </c>
      <c r="Y16" s="6">
        <v>25.445585480850003</v>
      </c>
      <c r="Z16" s="6">
        <f t="shared" si="25"/>
        <v>5010.4855938203491</v>
      </c>
      <c r="AA16" s="7">
        <v>237.06025430600002</v>
      </c>
      <c r="AB16" s="7">
        <v>245.0856515159999</v>
      </c>
      <c r="AC16" s="7">
        <v>1353.3655377939997</v>
      </c>
      <c r="AD16" s="7">
        <v>1316.0474819490009</v>
      </c>
      <c r="AE16" s="7">
        <v>693.48330241799886</v>
      </c>
      <c r="AF16" s="7">
        <v>422.42519348000087</v>
      </c>
      <c r="AG16" s="7">
        <v>700.83798853699864</v>
      </c>
      <c r="AH16" s="6">
        <v>42.180183820350003</v>
      </c>
      <c r="AI16" s="6">
        <f t="shared" si="26"/>
        <v>5010.4855938203491</v>
      </c>
      <c r="AJ16" s="3">
        <f t="shared" si="27"/>
        <v>49.27416850994809</v>
      </c>
      <c r="AK16" s="3">
        <f t="shared" si="28"/>
        <v>1.8059723191352453</v>
      </c>
      <c r="AL16" s="42">
        <f t="shared" si="6"/>
        <v>16.611550289079137</v>
      </c>
      <c r="AN16" s="3">
        <f t="shared" si="1"/>
        <v>83.766086466911759</v>
      </c>
      <c r="AO16" s="44"/>
      <c r="AP16" s="42">
        <f t="shared" si="7"/>
        <v>36.420037594309463</v>
      </c>
      <c r="AQ16" s="44"/>
      <c r="AR16" s="3"/>
      <c r="AS16" s="42"/>
      <c r="AT16" s="3"/>
      <c r="AU16" s="3">
        <f t="shared" si="8"/>
        <v>56.313335439940687</v>
      </c>
      <c r="AV16" s="3"/>
      <c r="AW16" s="42">
        <f t="shared" si="9"/>
        <v>43.799260897731642</v>
      </c>
      <c r="AX16" s="3"/>
      <c r="AY16" s="3">
        <f t="shared" si="10"/>
        <v>13.842958574232615</v>
      </c>
      <c r="AZ16" s="42"/>
      <c r="BA16" s="48"/>
      <c r="BB16" s="3">
        <f t="shared" si="11"/>
        <v>56.117803025218663</v>
      </c>
      <c r="BC16" s="3"/>
      <c r="BD16" s="3"/>
    </row>
    <row r="17" spans="1:56" x14ac:dyDescent="0.25">
      <c r="A17" s="4">
        <v>2015</v>
      </c>
      <c r="B17" s="4" t="s">
        <v>18</v>
      </c>
      <c r="C17" s="4"/>
      <c r="D17" s="4"/>
      <c r="E17" s="4"/>
      <c r="F17" s="4"/>
      <c r="G17" s="4"/>
      <c r="H17" s="4"/>
      <c r="I17" s="4"/>
      <c r="J17" s="8">
        <f>K11/K4</f>
        <v>0.94532399362855168</v>
      </c>
      <c r="K17" s="10">
        <f>$J11*K11+$J12*K12+$J13*K13+$J14*K14+$J15*K15+$J16*K16</f>
        <v>352.49278570121163</v>
      </c>
      <c r="L17" s="6">
        <f t="shared" ref="L17:AI17" si="29">$J11*L11+$J12*L12+$J13*L13+$J14*L14+$J15*L15+$J16*L16</f>
        <v>17.675697063096219</v>
      </c>
      <c r="M17" s="6">
        <f t="shared" si="29"/>
        <v>17.591975157983679</v>
      </c>
      <c r="N17" s="6">
        <f t="shared" si="29"/>
        <v>96.24931246228617</v>
      </c>
      <c r="O17" s="6">
        <f t="shared" si="29"/>
        <v>95.346198418020037</v>
      </c>
      <c r="P17" s="6">
        <f t="shared" si="29"/>
        <v>37.816326031889645</v>
      </c>
      <c r="Q17" s="6">
        <f t="shared" si="29"/>
        <v>34.058905875147858</v>
      </c>
      <c r="R17" s="6">
        <f t="shared" si="29"/>
        <v>50.655120177547595</v>
      </c>
      <c r="S17" s="6">
        <f t="shared" si="29"/>
        <v>3.0992505152404259</v>
      </c>
      <c r="T17" s="6">
        <f t="shared" si="29"/>
        <v>5.8471510466807687E-2</v>
      </c>
      <c r="U17" s="6">
        <f t="shared" si="29"/>
        <v>4180.5501448653513</v>
      </c>
      <c r="V17" s="6">
        <f t="shared" si="29"/>
        <v>200.23378162923689</v>
      </c>
      <c r="W17" s="6">
        <f t="shared" si="29"/>
        <v>299.63408670946745</v>
      </c>
      <c r="X17" s="6">
        <f t="shared" si="29"/>
        <v>116.00639038912654</v>
      </c>
      <c r="Y17" s="6">
        <f t="shared" si="29"/>
        <v>36.790779050077255</v>
      </c>
      <c r="Z17" s="10">
        <f t="shared" si="29"/>
        <v>4833.2736541537261</v>
      </c>
      <c r="AA17" s="6">
        <f t="shared" si="29"/>
        <v>228.93644238699912</v>
      </c>
      <c r="AB17" s="6">
        <f t="shared" si="29"/>
        <v>230.34456083365279</v>
      </c>
      <c r="AC17" s="6">
        <f t="shared" si="29"/>
        <v>1274.9872429950283</v>
      </c>
      <c r="AD17" s="6">
        <f t="shared" si="29"/>
        <v>1263.3470941815938</v>
      </c>
      <c r="AE17" s="6">
        <f t="shared" si="29"/>
        <v>688.90183047428729</v>
      </c>
      <c r="AF17" s="6">
        <f t="shared" si="29"/>
        <v>406.08484305489884</v>
      </c>
      <c r="AG17" s="6">
        <f t="shared" si="29"/>
        <v>698.10658405075912</v>
      </c>
      <c r="AH17" s="6">
        <f t="shared" si="29"/>
        <v>42.565056176506765</v>
      </c>
      <c r="AI17" s="10">
        <f t="shared" si="29"/>
        <v>4833.2736541537261</v>
      </c>
      <c r="AJ17" s="41">
        <f t="shared" si="27"/>
        <v>50.820759184142389</v>
      </c>
      <c r="AK17" s="41">
        <f t="shared" si="28"/>
        <v>1.7420982990097498</v>
      </c>
      <c r="AL17" s="43">
        <f t="shared" si="6"/>
        <v>17.22061264685966</v>
      </c>
      <c r="AN17" s="41">
        <f t="shared" si="1"/>
        <v>86.395290613042064</v>
      </c>
      <c r="AO17" s="53"/>
      <c r="AP17" s="43">
        <f t="shared" si="7"/>
        <v>37.563169831757421</v>
      </c>
      <c r="AQ17" s="53"/>
      <c r="AR17" s="41"/>
      <c r="AS17" s="43"/>
      <c r="AT17" s="41"/>
      <c r="AU17" s="41">
        <f t="shared" si="8"/>
        <v>58.080867639019885</v>
      </c>
      <c r="AV17" s="41"/>
      <c r="AW17" s="43">
        <f t="shared" si="9"/>
        <v>45.174008163682124</v>
      </c>
      <c r="AX17" s="41"/>
      <c r="AY17" s="41">
        <f t="shared" si="10"/>
        <v>14.350510539049715</v>
      </c>
      <c r="AZ17" s="43"/>
      <c r="BA17" s="54"/>
      <c r="BB17" s="41">
        <f t="shared" si="11"/>
        <v>57.879197959717715</v>
      </c>
      <c r="BC17" s="3"/>
      <c r="BD17" s="3"/>
    </row>
    <row r="18" spans="1:56" x14ac:dyDescent="0.25">
      <c r="A18" s="4">
        <v>2020</v>
      </c>
      <c r="B18" s="4" t="s">
        <v>18</v>
      </c>
      <c r="C18" s="4" t="s">
        <v>19</v>
      </c>
      <c r="D18" s="4" t="s">
        <v>26</v>
      </c>
      <c r="E18" s="4" t="s">
        <v>200</v>
      </c>
      <c r="F18" s="4" t="s">
        <v>31</v>
      </c>
      <c r="G18" s="4">
        <v>1</v>
      </c>
      <c r="H18" s="4" t="s">
        <v>32</v>
      </c>
      <c r="I18" s="4" t="s">
        <v>49</v>
      </c>
      <c r="J18" s="12">
        <v>6.3611092852727744E-2</v>
      </c>
      <c r="K18" s="6">
        <f>SUM(L18:S18)</f>
        <v>355.0573144663</v>
      </c>
      <c r="L18" s="7">
        <v>17.806593477</v>
      </c>
      <c r="M18" s="7">
        <v>17.785378422000001</v>
      </c>
      <c r="N18" s="7">
        <v>97.277634820999992</v>
      </c>
      <c r="O18" s="7">
        <v>96.282823084000015</v>
      </c>
      <c r="P18" s="7">
        <v>37.890153200999976</v>
      </c>
      <c r="Q18" s="7">
        <v>34.351257112500036</v>
      </c>
      <c r="R18" s="7">
        <v>50.69912988249996</v>
      </c>
      <c r="S18" s="6">
        <v>2.9643444662999996</v>
      </c>
      <c r="T18" s="6">
        <v>5.987E-2</v>
      </c>
      <c r="U18" s="6">
        <v>3756.65879348</v>
      </c>
      <c r="V18" s="6">
        <v>259.25464738557997</v>
      </c>
      <c r="W18" s="6">
        <v>319.41253844105995</v>
      </c>
      <c r="X18" s="6">
        <v>162.14631641996999</v>
      </c>
      <c r="Y18" s="6">
        <v>83.004532445202997</v>
      </c>
      <c r="Z18" s="6">
        <f>SUM(T18:Y18)</f>
        <v>4580.5366981718134</v>
      </c>
      <c r="AA18" s="7">
        <v>216.07548637799999</v>
      </c>
      <c r="AB18" s="7">
        <v>211.81354180999998</v>
      </c>
      <c r="AC18" s="7">
        <v>1176.4585185700003</v>
      </c>
      <c r="AD18" s="7">
        <v>1179.9231721769997</v>
      </c>
      <c r="AE18" s="7">
        <v>681.64817794499959</v>
      </c>
      <c r="AF18" s="7">
        <v>380.21811483030024</v>
      </c>
      <c r="AG18" s="7">
        <v>693.78245828970012</v>
      </c>
      <c r="AH18" s="6">
        <v>40.617228171812997</v>
      </c>
      <c r="AI18" s="6">
        <f>SUM(AA18:AH18)</f>
        <v>4580.5366981718125</v>
      </c>
      <c r="AJ18" s="3">
        <f>K18*1000/(30*$G$103*$G$96*$G$113)</f>
        <v>42.45065930969632</v>
      </c>
      <c r="AK18" s="3">
        <f>AI18*$G$98/($G$103*$G$96*$G$113)*0.277778</f>
        <v>1.3691237334412876</v>
      </c>
      <c r="AL18" s="42">
        <f t="shared" si="6"/>
        <v>21.911825255263896</v>
      </c>
      <c r="AN18" s="3">
        <f t="shared" si="1"/>
        <v>72.166120826483748</v>
      </c>
      <c r="AO18" s="44"/>
      <c r="AP18" s="42">
        <f t="shared" si="7"/>
        <v>31.376574272384239</v>
      </c>
      <c r="AQ18" s="44"/>
      <c r="AR18" s="3"/>
      <c r="AS18" s="42"/>
      <c r="AT18" s="3"/>
      <c r="AU18" s="3">
        <f t="shared" si="8"/>
        <v>48.515039211081515</v>
      </c>
      <c r="AV18" s="3"/>
      <c r="AW18" s="42">
        <f t="shared" si="9"/>
        <v>37.733919386396728</v>
      </c>
      <c r="AX18" s="3"/>
      <c r="AY18" s="3">
        <f t="shared" si="10"/>
        <v>18.259854379386582</v>
      </c>
      <c r="AZ18" s="42"/>
      <c r="BA18" s="48"/>
      <c r="BB18" s="3">
        <f t="shared" si="11"/>
        <v>48.346584213820812</v>
      </c>
      <c r="BC18" s="3"/>
      <c r="BD18" s="3"/>
    </row>
    <row r="19" spans="1:56" x14ac:dyDescent="0.25">
      <c r="A19" s="4">
        <v>2020</v>
      </c>
      <c r="B19" s="4" t="s">
        <v>18</v>
      </c>
      <c r="C19" s="4" t="s">
        <v>27</v>
      </c>
      <c r="D19" s="4" t="s">
        <v>26</v>
      </c>
      <c r="E19" s="4" t="s">
        <v>199</v>
      </c>
      <c r="F19" s="4" t="s">
        <v>31</v>
      </c>
      <c r="G19" s="4">
        <v>1</v>
      </c>
      <c r="H19" s="4" t="s">
        <v>32</v>
      </c>
      <c r="I19" s="4" t="s">
        <v>56</v>
      </c>
      <c r="J19" s="12">
        <v>9.7665377765249708E-2</v>
      </c>
      <c r="K19" s="6">
        <f t="shared" ref="K19:K23" si="30">SUM(L19:S19)</f>
        <v>298.40498326969998</v>
      </c>
      <c r="L19" s="7">
        <v>14.866397134000001</v>
      </c>
      <c r="M19" s="7">
        <v>13.726181111999999</v>
      </c>
      <c r="N19" s="7">
        <v>75.695060541999993</v>
      </c>
      <c r="O19" s="7">
        <v>77.062108987000002</v>
      </c>
      <c r="P19" s="7">
        <v>36.231847829999992</v>
      </c>
      <c r="Q19" s="7">
        <v>28.388059829900016</v>
      </c>
      <c r="R19" s="7">
        <v>49.710574565099989</v>
      </c>
      <c r="S19" s="6">
        <v>2.7247532696999999</v>
      </c>
      <c r="T19" s="6">
        <v>5.8279999999999998E-2</v>
      </c>
      <c r="U19" s="6">
        <v>3774.93051212</v>
      </c>
      <c r="V19" s="6">
        <v>77.622021432020006</v>
      </c>
      <c r="W19" s="6">
        <v>1128.84756752214</v>
      </c>
      <c r="X19" s="6">
        <v>120.10972175843</v>
      </c>
      <c r="Y19" s="6">
        <v>25.554134520957</v>
      </c>
      <c r="Z19" s="6">
        <f t="shared" ref="Z19:Z31" si="31">SUM(T19:Y19)</f>
        <v>5127.1222373535475</v>
      </c>
      <c r="AA19" s="7">
        <v>244.08311768099998</v>
      </c>
      <c r="AB19" s="7">
        <v>252.750567504</v>
      </c>
      <c r="AC19" s="7">
        <v>1394.1192193449999</v>
      </c>
      <c r="AD19" s="7">
        <v>1361.6307829040004</v>
      </c>
      <c r="AE19" s="7">
        <v>697.44457630799934</v>
      </c>
      <c r="AF19" s="7">
        <v>436.56039075580065</v>
      </c>
      <c r="AG19" s="7">
        <v>703.19921550219988</v>
      </c>
      <c r="AH19" s="6">
        <v>37.334367353546995</v>
      </c>
      <c r="AI19" s="6">
        <f t="shared" ref="AI19:AI23" si="32">SUM(AA19:AH19)</f>
        <v>5127.1222373535475</v>
      </c>
      <c r="AJ19" s="3">
        <f t="shared" ref="AJ19:AJ30" si="33">K19*1000/(30*$G$103*$G$96*$G$113)</f>
        <v>35.677305508094207</v>
      </c>
      <c r="AK19" s="3">
        <f t="shared" ref="AK19:AK31" si="34">AI19*$G$98/($G$103*$G$96*$G$113)*0.277778</f>
        <v>1.5324983079421739</v>
      </c>
      <c r="AL19" s="42">
        <f t="shared" si="6"/>
        <v>19.575878057760306</v>
      </c>
      <c r="AN19" s="3">
        <f t="shared" si="1"/>
        <v>60.651419363760148</v>
      </c>
      <c r="AO19" s="44"/>
      <c r="AP19" s="42">
        <f t="shared" si="7"/>
        <v>26.370182332069628</v>
      </c>
      <c r="AQ19" s="44"/>
      <c r="AR19" s="3"/>
      <c r="AS19" s="42"/>
      <c r="AT19" s="3"/>
      <c r="AU19" s="3">
        <f t="shared" si="8"/>
        <v>40.774063437821958</v>
      </c>
      <c r="AV19" s="3"/>
      <c r="AW19" s="42">
        <f t="shared" si="9"/>
        <v>31.713160451639297</v>
      </c>
      <c r="AX19" s="3"/>
      <c r="AY19" s="3">
        <f t="shared" si="10"/>
        <v>16.313231714800256</v>
      </c>
      <c r="AZ19" s="42"/>
      <c r="BA19" s="48"/>
      <c r="BB19" s="3">
        <f t="shared" si="11"/>
        <v>40.632486828662849</v>
      </c>
      <c r="BC19" s="3"/>
      <c r="BD19" s="3"/>
    </row>
    <row r="20" spans="1:56" x14ac:dyDescent="0.25">
      <c r="A20" s="4">
        <v>2020</v>
      </c>
      <c r="B20" s="4" t="s">
        <v>18</v>
      </c>
      <c r="C20" s="4" t="s">
        <v>23</v>
      </c>
      <c r="D20" s="4" t="s">
        <v>26</v>
      </c>
      <c r="E20" s="4" t="s">
        <v>201</v>
      </c>
      <c r="F20" s="4" t="s">
        <v>31</v>
      </c>
      <c r="G20" s="4">
        <v>1</v>
      </c>
      <c r="H20" s="4" t="s">
        <v>32</v>
      </c>
      <c r="I20" s="4" t="s">
        <v>53</v>
      </c>
      <c r="J20" s="12">
        <v>0.40930715649976673</v>
      </c>
      <c r="K20" s="6">
        <f t="shared" si="30"/>
        <v>353.85239997679997</v>
      </c>
      <c r="L20" s="7">
        <v>17.747048002</v>
      </c>
      <c r="M20" s="7">
        <v>17.594186375999996</v>
      </c>
      <c r="N20" s="7">
        <v>96.261050273999999</v>
      </c>
      <c r="O20" s="7">
        <v>95.759797847000002</v>
      </c>
      <c r="P20" s="7">
        <v>37.856589532500038</v>
      </c>
      <c r="Q20" s="7">
        <v>34.186067157099956</v>
      </c>
      <c r="R20" s="7">
        <v>50.679110811399994</v>
      </c>
      <c r="S20" s="6">
        <v>3.7685499767999997</v>
      </c>
      <c r="T20" s="6">
        <v>5.8729999999999997E-2</v>
      </c>
      <c r="U20" s="6">
        <v>4380.3399392799993</v>
      </c>
      <c r="V20" s="6">
        <v>233.99842093487999</v>
      </c>
      <c r="W20" s="6">
        <v>145.59638385616</v>
      </c>
      <c r="X20" s="6">
        <v>120.70869877992</v>
      </c>
      <c r="Y20" s="6">
        <v>18.575359621208001</v>
      </c>
      <c r="Z20" s="6">
        <f t="shared" si="31"/>
        <v>4899.2775324721679</v>
      </c>
      <c r="AA20" s="7">
        <v>232.08845551499999</v>
      </c>
      <c r="AB20" s="7">
        <v>234.17263714599997</v>
      </c>
      <c r="AC20" s="7">
        <v>1295.3408662510001</v>
      </c>
      <c r="AD20" s="7">
        <v>1283.7750463510004</v>
      </c>
      <c r="AE20" s="7">
        <v>690.67967054999917</v>
      </c>
      <c r="AF20" s="7">
        <v>412.41811992649991</v>
      </c>
      <c r="AG20" s="7">
        <v>699.1663442604995</v>
      </c>
      <c r="AH20" s="6">
        <v>51.636392472167991</v>
      </c>
      <c r="AI20" s="6">
        <f t="shared" si="32"/>
        <v>4899.277532472167</v>
      </c>
      <c r="AJ20" s="3">
        <f t="shared" si="33"/>
        <v>42.306599710282157</v>
      </c>
      <c r="AK20" s="3">
        <f t="shared" si="34"/>
        <v>1.4643954602744478</v>
      </c>
      <c r="AL20" s="42">
        <f t="shared" si="6"/>
        <v>20.486269463289368</v>
      </c>
      <c r="AN20" s="3">
        <f t="shared" si="1"/>
        <v>71.921219507479663</v>
      </c>
      <c r="AO20" s="44"/>
      <c r="AP20" s="42">
        <f t="shared" si="7"/>
        <v>31.270095438034634</v>
      </c>
      <c r="AQ20" s="44"/>
      <c r="AR20" s="3"/>
      <c r="AS20" s="42"/>
      <c r="AT20" s="3"/>
      <c r="AU20" s="3">
        <f t="shared" si="8"/>
        <v>48.3503996688939</v>
      </c>
      <c r="AV20" s="3"/>
      <c r="AW20" s="42">
        <f t="shared" si="9"/>
        <v>37.605866409139701</v>
      </c>
      <c r="AX20" s="3"/>
      <c r="AY20" s="3">
        <f t="shared" si="10"/>
        <v>17.071891219407807</v>
      </c>
      <c r="AZ20" s="42"/>
      <c r="BA20" s="48"/>
      <c r="BB20" s="3">
        <f t="shared" si="11"/>
        <v>48.182516336710229</v>
      </c>
      <c r="BC20" s="3"/>
      <c r="BD20" s="3"/>
    </row>
    <row r="21" spans="1:56" x14ac:dyDescent="0.25">
      <c r="A21" s="4">
        <v>2020</v>
      </c>
      <c r="B21" s="4" t="s">
        <v>18</v>
      </c>
      <c r="C21" s="4" t="s">
        <v>28</v>
      </c>
      <c r="D21" s="4" t="s">
        <v>26</v>
      </c>
      <c r="E21" s="4" t="s">
        <v>202</v>
      </c>
      <c r="F21" s="4" t="s">
        <v>31</v>
      </c>
      <c r="G21" s="4">
        <v>1</v>
      </c>
      <c r="H21" s="4" t="s">
        <v>32</v>
      </c>
      <c r="I21" s="4" t="s">
        <v>57</v>
      </c>
      <c r="J21" s="12">
        <v>2.9976801670557808E-2</v>
      </c>
      <c r="K21" s="6">
        <f t="shared" si="30"/>
        <v>255.23427094030001</v>
      </c>
      <c r="L21" s="7">
        <v>12.559306113000002</v>
      </c>
      <c r="M21" s="7">
        <v>10.519370030000001</v>
      </c>
      <c r="N21" s="7">
        <v>58.644581041000002</v>
      </c>
      <c r="O21" s="7">
        <v>62.087177519999983</v>
      </c>
      <c r="P21" s="7">
        <v>34.930616911499982</v>
      </c>
      <c r="Q21" s="7">
        <v>23.744451336400033</v>
      </c>
      <c r="R21" s="7">
        <v>48.934877048099992</v>
      </c>
      <c r="S21" s="6">
        <v>3.8138909403000003</v>
      </c>
      <c r="T21" s="6">
        <v>5.2159999999999998E-2</v>
      </c>
      <c r="U21" s="6">
        <v>4100.49175388</v>
      </c>
      <c r="V21" s="6">
        <v>70.014933953980005</v>
      </c>
      <c r="W21" s="6">
        <v>143.82884157986001</v>
      </c>
      <c r="X21" s="6">
        <v>73.157390040570007</v>
      </c>
      <c r="Y21" s="6">
        <v>18.107891539143001</v>
      </c>
      <c r="Z21" s="6">
        <f t="shared" si="31"/>
        <v>4405.652970993553</v>
      </c>
      <c r="AA21" s="7">
        <v>205.17410460700003</v>
      </c>
      <c r="AB21" s="7">
        <v>200.25813536999996</v>
      </c>
      <c r="AC21" s="7">
        <v>1115.0195379829997</v>
      </c>
      <c r="AD21" s="7">
        <v>1109.0806261710002</v>
      </c>
      <c r="AE21" s="7">
        <v>675.49923273750028</v>
      </c>
      <c r="AF21" s="7">
        <v>358.24651497159994</v>
      </c>
      <c r="AG21" s="7">
        <v>690.11716815989939</v>
      </c>
      <c r="AH21" s="6">
        <v>52.257650993553007</v>
      </c>
      <c r="AI21" s="6">
        <f t="shared" si="32"/>
        <v>4405.652970993553</v>
      </c>
      <c r="AJ21" s="3">
        <f t="shared" si="33"/>
        <v>30.515814316152561</v>
      </c>
      <c r="AK21" s="3">
        <f t="shared" si="34"/>
        <v>1.3168509372058614</v>
      </c>
      <c r="AL21" s="42">
        <f t="shared" si="6"/>
        <v>22.781621786027664</v>
      </c>
      <c r="AN21" s="3">
        <f t="shared" si="1"/>
        <v>51.876884337459359</v>
      </c>
      <c r="AO21" s="44"/>
      <c r="AP21" s="42">
        <f t="shared" si="7"/>
        <v>22.5551671032432</v>
      </c>
      <c r="AQ21" s="44"/>
      <c r="AR21" s="3"/>
      <c r="AS21" s="42"/>
      <c r="AT21" s="3"/>
      <c r="AU21" s="3">
        <f t="shared" si="8"/>
        <v>34.875216361317214</v>
      </c>
      <c r="AV21" s="3"/>
      <c r="AW21" s="42">
        <f t="shared" si="9"/>
        <v>27.125168281024497</v>
      </c>
      <c r="AX21" s="3"/>
      <c r="AY21" s="3">
        <f t="shared" si="10"/>
        <v>18.984684821689722</v>
      </c>
      <c r="AZ21" s="42"/>
      <c r="BA21" s="48"/>
      <c r="BB21" s="3">
        <f t="shared" si="11"/>
        <v>34.754121860062632</v>
      </c>
      <c r="BC21" s="3"/>
      <c r="BD21" s="3"/>
    </row>
    <row r="22" spans="1:56" x14ac:dyDescent="0.25">
      <c r="A22" s="4">
        <v>2020</v>
      </c>
      <c r="B22" s="4" t="s">
        <v>18</v>
      </c>
      <c r="C22" s="4" t="s">
        <v>29</v>
      </c>
      <c r="D22" s="4" t="s">
        <v>26</v>
      </c>
      <c r="E22" s="4" t="s">
        <v>203</v>
      </c>
      <c r="F22" s="4" t="s">
        <v>31</v>
      </c>
      <c r="G22" s="4">
        <v>1</v>
      </c>
      <c r="H22" s="4" t="s">
        <v>32</v>
      </c>
      <c r="I22" s="4" t="s">
        <v>58</v>
      </c>
      <c r="J22" s="12">
        <v>0.17811008035514522</v>
      </c>
      <c r="K22" s="6">
        <f t="shared" si="30"/>
        <v>304.72749418950002</v>
      </c>
      <c r="L22" s="7">
        <v>15.217441591000002</v>
      </c>
      <c r="M22" s="7">
        <v>14.027586835999996</v>
      </c>
      <c r="N22" s="7">
        <v>77.297597078999985</v>
      </c>
      <c r="O22" s="7">
        <v>79.340551257000016</v>
      </c>
      <c r="P22" s="7">
        <v>36.42985784550001</v>
      </c>
      <c r="Q22" s="7">
        <v>29.094603780199975</v>
      </c>
      <c r="R22" s="7">
        <v>49.82860161130003</v>
      </c>
      <c r="S22" s="6">
        <v>3.4912541894999998</v>
      </c>
      <c r="T22" s="6">
        <v>5.4989999999999997E-2</v>
      </c>
      <c r="U22" s="6">
        <v>4059.8907742000001</v>
      </c>
      <c r="V22" s="6">
        <v>100.25638247069999</v>
      </c>
      <c r="W22" s="6">
        <v>148.45841472490002</v>
      </c>
      <c r="X22" s="6">
        <v>74.603307070049993</v>
      </c>
      <c r="Y22" s="6">
        <v>36.601697680994995</v>
      </c>
      <c r="Z22" s="6">
        <f t="shared" si="31"/>
        <v>4419.8655661466446</v>
      </c>
      <c r="AA22" s="7">
        <v>207.420784037</v>
      </c>
      <c r="AB22" s="7">
        <v>199.50798416999999</v>
      </c>
      <c r="AC22" s="7">
        <v>1111.0303758290004</v>
      </c>
      <c r="AD22" s="7">
        <v>1123.6617879289995</v>
      </c>
      <c r="AE22" s="7">
        <v>676.76684181300016</v>
      </c>
      <c r="AF22" s="7">
        <v>362.76835145750056</v>
      </c>
      <c r="AG22" s="7">
        <v>690.87253476449951</v>
      </c>
      <c r="AH22" s="6">
        <v>47.836906146645006</v>
      </c>
      <c r="AI22" s="6">
        <f t="shared" si="32"/>
        <v>4419.8655661466446</v>
      </c>
      <c r="AJ22" s="3">
        <f t="shared" si="33"/>
        <v>36.433225034612626</v>
      </c>
      <c r="AK22" s="3">
        <f t="shared" si="34"/>
        <v>1.3210990859753402</v>
      </c>
      <c r="AL22" s="42">
        <f t="shared" si="6"/>
        <v>22.708364814174114</v>
      </c>
      <c r="AN22" s="3">
        <f t="shared" si="1"/>
        <v>61.936482558841462</v>
      </c>
      <c r="AO22" s="44"/>
      <c r="AP22" s="42">
        <f t="shared" si="7"/>
        <v>26.928905460365851</v>
      </c>
      <c r="AQ22" s="44"/>
      <c r="AR22" s="3"/>
      <c r="AS22" s="42"/>
      <c r="AT22" s="3"/>
      <c r="AU22" s="3">
        <f t="shared" si="8"/>
        <v>41.637971468128718</v>
      </c>
      <c r="AV22" s="3"/>
      <c r="AW22" s="42">
        <f t="shared" si="9"/>
        <v>32.385088919655672</v>
      </c>
      <c r="AX22" s="3"/>
      <c r="AY22" s="3">
        <f t="shared" si="10"/>
        <v>18.923637345145096</v>
      </c>
      <c r="AZ22" s="42"/>
      <c r="BA22" s="48"/>
      <c r="BB22" s="3">
        <f t="shared" si="11"/>
        <v>41.493395178308823</v>
      </c>
      <c r="BC22" s="3"/>
      <c r="BD22" s="3"/>
    </row>
    <row r="23" spans="1:56" x14ac:dyDescent="0.25">
      <c r="A23" s="4">
        <v>2020</v>
      </c>
      <c r="B23" s="4" t="s">
        <v>18</v>
      </c>
      <c r="C23" s="4" t="s">
        <v>30</v>
      </c>
      <c r="D23" s="4" t="s">
        <v>26</v>
      </c>
      <c r="E23" s="4" t="s">
        <v>204</v>
      </c>
      <c r="F23" s="4" t="s">
        <v>31</v>
      </c>
      <c r="G23" s="4">
        <v>1</v>
      </c>
      <c r="H23" s="4" t="s">
        <v>32</v>
      </c>
      <c r="I23" s="4" t="s">
        <v>59</v>
      </c>
      <c r="J23" s="12">
        <v>0.22132949085655271</v>
      </c>
      <c r="K23" s="6">
        <f t="shared" si="30"/>
        <v>297.32741460825002</v>
      </c>
      <c r="L23" s="7">
        <v>14.831421332000001</v>
      </c>
      <c r="M23" s="7">
        <v>13.496601451999998</v>
      </c>
      <c r="N23" s="7">
        <v>74.474369987999992</v>
      </c>
      <c r="O23" s="7">
        <v>76.834991140999989</v>
      </c>
      <c r="P23" s="7">
        <v>36.212138200500021</v>
      </c>
      <c r="Q23" s="7">
        <v>28.317654254000018</v>
      </c>
      <c r="R23" s="7">
        <v>49.698813632499991</v>
      </c>
      <c r="S23" s="6">
        <v>3.4614246082499998</v>
      </c>
      <c r="T23" s="6">
        <v>5.4469999999999998E-2</v>
      </c>
      <c r="U23" s="6">
        <v>3602.8395216999998</v>
      </c>
      <c r="V23" s="6">
        <v>373.40441048445001</v>
      </c>
      <c r="W23" s="6">
        <v>143.67621569615</v>
      </c>
      <c r="X23" s="6">
        <v>96.597991240675</v>
      </c>
      <c r="Y23" s="6">
        <v>21.467494313932502</v>
      </c>
      <c r="Z23" s="6">
        <f t="shared" si="31"/>
        <v>4238.0401034352071</v>
      </c>
      <c r="AA23" s="7">
        <v>198.30572830500003</v>
      </c>
      <c r="AB23" s="7">
        <v>185.801144502</v>
      </c>
      <c r="AC23" s="7">
        <v>1038.1515385290002</v>
      </c>
      <c r="AD23" s="7">
        <v>1064.4975584189999</v>
      </c>
      <c r="AE23" s="7">
        <v>671.62600395899926</v>
      </c>
      <c r="AF23" s="7">
        <v>344.42207673810071</v>
      </c>
      <c r="AG23" s="7">
        <v>687.80786954789937</v>
      </c>
      <c r="AH23" s="6">
        <v>47.428183435207501</v>
      </c>
      <c r="AI23" s="6">
        <f t="shared" si="32"/>
        <v>4238.0401034352071</v>
      </c>
      <c r="AJ23" s="3">
        <f t="shared" si="33"/>
        <v>35.548471378317792</v>
      </c>
      <c r="AK23" s="3">
        <f t="shared" si="34"/>
        <v>1.2667514029971574</v>
      </c>
      <c r="AL23" s="42">
        <f t="shared" si="6"/>
        <v>23.682626227229306</v>
      </c>
      <c r="AN23" s="3">
        <f t="shared" si="1"/>
        <v>60.432401343140249</v>
      </c>
      <c r="AO23" s="44"/>
      <c r="AP23" s="42">
        <f t="shared" si="7"/>
        <v>26.274957105713153</v>
      </c>
      <c r="AQ23" s="44"/>
      <c r="AR23" s="3"/>
      <c r="AS23" s="42"/>
      <c r="AT23" s="3"/>
      <c r="AU23" s="3">
        <f t="shared" si="8"/>
        <v>40.626824432363193</v>
      </c>
      <c r="AV23" s="3"/>
      <c r="AW23" s="42">
        <f t="shared" si="9"/>
        <v>31.59864122517137</v>
      </c>
      <c r="AX23" s="3"/>
      <c r="AY23" s="3">
        <f t="shared" si="10"/>
        <v>19.73552185602442</v>
      </c>
      <c r="AZ23" s="42"/>
      <c r="BA23" s="48"/>
      <c r="BB23" s="3">
        <f t="shared" si="11"/>
        <v>40.48575906975082</v>
      </c>
      <c r="BC23" s="3"/>
      <c r="BD23" s="3"/>
    </row>
    <row r="24" spans="1:56" x14ac:dyDescent="0.25">
      <c r="A24" s="4">
        <v>2020</v>
      </c>
      <c r="B24" s="4" t="s">
        <v>18</v>
      </c>
      <c r="C24" s="4"/>
      <c r="D24" s="4"/>
      <c r="E24" s="4"/>
      <c r="F24" s="4"/>
      <c r="G24" s="4"/>
      <c r="H24" s="4"/>
      <c r="I24" s="4"/>
      <c r="J24" s="4"/>
      <c r="K24" s="10">
        <f>$J18*K18+$J19*K19+$J20*K20+$J21*K21+$J22*K22+$J23*K23</f>
        <v>324.29720976070615</v>
      </c>
      <c r="L24" s="6">
        <f t="shared" ref="L24" si="35">$J18*L18+$J19*L19+$J20*L20+$J21*L21+$J22*L22+$J23*L23</f>
        <v>16.218121422252587</v>
      </c>
      <c r="M24" s="6">
        <f t="shared" ref="M24" si="36">$J18*M18+$J19*M19+$J20*M20+$J21*M21+$J22*M22+$J23*M23</f>
        <v>15.474334033590178</v>
      </c>
      <c r="N24" s="6">
        <f t="shared" ref="N24" si="37">$J18*N18+$J19*N19+$J20*N20+$J21*N21+$J22*N22+$J23*N23</f>
        <v>84.989892706448188</v>
      </c>
      <c r="O24" s="6">
        <f t="shared" ref="O24" si="38">$J18*O18+$J19*O19+$J20*O20+$J21*O21+$J22*O22+$J23*O23</f>
        <v>85.844502584482143</v>
      </c>
      <c r="P24" s="6">
        <f t="shared" ref="P24" si="39">$J18*P18+$J19*P19+$J20*P20+$J21*P21+$J22*P22+$J23*P23</f>
        <v>36.994251369567891</v>
      </c>
      <c r="Q24" s="6">
        <f t="shared" ref="Q24" si="40">$J18*Q18+$J19*Q19+$J20*Q20+$J21*Q21+$J22*Q22+$J23*Q23</f>
        <v>31.111610457053231</v>
      </c>
      <c r="R24" s="6">
        <f t="shared" ref="R24" si="41">$J18*R18+$J19*R19+$J20*R20+$J21*R21+$J22*R22+$J23*R23</f>
        <v>50.165052300960141</v>
      </c>
      <c r="S24" s="6">
        <f t="shared" ref="S24" si="42">$J18*S18+$J19*S19+$J20*S20+$J21*S21+$J22*S22+$J23*S23</f>
        <v>3.4994448863518062</v>
      </c>
      <c r="T24" s="6">
        <f t="shared" ref="T24" si="43">$J18*T18+$J19*T19+$J20*T20+$J21*T21+$J22*T22+$J23*T23</f>
        <v>5.6952624307305022E-2</v>
      </c>
      <c r="U24" s="6">
        <f t="shared" ref="U24" si="44">$J18*U18+$J19*U19+$J20*U20+$J21*U21+$J22*U22+$J23*U23</f>
        <v>4043.9914079403175</v>
      </c>
      <c r="V24" s="6">
        <f t="shared" ref="V24" si="45">$J18*V18+$J19*V19+$J20*V20+$J21*V21+$J22*V22+$J23*V23</f>
        <v>222.4505879748998</v>
      </c>
      <c r="W24" s="6">
        <f t="shared" ref="W24" si="46">$J18*W18+$J19*W19+$J20*W20+$J21*W21+$J22*W22+$J23*W23</f>
        <v>252.71439913816624</v>
      </c>
      <c r="X24" s="6">
        <f t="shared" ref="X24" si="47">$J18*X18+$J19*X19+$J20*X20+$J21*X21+$J22*X22+$J23*X23</f>
        <v>108.31240980878283</v>
      </c>
      <c r="Y24" s="6">
        <f t="shared" ref="Y24" si="48">$J18*Y18+$J19*Y19+$J20*Y20+$J21*Y21+$J22*Y22+$J23*Y23</f>
        <v>27.192128424445798</v>
      </c>
      <c r="Z24" s="10">
        <f t="shared" ref="Z24" si="49">$J18*Z18+$J19*Z19+$J20*Z20+$J21*Z21+$J22*Z22+$J23*Z23</f>
        <v>4654.717885910919</v>
      </c>
      <c r="AA24" s="6">
        <f t="shared" ref="AA24" si="50">$J18*AA18+$J19*AA19+$J20*AA20+$J21*AA21+$J22*AA22+$J23*AA23</f>
        <v>219.56383533847043</v>
      </c>
      <c r="AB24" s="6">
        <f t="shared" ref="AB24" si="51">$J18*AB18+$J19*AB19+$J20*AB20+$J21*AB21+$J22*AB22+$J23*AB23</f>
        <v>216.6679609835877</v>
      </c>
      <c r="AC24" s="6">
        <f t="shared" ref="AC24" si="52">$J18*AC18+$J19*AC19+$J20*AC20+$J21*AC21+$J22*AC22+$J23*AC23</f>
        <v>1202.2692594517991</v>
      </c>
      <c r="AD24" s="6">
        <f t="shared" ref="AD24" si="53">$J18*AD18+$J19*AD19+$J20*AD20+$J21*AD21+$J22*AD22+$J23*AD23</f>
        <v>1202.4855849911794</v>
      </c>
      <c r="AE24" s="6">
        <f t="shared" ref="AE24" si="54">$J18*AE18+$J19*AE19+$J20*AE20+$J21*AE21+$J22*AE22+$J23*AE23</f>
        <v>683.61565016827683</v>
      </c>
      <c r="AF24" s="6">
        <f t="shared" ref="AF24" si="55">$J18*AF18+$J19*AF19+$J20*AF20+$J21*AF21+$J22*AF22+$J23*AF23</f>
        <v>387.21116108443658</v>
      </c>
      <c r="AG24" s="6">
        <f t="shared" ref="AG24" si="56">$J18*AG18+$J19*AG19+$J20*AG20+$J21*AG21+$J22*AG22+$J23*AG23</f>
        <v>694.95529942532244</v>
      </c>
      <c r="AH24" s="6">
        <f t="shared" ref="AH24" si="57">$J18*AH18+$J19*AH19+$J20*AH20+$J21*AH21+$J22*AH22+$J23*AH23</f>
        <v>47.949134467846548</v>
      </c>
      <c r="AI24" s="10">
        <f>$J18*AI18+$J19*AI19+$J20*AI20+$J21*AI21+$J22*AI22+$J23*AI23</f>
        <v>4654.717885910919</v>
      </c>
      <c r="AJ24" s="41">
        <f t="shared" si="33"/>
        <v>38.772980602666927</v>
      </c>
      <c r="AK24" s="41">
        <f t="shared" si="34"/>
        <v>1.3912965117423564</v>
      </c>
      <c r="AL24" s="43">
        <f t="shared" si="6"/>
        <v>21.562621444676971</v>
      </c>
      <c r="AN24" s="41">
        <f t="shared" si="1"/>
        <v>65.914067024533779</v>
      </c>
      <c r="AO24" s="53"/>
      <c r="AP24" s="43">
        <f t="shared" si="7"/>
        <v>28.65829001066686</v>
      </c>
      <c r="AQ24" s="53"/>
      <c r="AR24" s="41"/>
      <c r="AS24" s="43"/>
      <c r="AT24" s="41"/>
      <c r="AU24" s="41">
        <f t="shared" si="8"/>
        <v>44.311977831619345</v>
      </c>
      <c r="AV24" s="41"/>
      <c r="AW24" s="43">
        <f t="shared" si="9"/>
        <v>34.464871646815048</v>
      </c>
      <c r="AX24" s="41"/>
      <c r="AY24" s="41">
        <f t="shared" si="10"/>
        <v>17.968851203897476</v>
      </c>
      <c r="AZ24" s="43"/>
      <c r="BA24" s="54"/>
      <c r="BB24" s="41">
        <f t="shared" si="11"/>
        <v>44.158116797481775</v>
      </c>
      <c r="BC24" s="3"/>
      <c r="BD24" s="3"/>
    </row>
    <row r="25" spans="1:56" x14ac:dyDescent="0.25">
      <c r="A25" s="4">
        <v>2020</v>
      </c>
      <c r="B25" s="4" t="s">
        <v>47</v>
      </c>
      <c r="C25" s="4" t="s">
        <v>48</v>
      </c>
      <c r="D25" s="4" t="s">
        <v>26</v>
      </c>
      <c r="E25" s="4" t="s">
        <v>205</v>
      </c>
      <c r="F25" s="4" t="s">
        <v>31</v>
      </c>
      <c r="G25" s="4">
        <v>1</v>
      </c>
      <c r="H25" s="4" t="s">
        <v>32</v>
      </c>
      <c r="I25" s="4" t="s">
        <v>48</v>
      </c>
      <c r="J25" s="9">
        <v>1</v>
      </c>
      <c r="K25" s="10">
        <f>SUM(L25:S25)</f>
        <v>248.50627</v>
      </c>
      <c r="L25" s="7">
        <v>12.471599131</v>
      </c>
      <c r="M25" s="7">
        <v>10.239462998</v>
      </c>
      <c r="N25" s="7">
        <v>57.158756651000004</v>
      </c>
      <c r="O25" s="7">
        <v>61.534347079000014</v>
      </c>
      <c r="P25" s="7">
        <v>34.868165359499983</v>
      </c>
      <c r="Q25" s="7">
        <v>23.541583980899986</v>
      </c>
      <c r="R25" s="7">
        <v>48.692354800600015</v>
      </c>
      <c r="S25" s="70"/>
      <c r="T25" s="7">
        <v>5.423E-2</v>
      </c>
      <c r="U25" s="7">
        <v>3230.0633200000002</v>
      </c>
      <c r="V25" s="7">
        <v>146.59220999999999</v>
      </c>
      <c r="W25" s="7">
        <v>882.23969999999997</v>
      </c>
      <c r="X25" s="7">
        <v>101.79944999999999</v>
      </c>
      <c r="Y25" s="7">
        <v>118.50059</v>
      </c>
      <c r="Z25" s="10">
        <f t="shared" si="31"/>
        <v>4479.2494999999999</v>
      </c>
      <c r="AA25" s="7">
        <v>212.84302683300001</v>
      </c>
      <c r="AB25" s="7">
        <v>207.95123217399998</v>
      </c>
      <c r="AC25" s="7">
        <v>1155.9305414249998</v>
      </c>
      <c r="AD25" s="7">
        <v>1158.8707907300002</v>
      </c>
      <c r="AE25" s="7">
        <v>679.7844139244994</v>
      </c>
      <c r="AF25" s="7">
        <v>373.59601251010054</v>
      </c>
      <c r="AG25" s="7">
        <v>690.27348240340007</v>
      </c>
      <c r="AH25" s="7"/>
      <c r="AI25" s="10">
        <f t="shared" ref="AI25:AI31" si="58">SUM(AA25:AH25)</f>
        <v>4479.2494999999999</v>
      </c>
      <c r="AJ25" s="41">
        <f t="shared" si="33"/>
        <v>29.711414395026303</v>
      </c>
      <c r="AK25" s="41">
        <f t="shared" si="34"/>
        <v>1.3388489608439744</v>
      </c>
      <c r="AL25" s="43">
        <f t="shared" si="6"/>
        <v>22.407307229852726</v>
      </c>
      <c r="AN25" s="41">
        <f t="shared" si="1"/>
        <v>50.50940447154472</v>
      </c>
      <c r="AO25" s="53"/>
      <c r="AP25" s="43">
        <f t="shared" si="7"/>
        <v>21.960610639802052</v>
      </c>
      <c r="AQ25" s="53"/>
      <c r="AR25" s="41"/>
      <c r="AS25" s="43"/>
      <c r="AT25" s="41"/>
      <c r="AU25" s="41">
        <f t="shared" si="8"/>
        <v>33.955902165744348</v>
      </c>
      <c r="AV25" s="41"/>
      <c r="AW25" s="43">
        <f t="shared" si="9"/>
        <v>26.41014612891227</v>
      </c>
      <c r="AX25" s="41"/>
      <c r="AY25" s="41">
        <f t="shared" si="10"/>
        <v>18.67275602487727</v>
      </c>
      <c r="AZ25" s="43"/>
      <c r="BA25" s="54"/>
      <c r="BB25" s="41">
        <f t="shared" si="11"/>
        <v>33.837999727668844</v>
      </c>
      <c r="BC25" s="3"/>
      <c r="BD25" s="3"/>
    </row>
    <row r="26" spans="1:56" x14ac:dyDescent="0.25">
      <c r="A26" s="4">
        <v>2025</v>
      </c>
      <c r="B26" s="4" t="s">
        <v>47</v>
      </c>
      <c r="C26" s="4" t="s">
        <v>48</v>
      </c>
      <c r="D26" s="4" t="s">
        <v>26</v>
      </c>
      <c r="E26" s="4" t="s">
        <v>206</v>
      </c>
      <c r="F26" s="4" t="s">
        <v>31</v>
      </c>
      <c r="G26" s="4">
        <v>1</v>
      </c>
      <c r="H26" s="4" t="s">
        <v>32</v>
      </c>
      <c r="I26" s="4" t="s">
        <v>48</v>
      </c>
      <c r="J26" s="9">
        <v>1</v>
      </c>
      <c r="K26" s="6">
        <f t="shared" ref="K26:K31" si="59">SUM(L26:S26)</f>
        <v>233.23093</v>
      </c>
      <c r="L26" s="7">
        <v>11.68352273</v>
      </c>
      <c r="M26" s="7">
        <v>9.1192535800000005</v>
      </c>
      <c r="N26" s="7">
        <v>51.202652122000003</v>
      </c>
      <c r="O26" s="7">
        <v>56.419056745999995</v>
      </c>
      <c r="P26" s="7">
        <v>34.423681000499982</v>
      </c>
      <c r="Q26" s="7">
        <v>21.955374608200003</v>
      </c>
      <c r="R26" s="7">
        <v>48.427389213300017</v>
      </c>
      <c r="S26" s="7"/>
      <c r="T26" s="7">
        <v>5.4100000000000002E-2</v>
      </c>
      <c r="U26" s="7">
        <v>3038.0803799999999</v>
      </c>
      <c r="V26" s="7">
        <v>144.79402999999999</v>
      </c>
      <c r="W26" s="7">
        <v>800.84028000000001</v>
      </c>
      <c r="X26" s="7">
        <v>100.56522</v>
      </c>
      <c r="Y26" s="7">
        <v>185.49292</v>
      </c>
      <c r="Z26" s="6">
        <f t="shared" si="31"/>
        <v>4269.8269299999993</v>
      </c>
      <c r="AA26" s="7">
        <v>202.02213016500002</v>
      </c>
      <c r="AB26" s="7">
        <v>192.62037786600001</v>
      </c>
      <c r="AC26" s="7">
        <v>1074.4170145969999</v>
      </c>
      <c r="AD26" s="7">
        <v>1088.6344721980001</v>
      </c>
      <c r="AE26" s="7">
        <v>673.68134258399959</v>
      </c>
      <c r="AF26" s="7">
        <v>351.81634795109994</v>
      </c>
      <c r="AG26" s="7">
        <v>686.63524463889962</v>
      </c>
      <c r="AH26" s="7"/>
      <c r="AI26" s="6">
        <f t="shared" si="58"/>
        <v>4269.8269299999993</v>
      </c>
      <c r="AJ26" s="3">
        <f t="shared" si="33"/>
        <v>27.88509445241511</v>
      </c>
      <c r="AK26" s="3">
        <f t="shared" si="34"/>
        <v>1.2762524945784146</v>
      </c>
      <c r="AL26" s="42">
        <f t="shared" si="6"/>
        <v>23.506320361716451</v>
      </c>
      <c r="AN26" s="3">
        <f t="shared" si="1"/>
        <v>47.404660569105687</v>
      </c>
      <c r="AO26" s="44"/>
      <c r="AP26" s="42">
        <f t="shared" si="7"/>
        <v>20.610721986567693</v>
      </c>
      <c r="AQ26" s="44"/>
      <c r="AR26" s="3">
        <f t="shared" ref="AR26:AR31" si="60">AK26/$AS$3*$AR$3</f>
        <v>2.9779224873496339</v>
      </c>
      <c r="AS26" s="42"/>
      <c r="AT26" s="3"/>
      <c r="AU26" s="3">
        <f t="shared" si="8"/>
        <v>31.868679374188702</v>
      </c>
      <c r="AV26" s="3"/>
      <c r="AW26" s="42">
        <f t="shared" si="9"/>
        <v>24.786750624368988</v>
      </c>
      <c r="AX26" s="3"/>
      <c r="AY26" s="3">
        <f t="shared" si="10"/>
        <v>19.588600301430375</v>
      </c>
      <c r="AZ26" s="42"/>
      <c r="BA26" s="48"/>
      <c r="BB26" s="3">
        <f t="shared" si="11"/>
        <v>31.758024237472764</v>
      </c>
      <c r="BC26" s="3"/>
      <c r="BD26" s="3">
        <f t="shared" ref="BD26:BD31" si="61">AJ26*BC$3/BD$3</f>
        <v>23.818518178104572</v>
      </c>
    </row>
    <row r="27" spans="1:56" x14ac:dyDescent="0.25">
      <c r="A27" s="4">
        <v>2030</v>
      </c>
      <c r="B27" s="4" t="s">
        <v>47</v>
      </c>
      <c r="C27" s="4" t="s">
        <v>48</v>
      </c>
      <c r="D27" s="4" t="s">
        <v>26</v>
      </c>
      <c r="E27" s="4" t="s">
        <v>207</v>
      </c>
      <c r="F27" s="4" t="s">
        <v>31</v>
      </c>
      <c r="G27" s="4">
        <v>1</v>
      </c>
      <c r="H27" s="4" t="s">
        <v>32</v>
      </c>
      <c r="I27" s="4" t="s">
        <v>48</v>
      </c>
      <c r="J27" s="9">
        <v>1</v>
      </c>
      <c r="K27" s="6">
        <f t="shared" si="59"/>
        <v>229.94698</v>
      </c>
      <c r="L27" s="7">
        <v>11.512133658</v>
      </c>
      <c r="M27" s="7">
        <v>8.8816542079999987</v>
      </c>
      <c r="N27" s="7">
        <v>49.939352937999992</v>
      </c>
      <c r="O27" s="7">
        <v>55.306631154000023</v>
      </c>
      <c r="P27" s="7">
        <v>34.327017931499995</v>
      </c>
      <c r="Q27" s="7">
        <v>21.610435139299966</v>
      </c>
      <c r="R27" s="7">
        <v>48.369754971200024</v>
      </c>
      <c r="S27" s="7"/>
      <c r="T27" s="7">
        <v>5.4149999999999997E-2</v>
      </c>
      <c r="U27" s="7">
        <v>2999.6995299999999</v>
      </c>
      <c r="V27" s="7">
        <v>142.53137000000001</v>
      </c>
      <c r="W27" s="7">
        <v>683.97472000000005</v>
      </c>
      <c r="X27" s="7">
        <v>99.441580000000002</v>
      </c>
      <c r="Y27" s="7">
        <v>193.92341999999999</v>
      </c>
      <c r="Z27" s="6">
        <f t="shared" si="31"/>
        <v>4119.6247700000004</v>
      </c>
      <c r="AA27" s="7">
        <v>194.24363152799998</v>
      </c>
      <c r="AB27" s="7">
        <v>181.65364083399996</v>
      </c>
      <c r="AC27" s="7">
        <v>1016.1073397839997</v>
      </c>
      <c r="AD27" s="7">
        <v>1038.1457885310001</v>
      </c>
      <c r="AE27" s="7">
        <v>669.29418700199994</v>
      </c>
      <c r="AF27" s="7">
        <v>336.16021719220089</v>
      </c>
      <c r="AG27" s="7">
        <v>684.01996512879987</v>
      </c>
      <c r="AH27" s="7"/>
      <c r="AI27" s="6">
        <f t="shared" si="58"/>
        <v>4119.6247700000004</v>
      </c>
      <c r="AJ27" s="3">
        <f t="shared" si="33"/>
        <v>27.492465327594452</v>
      </c>
      <c r="AK27" s="3">
        <f t="shared" si="34"/>
        <v>1.2313570258547994</v>
      </c>
      <c r="AL27" s="42">
        <f t="shared" si="6"/>
        <v>24.363364458958774</v>
      </c>
      <c r="AN27" s="3">
        <f t="shared" si="1"/>
        <v>46.737191056910568</v>
      </c>
      <c r="AO27" s="44"/>
      <c r="AP27" s="42">
        <f t="shared" si="7"/>
        <v>20.320517850830683</v>
      </c>
      <c r="AQ27" s="44"/>
      <c r="AR27" s="3">
        <f t="shared" si="60"/>
        <v>2.8731663936611986</v>
      </c>
      <c r="AS27" s="42"/>
      <c r="AT27" s="3"/>
      <c r="AU27" s="3">
        <f t="shared" si="8"/>
        <v>31.419960374393664</v>
      </c>
      <c r="AV27" s="3"/>
      <c r="AW27" s="42">
        <f t="shared" si="9"/>
        <v>24.437746957861734</v>
      </c>
      <c r="AX27" s="3"/>
      <c r="AY27" s="3">
        <f t="shared" si="10"/>
        <v>20.30280371579898</v>
      </c>
      <c r="AZ27" s="42"/>
      <c r="BA27" s="48"/>
      <c r="BB27" s="3">
        <f t="shared" si="11"/>
        <v>31.310863289760348</v>
      </c>
      <c r="BC27" s="3"/>
      <c r="BD27" s="3">
        <f t="shared" si="61"/>
        <v>23.483147467320261</v>
      </c>
    </row>
    <row r="28" spans="1:56" x14ac:dyDescent="0.25">
      <c r="A28" s="4">
        <v>2035</v>
      </c>
      <c r="B28" s="4" t="s">
        <v>47</v>
      </c>
      <c r="C28" s="4" t="s">
        <v>48</v>
      </c>
      <c r="D28" s="4" t="s">
        <v>26</v>
      </c>
      <c r="E28" s="4" t="s">
        <v>208</v>
      </c>
      <c r="F28" s="4" t="s">
        <v>31</v>
      </c>
      <c r="G28" s="4">
        <v>1</v>
      </c>
      <c r="H28" s="4" t="s">
        <v>32</v>
      </c>
      <c r="I28" s="4" t="s">
        <v>48</v>
      </c>
      <c r="J28" s="9">
        <v>1</v>
      </c>
      <c r="K28" s="10">
        <f t="shared" si="59"/>
        <v>224.12483</v>
      </c>
      <c r="L28" s="7">
        <v>11.210228547000002</v>
      </c>
      <c r="M28" s="7">
        <v>8.4572075679999994</v>
      </c>
      <c r="N28" s="7">
        <v>47.682589715000006</v>
      </c>
      <c r="O28" s="7">
        <v>53.347034196000017</v>
      </c>
      <c r="P28" s="7">
        <v>34.156738342499992</v>
      </c>
      <c r="Q28" s="7">
        <v>21.002774290899993</v>
      </c>
      <c r="R28" s="7">
        <v>48.268257340600002</v>
      </c>
      <c r="S28" s="7"/>
      <c r="T28" s="7">
        <v>5.4129999999999998E-2</v>
      </c>
      <c r="U28" s="7">
        <v>2935.69443</v>
      </c>
      <c r="V28" s="7">
        <v>139.64214999999999</v>
      </c>
      <c r="W28" s="7">
        <v>646.79742999999996</v>
      </c>
      <c r="X28" s="7">
        <v>98.685550000000006</v>
      </c>
      <c r="Y28" s="7">
        <v>203.73715999999999</v>
      </c>
      <c r="Z28" s="10">
        <f t="shared" si="31"/>
        <v>4024.6108500000005</v>
      </c>
      <c r="AA28" s="7">
        <v>189.30371344800002</v>
      </c>
      <c r="AB28" s="7">
        <v>174.74841660199996</v>
      </c>
      <c r="AC28" s="7">
        <v>979.39254922399982</v>
      </c>
      <c r="AD28" s="7">
        <v>1006.0816980470006</v>
      </c>
      <c r="AE28" s="7">
        <v>666.50802311849884</v>
      </c>
      <c r="AF28" s="7">
        <v>326.21740334250035</v>
      </c>
      <c r="AG28" s="7">
        <v>682.35904621800091</v>
      </c>
      <c r="AH28" s="7"/>
      <c r="AI28" s="10">
        <f t="shared" si="58"/>
        <v>4024.6108500000005</v>
      </c>
      <c r="AJ28" s="41">
        <f t="shared" si="33"/>
        <v>26.796368962219034</v>
      </c>
      <c r="AK28" s="41">
        <f t="shared" si="34"/>
        <v>1.2029573379031206</v>
      </c>
      <c r="AL28" s="43">
        <f t="shared" si="6"/>
        <v>24.938540258038667</v>
      </c>
      <c r="AN28" s="41">
        <f t="shared" si="1"/>
        <v>45.55382723577236</v>
      </c>
      <c r="AO28" s="53"/>
      <c r="AP28" s="43">
        <f t="shared" si="7"/>
        <v>19.806011841640156</v>
      </c>
      <c r="AQ28" s="53"/>
      <c r="AR28" s="41">
        <f t="shared" si="60"/>
        <v>2.8069004551072814</v>
      </c>
      <c r="AS28" s="43"/>
      <c r="AT28" s="41"/>
      <c r="AU28" s="41">
        <f t="shared" si="8"/>
        <v>30.624421671107473</v>
      </c>
      <c r="AV28" s="41"/>
      <c r="AW28" s="43">
        <f t="shared" si="9"/>
        <v>23.818994633083587</v>
      </c>
      <c r="AX28" s="41"/>
      <c r="AY28" s="41">
        <f t="shared" si="10"/>
        <v>20.78211688169889</v>
      </c>
      <c r="AZ28" s="43"/>
      <c r="BA28" s="54"/>
      <c r="BB28" s="41">
        <f t="shared" si="11"/>
        <v>30.518086873638342</v>
      </c>
      <c r="BC28" s="41"/>
      <c r="BD28" s="41">
        <f t="shared" si="61"/>
        <v>22.888565155228758</v>
      </c>
    </row>
    <row r="29" spans="1:56" x14ac:dyDescent="0.25">
      <c r="A29" s="4">
        <v>2040</v>
      </c>
      <c r="B29" s="4" t="s">
        <v>47</v>
      </c>
      <c r="C29" s="4" t="s">
        <v>48</v>
      </c>
      <c r="D29" s="4" t="s">
        <v>26</v>
      </c>
      <c r="E29" s="4" t="s">
        <v>209</v>
      </c>
      <c r="F29" s="4" t="s">
        <v>31</v>
      </c>
      <c r="G29" s="4">
        <v>1</v>
      </c>
      <c r="H29" s="4" t="s">
        <v>32</v>
      </c>
      <c r="I29" s="4" t="s">
        <v>48</v>
      </c>
      <c r="J29" s="9">
        <v>1</v>
      </c>
      <c r="K29" s="6">
        <f t="shared" si="59"/>
        <v>221.05829</v>
      </c>
      <c r="L29" s="7">
        <v>11.051066994999999</v>
      </c>
      <c r="M29" s="7">
        <v>8.2338943160000007</v>
      </c>
      <c r="N29" s="7">
        <v>46.495239890999997</v>
      </c>
      <c r="O29" s="7">
        <v>52.313958248999995</v>
      </c>
      <c r="P29" s="7">
        <v>34.066968293999992</v>
      </c>
      <c r="Q29" s="7">
        <v>20.682427268099985</v>
      </c>
      <c r="R29" s="7">
        <v>48.214734986900027</v>
      </c>
      <c r="S29" s="7"/>
      <c r="T29" s="7">
        <v>5.407E-2</v>
      </c>
      <c r="U29" s="7">
        <v>2914.9080199999999</v>
      </c>
      <c r="V29" s="7">
        <v>136.47765999999999</v>
      </c>
      <c r="W29" s="7">
        <v>613.10019999999997</v>
      </c>
      <c r="X29" s="7">
        <v>97.100909999999999</v>
      </c>
      <c r="Y29" s="7">
        <v>202.34665000000001</v>
      </c>
      <c r="Z29" s="6">
        <f t="shared" si="31"/>
        <v>3963.9875099999999</v>
      </c>
      <c r="AA29" s="7">
        <v>186.15457935699999</v>
      </c>
      <c r="AB29" s="7">
        <v>170.338030632</v>
      </c>
      <c r="AC29" s="7">
        <v>955.94271924499992</v>
      </c>
      <c r="AD29" s="7">
        <v>985.64111835300025</v>
      </c>
      <c r="AE29" s="7">
        <v>664.73186589449915</v>
      </c>
      <c r="AF29" s="7">
        <v>319.8789669852008</v>
      </c>
      <c r="AG29" s="7">
        <v>681.3002295332999</v>
      </c>
      <c r="AH29" s="7"/>
      <c r="AI29" s="6">
        <f t="shared" si="58"/>
        <v>3963.9875099999999</v>
      </c>
      <c r="AJ29" s="3">
        <f t="shared" si="33"/>
        <v>26.429733381157341</v>
      </c>
      <c r="AK29" s="3">
        <f t="shared" si="34"/>
        <v>1.1848370041816139</v>
      </c>
      <c r="AL29" s="42">
        <f t="shared" si="6"/>
        <v>25.319938433828277</v>
      </c>
      <c r="AN29" s="3">
        <f t="shared" si="1"/>
        <v>44.930546747967476</v>
      </c>
      <c r="AO29" s="44"/>
      <c r="AP29" s="42">
        <f t="shared" si="7"/>
        <v>19.535020325203252</v>
      </c>
      <c r="AQ29" s="44"/>
      <c r="AR29" s="3">
        <f t="shared" si="60"/>
        <v>2.7646196764237656</v>
      </c>
      <c r="AS29" s="42"/>
      <c r="AT29" s="3"/>
      <c r="AU29" s="3">
        <f t="shared" si="8"/>
        <v>30.205409578465535</v>
      </c>
      <c r="AV29" s="3"/>
      <c r="AW29" s="42">
        <f t="shared" si="9"/>
        <v>23.493096338806524</v>
      </c>
      <c r="AX29" s="3"/>
      <c r="AY29" s="3">
        <f t="shared" si="10"/>
        <v>21.099948694856899</v>
      </c>
      <c r="AZ29" s="42"/>
      <c r="BA29" s="48"/>
      <c r="BB29" s="3">
        <f t="shared" si="11"/>
        <v>30.100529684095861</v>
      </c>
      <c r="BC29" s="3"/>
      <c r="BD29" s="3">
        <f t="shared" si="61"/>
        <v>22.575397263071896</v>
      </c>
    </row>
    <row r="30" spans="1:56" x14ac:dyDescent="0.25">
      <c r="A30" s="4">
        <v>2045</v>
      </c>
      <c r="B30" s="4" t="s">
        <v>47</v>
      </c>
      <c r="C30" s="4" t="s">
        <v>48</v>
      </c>
      <c r="D30" s="4" t="s">
        <v>26</v>
      </c>
      <c r="E30" s="4" t="s">
        <v>210</v>
      </c>
      <c r="F30" s="4" t="s">
        <v>31</v>
      </c>
      <c r="G30" s="4">
        <v>1</v>
      </c>
      <c r="H30" s="4" t="s">
        <v>32</v>
      </c>
      <c r="I30" s="4" t="s">
        <v>48</v>
      </c>
      <c r="J30" s="9">
        <v>1</v>
      </c>
      <c r="K30" s="6">
        <f t="shared" si="59"/>
        <v>218.09030999999999</v>
      </c>
      <c r="L30" s="7">
        <v>10.897509723000001</v>
      </c>
      <c r="M30" s="7">
        <v>8.0169609879999992</v>
      </c>
      <c r="N30" s="7">
        <v>45.341811946999997</v>
      </c>
      <c r="O30" s="7">
        <v>51.317219484000013</v>
      </c>
      <c r="P30" s="7">
        <v>33.980358302999988</v>
      </c>
      <c r="Q30" s="7">
        <v>20.373339866500004</v>
      </c>
      <c r="R30" s="7">
        <v>48.163109688499986</v>
      </c>
      <c r="S30" s="7"/>
      <c r="T30" s="7">
        <v>5.4030000000000002E-2</v>
      </c>
      <c r="U30" s="7">
        <v>2892.8309199999999</v>
      </c>
      <c r="V30" s="7">
        <v>132.73199</v>
      </c>
      <c r="W30" s="7">
        <v>591.89013</v>
      </c>
      <c r="X30" s="7">
        <v>95.814639999999997</v>
      </c>
      <c r="Y30" s="7">
        <v>197.74834000000001</v>
      </c>
      <c r="Z30" s="6">
        <f t="shared" si="31"/>
        <v>3911.0700499999998</v>
      </c>
      <c r="AA30" s="7">
        <v>183.41259620800002</v>
      </c>
      <c r="AB30" s="7">
        <v>166.47691943799995</v>
      </c>
      <c r="AC30" s="7">
        <v>935.41335537600003</v>
      </c>
      <c r="AD30" s="7">
        <v>967.84343871999999</v>
      </c>
      <c r="AE30" s="7">
        <v>663.18534904799981</v>
      </c>
      <c r="AF30" s="7">
        <v>314.36005774969999</v>
      </c>
      <c r="AG30" s="7">
        <v>680.37833346029993</v>
      </c>
      <c r="AH30" s="7"/>
      <c r="AI30" s="6">
        <f t="shared" si="58"/>
        <v>3911.0700499999998</v>
      </c>
      <c r="AJ30" s="3">
        <f t="shared" si="33"/>
        <v>26.074881635581061</v>
      </c>
      <c r="AK30" s="3">
        <f t="shared" si="34"/>
        <v>1.169019960203264</v>
      </c>
      <c r="AL30" s="42">
        <f t="shared" si="6"/>
        <v>25.662521617495507</v>
      </c>
      <c r="AN30" s="3">
        <f t="shared" si="1"/>
        <v>44.327298780487808</v>
      </c>
      <c r="AO30" s="44"/>
      <c r="AP30" s="42">
        <f t="shared" si="7"/>
        <v>19.27273860021209</v>
      </c>
      <c r="AQ30" s="44"/>
      <c r="AR30" s="3">
        <f t="shared" si="60"/>
        <v>2.7277132404742828</v>
      </c>
      <c r="AS30" s="42"/>
      <c r="AT30" s="3"/>
      <c r="AU30" s="3">
        <f t="shared" si="8"/>
        <v>29.79986472637836</v>
      </c>
      <c r="AV30" s="3"/>
      <c r="AW30" s="42">
        <f t="shared" si="9"/>
        <v>23.177672564960943</v>
      </c>
      <c r="AX30" s="3"/>
      <c r="AY30" s="3">
        <f t="shared" si="10"/>
        <v>21.385434681246256</v>
      </c>
      <c r="AZ30" s="42"/>
      <c r="BA30" s="48"/>
      <c r="BB30" s="3">
        <f t="shared" si="11"/>
        <v>29.696392973856206</v>
      </c>
      <c r="BC30" s="3"/>
      <c r="BD30" s="3">
        <f t="shared" si="61"/>
        <v>22.272294730392154</v>
      </c>
    </row>
    <row r="31" spans="1:56" x14ac:dyDescent="0.25">
      <c r="A31" s="4">
        <v>2050</v>
      </c>
      <c r="B31" s="4" t="s">
        <v>47</v>
      </c>
      <c r="C31" s="4" t="s">
        <v>48</v>
      </c>
      <c r="D31" s="4" t="s">
        <v>26</v>
      </c>
      <c r="E31" s="4" t="s">
        <v>211</v>
      </c>
      <c r="F31" s="4" t="s">
        <v>31</v>
      </c>
      <c r="G31" s="4">
        <v>1</v>
      </c>
      <c r="H31" s="4" t="s">
        <v>32</v>
      </c>
      <c r="I31" s="4" t="s">
        <v>48</v>
      </c>
      <c r="J31" s="9">
        <v>1</v>
      </c>
      <c r="K31" s="10">
        <f t="shared" si="59"/>
        <v>216.07525000000004</v>
      </c>
      <c r="L31" s="7">
        <v>10.79358854</v>
      </c>
      <c r="M31" s="7">
        <v>7.869124403999999</v>
      </c>
      <c r="N31" s="7">
        <v>44.555771612000001</v>
      </c>
      <c r="O31" s="7">
        <v>50.642674970000016</v>
      </c>
      <c r="P31" s="7">
        <v>33.921755621999992</v>
      </c>
      <c r="Q31" s="7">
        <v>20.164172667000003</v>
      </c>
      <c r="R31" s="7">
        <v>48.128162185000008</v>
      </c>
      <c r="S31" s="7"/>
      <c r="T31" s="7">
        <v>5.4019999999999999E-2</v>
      </c>
      <c r="U31" s="7">
        <v>2874.02493</v>
      </c>
      <c r="V31" s="7">
        <v>129.09075000000001</v>
      </c>
      <c r="W31" s="7">
        <v>562.05220999999995</v>
      </c>
      <c r="X31" s="7">
        <v>94.806030000000007</v>
      </c>
      <c r="Y31" s="7">
        <v>194.73183</v>
      </c>
      <c r="Z31" s="10">
        <f t="shared" si="31"/>
        <v>3854.7597700000001</v>
      </c>
      <c r="AA31" s="7">
        <v>180.51134961099999</v>
      </c>
      <c r="AB31" s="7">
        <v>162.341001874</v>
      </c>
      <c r="AC31" s="7">
        <v>913.42285108299984</v>
      </c>
      <c r="AD31" s="7">
        <v>949.01208075300008</v>
      </c>
      <c r="AE31" s="7">
        <v>661.5490231394997</v>
      </c>
      <c r="AF31" s="7">
        <v>308.52060621920054</v>
      </c>
      <c r="AG31" s="7">
        <v>679.40285732029997</v>
      </c>
      <c r="AH31" s="7"/>
      <c r="AI31" s="10">
        <f t="shared" si="58"/>
        <v>3854.7597700000001</v>
      </c>
      <c r="AJ31" s="41">
        <f>K31*1000/(30*$G$103*$G$96*$G$113)</f>
        <v>25.833961023433766</v>
      </c>
      <c r="AK31" s="41">
        <f t="shared" si="34"/>
        <v>1.1521888013533643</v>
      </c>
      <c r="AL31" s="43">
        <f t="shared" si="6"/>
        <v>26.037399395621545</v>
      </c>
      <c r="AN31" s="41">
        <f>AJ31*$AO$3/$AN$3</f>
        <v>43.917733739837402</v>
      </c>
      <c r="AO31" s="53"/>
      <c r="AP31" s="43">
        <f t="shared" si="7"/>
        <v>19.094666843407566</v>
      </c>
      <c r="AQ31" s="53"/>
      <c r="AR31" s="41">
        <f t="shared" si="60"/>
        <v>2.6884405364911834</v>
      </c>
      <c r="AS31" s="43"/>
      <c r="AT31" s="41"/>
      <c r="AU31" s="41">
        <f t="shared" si="8"/>
        <v>29.52452688392431</v>
      </c>
      <c r="AV31" s="41"/>
      <c r="AW31" s="43">
        <f t="shared" si="9"/>
        <v>22.963520909718905</v>
      </c>
      <c r="AX31" s="41"/>
      <c r="AY31" s="41">
        <f t="shared" si="10"/>
        <v>21.697832829684621</v>
      </c>
      <c r="AZ31" s="43"/>
      <c r="BA31" s="54"/>
      <c r="BB31" s="41">
        <f>AJ31*BC$3/BB$3</f>
        <v>29.422011165577342</v>
      </c>
      <c r="BC31" s="41"/>
      <c r="BD31" s="41">
        <f t="shared" si="61"/>
        <v>22.066508374183009</v>
      </c>
    </row>
    <row r="32" spans="1:56" x14ac:dyDescent="0.25">
      <c r="K32" s="6" t="s">
        <v>16</v>
      </c>
      <c r="L32" s="6" t="s">
        <v>16</v>
      </c>
      <c r="M32" s="6" t="s">
        <v>16</v>
      </c>
      <c r="N32" s="6" t="s">
        <v>16</v>
      </c>
      <c r="O32" s="6" t="s">
        <v>16</v>
      </c>
      <c r="P32" s="6" t="s">
        <v>16</v>
      </c>
      <c r="Q32" s="6" t="s">
        <v>16</v>
      </c>
      <c r="R32" s="6" t="s">
        <v>16</v>
      </c>
      <c r="S32" s="6" t="s">
        <v>16</v>
      </c>
      <c r="T32" s="6" t="s">
        <v>17</v>
      </c>
      <c r="U32" s="6" t="s">
        <v>17</v>
      </c>
      <c r="V32" s="6" t="s">
        <v>17</v>
      </c>
      <c r="W32" s="6" t="s">
        <v>17</v>
      </c>
      <c r="X32" s="6" t="s">
        <v>17</v>
      </c>
      <c r="Y32" s="6" t="s">
        <v>17</v>
      </c>
      <c r="Z32" s="6" t="s">
        <v>17</v>
      </c>
      <c r="AA32" s="6" t="s">
        <v>17</v>
      </c>
      <c r="AB32" s="6" t="s">
        <v>17</v>
      </c>
      <c r="AC32" s="6" t="s">
        <v>17</v>
      </c>
      <c r="AD32" s="6" t="s">
        <v>17</v>
      </c>
      <c r="AE32" s="6" t="s">
        <v>17</v>
      </c>
      <c r="AF32" s="6" t="s">
        <v>17</v>
      </c>
      <c r="AG32" s="6" t="s">
        <v>17</v>
      </c>
      <c r="AH32" s="6" t="s">
        <v>17</v>
      </c>
      <c r="AI32" s="6" t="s">
        <v>17</v>
      </c>
      <c r="AJ32" s="3"/>
      <c r="AK32" s="3"/>
      <c r="AN32" s="44"/>
      <c r="AO32" s="44"/>
      <c r="AP32" s="50"/>
      <c r="AQ32" s="44"/>
      <c r="AR32" s="3"/>
      <c r="AS32" s="42"/>
      <c r="AT32" s="3"/>
      <c r="AU32" s="3"/>
      <c r="AV32" s="3"/>
      <c r="AW32" s="42"/>
      <c r="AX32" s="3"/>
      <c r="AY32" s="3"/>
      <c r="AZ32" s="42"/>
      <c r="BA32" s="48" t="s">
        <v>138</v>
      </c>
      <c r="BB32" s="3" t="s">
        <v>141</v>
      </c>
      <c r="BC32" s="3" t="s">
        <v>142</v>
      </c>
      <c r="BD32" s="3" t="s">
        <v>143</v>
      </c>
    </row>
    <row r="33" spans="1:56" x14ac:dyDescent="0.25">
      <c r="A33" s="4" t="s">
        <v>0</v>
      </c>
      <c r="B33" s="4" t="s">
        <v>1</v>
      </c>
      <c r="C33" s="4" t="s">
        <v>2</v>
      </c>
      <c r="D33" s="4" t="s">
        <v>25</v>
      </c>
      <c r="E33" s="4" t="s">
        <v>3</v>
      </c>
      <c r="F33" s="4" t="s">
        <v>4</v>
      </c>
      <c r="G33" s="4" t="s">
        <v>5</v>
      </c>
      <c r="H33" s="4" t="s">
        <v>6</v>
      </c>
      <c r="I33" s="4" t="s">
        <v>7</v>
      </c>
      <c r="J33" s="4" t="s">
        <v>55</v>
      </c>
      <c r="K33" s="6" t="s">
        <v>8</v>
      </c>
      <c r="L33" s="7" t="s">
        <v>33</v>
      </c>
      <c r="M33" s="7" t="s">
        <v>34</v>
      </c>
      <c r="N33" s="7" t="s">
        <v>35</v>
      </c>
      <c r="O33" s="7" t="s">
        <v>36</v>
      </c>
      <c r="P33" s="7" t="s">
        <v>37</v>
      </c>
      <c r="Q33" s="7" t="s">
        <v>38</v>
      </c>
      <c r="R33" s="7" t="s">
        <v>39</v>
      </c>
      <c r="S33" s="7" t="s">
        <v>40</v>
      </c>
      <c r="T33" s="7" t="s">
        <v>41</v>
      </c>
      <c r="U33" s="7" t="s">
        <v>42</v>
      </c>
      <c r="V33" s="7" t="s">
        <v>43</v>
      </c>
      <c r="W33" s="7" t="s">
        <v>44</v>
      </c>
      <c r="X33" s="7" t="s">
        <v>45</v>
      </c>
      <c r="Y33" s="7" t="s">
        <v>46</v>
      </c>
      <c r="Z33" s="6" t="s">
        <v>15</v>
      </c>
      <c r="AA33" s="7" t="s">
        <v>33</v>
      </c>
      <c r="AB33" s="7" t="s">
        <v>34</v>
      </c>
      <c r="AC33" s="7" t="s">
        <v>35</v>
      </c>
      <c r="AD33" s="7" t="s">
        <v>36</v>
      </c>
      <c r="AE33" s="7" t="s">
        <v>37</v>
      </c>
      <c r="AF33" s="7" t="s">
        <v>38</v>
      </c>
      <c r="AG33" s="7" t="s">
        <v>39</v>
      </c>
      <c r="AH33" s="7" t="s">
        <v>40</v>
      </c>
      <c r="AI33" s="6" t="s">
        <v>15</v>
      </c>
      <c r="AJ33" s="3"/>
      <c r="AK33" s="3"/>
      <c r="AN33" s="44"/>
      <c r="AO33" s="44"/>
      <c r="AP33" s="50"/>
      <c r="AQ33" s="44"/>
      <c r="AR33" s="3"/>
      <c r="AS33" s="42"/>
      <c r="AT33" s="3"/>
      <c r="AU33" s="3"/>
      <c r="AV33" s="3"/>
      <c r="AW33" s="42"/>
      <c r="AX33" s="3"/>
      <c r="AY33" s="3"/>
      <c r="AZ33" s="42"/>
      <c r="BA33" s="48" t="s">
        <v>148</v>
      </c>
      <c r="BB33" s="47">
        <v>0.13</v>
      </c>
      <c r="BC33" s="47">
        <v>0.15</v>
      </c>
      <c r="BD33" s="47">
        <v>0.18</v>
      </c>
    </row>
    <row r="34" spans="1:56" x14ac:dyDescent="0.25">
      <c r="A34" s="4">
        <v>2010</v>
      </c>
      <c r="B34" s="4" t="s">
        <v>18</v>
      </c>
      <c r="C34" s="4" t="s">
        <v>19</v>
      </c>
      <c r="D34" s="4" t="s">
        <v>60</v>
      </c>
      <c r="E34" t="s">
        <v>212</v>
      </c>
      <c r="F34" t="s">
        <v>61</v>
      </c>
      <c r="G34" s="4">
        <v>1</v>
      </c>
      <c r="H34" s="4" t="s">
        <v>32</v>
      </c>
      <c r="I34" s="4" t="s">
        <v>49</v>
      </c>
      <c r="J34" s="12">
        <v>0.14592989871628637</v>
      </c>
      <c r="K34" s="20">
        <v>248.13619491276</v>
      </c>
      <c r="L34" s="19">
        <v>12.991738489999999</v>
      </c>
      <c r="M34" s="19">
        <v>13.570716934</v>
      </c>
      <c r="N34" s="19">
        <f>K34-SUM(L34:M34,P34:S34)</f>
        <v>73.913186496000009</v>
      </c>
      <c r="O34" s="19"/>
      <c r="P34" s="19">
        <v>56.224241231999983</v>
      </c>
      <c r="Q34" s="19">
        <v>38.568300194900019</v>
      </c>
      <c r="R34" s="19">
        <v>51.403276653099994</v>
      </c>
      <c r="S34" s="18">
        <v>1.4647349127599998</v>
      </c>
      <c r="T34" s="18">
        <v>3.0509999999999999E-2</v>
      </c>
      <c r="U34" s="18">
        <v>2491.3445288959997</v>
      </c>
      <c r="V34" s="18">
        <v>163.22274682581599</v>
      </c>
      <c r="W34" s="18">
        <v>125.695266759112</v>
      </c>
      <c r="X34" s="18">
        <v>87.619536231044009</v>
      </c>
      <c r="Y34" s="18">
        <v>17.738180502335599</v>
      </c>
      <c r="Z34" s="18">
        <f>SUM(T34:Y34)</f>
        <v>2885.6507692143077</v>
      </c>
      <c r="AA34" s="19">
        <v>146.36378138500001</v>
      </c>
      <c r="AB34" s="19">
        <v>145.97028205099997</v>
      </c>
      <c r="AC34" s="19">
        <f>Z34-SUM(AA34:AB34)-SUM(AE34:AH34)</f>
        <v>808.78537420400016</v>
      </c>
      <c r="AD34" s="19"/>
      <c r="AE34" s="19">
        <v>671.35389216999943</v>
      </c>
      <c r="AF34" s="19">
        <v>396.59315343380013</v>
      </c>
      <c r="AG34" s="19">
        <v>696.51459675620026</v>
      </c>
      <c r="AH34" s="18">
        <v>20.069689214307598</v>
      </c>
      <c r="AI34" s="18">
        <f>SUM(AA34:AH34)</f>
        <v>2885.6507692143077</v>
      </c>
      <c r="AJ34" s="3">
        <f>K34*1000/(30*$G$103*$G$96*$G$107)</f>
        <v>55.288813483235295</v>
      </c>
      <c r="AK34" s="3">
        <f>AI34*$G$98/($G$103*$G$96*$G$107)*0.277778</f>
        <v>1.607427070930773</v>
      </c>
      <c r="AL34" s="42">
        <f>30/AK34</f>
        <v>18.663366159827483</v>
      </c>
      <c r="AN34" s="3">
        <f t="shared" ref="AN34:AN61" si="62">AJ34*$AO$3/$AN$3</f>
        <v>93.990982921500006</v>
      </c>
      <c r="AO34" s="44"/>
      <c r="AP34" s="42">
        <f>AJ34*$AO$3/$AP$3</f>
        <v>40.86564474847826</v>
      </c>
      <c r="AQ34" s="44"/>
      <c r="AR34" s="3"/>
      <c r="AS34" s="42"/>
      <c r="AT34" s="3"/>
      <c r="AU34" s="3">
        <f>AJ34*$AV$3/$AU$3</f>
        <v>63.187215409411778</v>
      </c>
      <c r="AV34" s="3"/>
      <c r="AW34" s="42">
        <f>AJ34*$AV$3/$AW$3</f>
        <v>49.145611985098043</v>
      </c>
      <c r="AX34" s="3"/>
      <c r="AY34" s="3">
        <f>AL34/30*25</f>
        <v>15.552805133189567</v>
      </c>
      <c r="AZ34" s="42"/>
      <c r="BA34" s="48" t="s">
        <v>121</v>
      </c>
      <c r="BB34" s="3">
        <f>AJ34*BC$33/BB$33</f>
        <v>63.794784788348409</v>
      </c>
      <c r="BC34" s="3"/>
      <c r="BD34" s="3"/>
    </row>
    <row r="35" spans="1:56" x14ac:dyDescent="0.25">
      <c r="A35" s="4">
        <v>2010</v>
      </c>
      <c r="B35" s="4" t="s">
        <v>18</v>
      </c>
      <c r="C35" s="4" t="s">
        <v>20</v>
      </c>
      <c r="D35" s="4" t="s">
        <v>60</v>
      </c>
      <c r="E35" t="s">
        <v>213</v>
      </c>
      <c r="F35" t="s">
        <v>61</v>
      </c>
      <c r="G35" s="4">
        <v>1</v>
      </c>
      <c r="H35" s="4" t="s">
        <v>32</v>
      </c>
      <c r="I35" s="4" t="s">
        <v>50</v>
      </c>
      <c r="J35" s="12">
        <v>6.1044273387890396E-2</v>
      </c>
      <c r="K35" s="20">
        <v>185.50730649259998</v>
      </c>
      <c r="L35" s="19">
        <v>9.7916857950000011</v>
      </c>
      <c r="M35" s="19">
        <v>9.3068332169999994</v>
      </c>
      <c r="N35" s="19">
        <f>K35-SUM(L35:M35,P35:S35)</f>
        <v>51.403642567999981</v>
      </c>
      <c r="O35" s="19"/>
      <c r="P35" s="19">
        <v>36.108527391999992</v>
      </c>
      <c r="Q35" s="19">
        <v>28.149493352899981</v>
      </c>
      <c r="R35" s="19">
        <v>49.74838767510002</v>
      </c>
      <c r="S35" s="18">
        <v>0.99873649259999997</v>
      </c>
      <c r="T35" s="18">
        <v>2.47E-2</v>
      </c>
      <c r="U35" s="18">
        <v>2190.1225629599999</v>
      </c>
      <c r="V35" s="18">
        <v>71.414428267160005</v>
      </c>
      <c r="W35" s="18">
        <v>611.85614175412002</v>
      </c>
      <c r="X35" s="18">
        <v>68.483684003939999</v>
      </c>
      <c r="Y35" s="18">
        <v>61.700246414005996</v>
      </c>
      <c r="Z35" s="18">
        <f t="shared" ref="Z35:Z39" si="63">SUM(T35:Y35)</f>
        <v>3003.601763399226</v>
      </c>
      <c r="AA35" s="19">
        <v>150.92598075000001</v>
      </c>
      <c r="AB35" s="19">
        <v>158.68041105</v>
      </c>
      <c r="AC35" s="19">
        <f t="shared" ref="AC35:AC61" si="64">Z35-SUM(AA35:AB35)-SUM(AE35:AH35)</f>
        <v>878.5757269799999</v>
      </c>
      <c r="AD35" s="19"/>
      <c r="AE35" s="19">
        <v>685.53901265399941</v>
      </c>
      <c r="AF35" s="19">
        <v>410.82625107440049</v>
      </c>
      <c r="AG35" s="19">
        <v>705.36976749160021</v>
      </c>
      <c r="AH35" s="18">
        <v>13.684613399226</v>
      </c>
      <c r="AI35" s="18">
        <f t="shared" ref="AI35:AI39" si="65">SUM(AA35:AH35)</f>
        <v>3003.601763399226</v>
      </c>
      <c r="AJ35" s="3">
        <f t="shared" ref="AJ35:AJ40" si="66">K35*1000/(30*$G$103*$G$96*$G$107)</f>
        <v>41.33407007410873</v>
      </c>
      <c r="AK35" s="3">
        <f t="shared" ref="AK35:AK40" si="67">AI35*$G$98/($G$103*$G$96*$G$107)*0.277778</f>
        <v>1.6731306630351144</v>
      </c>
      <c r="AL35" s="42">
        <f t="shared" ref="AL35:AL61" si="68">30/AK35</f>
        <v>17.930458548634217</v>
      </c>
      <c r="AN35" s="3">
        <f t="shared" si="62"/>
        <v>70.267919125984847</v>
      </c>
      <c r="AO35" s="44"/>
      <c r="AP35" s="42">
        <f t="shared" ref="AP35:AP61" si="69">AJ35*$AO$3/$AP$3</f>
        <v>30.551269185210803</v>
      </c>
      <c r="AQ35" s="44"/>
      <c r="AR35" s="3"/>
      <c r="AS35" s="42"/>
      <c r="AT35" s="3"/>
      <c r="AU35" s="3">
        <f t="shared" ref="AU35:AU61" si="70">AJ35*$AV$3/$AU$3</f>
        <v>47.238937227552839</v>
      </c>
      <c r="AV35" s="3"/>
      <c r="AW35" s="42">
        <f t="shared" ref="AW35:AW61" si="71">AJ35*$AV$3/$AW$3</f>
        <v>36.74139562142998</v>
      </c>
      <c r="AX35" s="3"/>
      <c r="AY35" s="3">
        <f t="shared" ref="AY35:AY61" si="72">AL35/30*25</f>
        <v>14.942048790528514</v>
      </c>
      <c r="AZ35" s="42"/>
      <c r="BA35" s="48"/>
      <c r="BB35" s="3">
        <f t="shared" ref="BB35:BB61" si="73">AJ35*BC$33/BB$33</f>
        <v>47.693157777817767</v>
      </c>
      <c r="BC35" s="3"/>
      <c r="BD35" s="3"/>
    </row>
    <row r="36" spans="1:56" x14ac:dyDescent="0.25">
      <c r="A36" s="4">
        <v>2010</v>
      </c>
      <c r="B36" s="4" t="s">
        <v>18</v>
      </c>
      <c r="C36" s="4" t="s">
        <v>21</v>
      </c>
      <c r="D36" s="4" t="s">
        <v>60</v>
      </c>
      <c r="E36" t="s">
        <v>214</v>
      </c>
      <c r="F36" t="s">
        <v>61</v>
      </c>
      <c r="G36" s="4">
        <v>1</v>
      </c>
      <c r="H36" s="4" t="s">
        <v>32</v>
      </c>
      <c r="I36" s="4" t="s">
        <v>51</v>
      </c>
      <c r="J36" s="12">
        <v>5.6839615257396746E-2</v>
      </c>
      <c r="K36" s="20">
        <v>175.43367377033999</v>
      </c>
      <c r="L36" s="19">
        <v>8.9782376599999996</v>
      </c>
      <c r="M36" s="19">
        <v>7.9655405560000005</v>
      </c>
      <c r="N36" s="19">
        <f t="shared" ref="N36:N53" si="74">K36-SUM(L36:M36,P36:S36)</f>
        <v>44.116628423999998</v>
      </c>
      <c r="O36" s="19"/>
      <c r="P36" s="19">
        <v>37.618693679999993</v>
      </c>
      <c r="Q36" s="19">
        <v>26.148071654400013</v>
      </c>
      <c r="R36" s="19">
        <v>49.336208025599987</v>
      </c>
      <c r="S36" s="18">
        <v>1.2702937703399999</v>
      </c>
      <c r="T36" s="18">
        <v>3.2309999999999998E-2</v>
      </c>
      <c r="U36" s="18">
        <v>2140.759677864</v>
      </c>
      <c r="V36" s="18">
        <v>97.204705878644006</v>
      </c>
      <c r="W36" s="18">
        <v>667.74860782610801</v>
      </c>
      <c r="X36" s="18">
        <v>80.350157224846001</v>
      </c>
      <c r="Y36" s="18">
        <v>16.288252298475399</v>
      </c>
      <c r="Z36" s="18">
        <f t="shared" si="63"/>
        <v>3002.3837110920736</v>
      </c>
      <c r="AA36" s="19">
        <v>152.43403903999999</v>
      </c>
      <c r="AB36" s="19">
        <v>156.00445278399999</v>
      </c>
      <c r="AC36" s="19">
        <f t="shared" si="64"/>
        <v>862.12586877600029</v>
      </c>
      <c r="AD36" s="19"/>
      <c r="AE36" s="19">
        <v>699.4930699140001</v>
      </c>
      <c r="AF36" s="19">
        <v>415.27988042229958</v>
      </c>
      <c r="AG36" s="19">
        <v>699.64092906370024</v>
      </c>
      <c r="AH36" s="18">
        <v>17.405471092073398</v>
      </c>
      <c r="AI36" s="18">
        <f t="shared" si="65"/>
        <v>3002.3837110920736</v>
      </c>
      <c r="AJ36" s="3">
        <f t="shared" si="66"/>
        <v>39.089499503195185</v>
      </c>
      <c r="AK36" s="3">
        <f t="shared" si="67"/>
        <v>1.6724521574192528</v>
      </c>
      <c r="AL36" s="42">
        <f t="shared" si="68"/>
        <v>17.937732847493081</v>
      </c>
      <c r="AN36" s="3">
        <f t="shared" si="62"/>
        <v>66.452149155431826</v>
      </c>
      <c r="AO36" s="44"/>
      <c r="AP36" s="42">
        <f t="shared" si="69"/>
        <v>28.892238763231227</v>
      </c>
      <c r="AQ36" s="44"/>
      <c r="AR36" s="3"/>
      <c r="AS36" s="42"/>
      <c r="AT36" s="3"/>
      <c r="AU36" s="3">
        <f t="shared" si="70"/>
        <v>44.67371371793736</v>
      </c>
      <c r="AV36" s="3"/>
      <c r="AW36" s="42">
        <f t="shared" si="71"/>
        <v>34.746221780617944</v>
      </c>
      <c r="AX36" s="3"/>
      <c r="AY36" s="3">
        <f t="shared" si="72"/>
        <v>14.948110706244233</v>
      </c>
      <c r="AZ36" s="42"/>
      <c r="BA36" s="48"/>
      <c r="BB36" s="3">
        <f t="shared" si="73"/>
        <v>45.103268657532901</v>
      </c>
      <c r="BC36" s="3"/>
      <c r="BD36" s="3"/>
    </row>
    <row r="37" spans="1:56" x14ac:dyDescent="0.25">
      <c r="A37" s="4">
        <v>2010</v>
      </c>
      <c r="B37" s="4" t="s">
        <v>18</v>
      </c>
      <c r="C37" s="4" t="s">
        <v>22</v>
      </c>
      <c r="D37" s="4" t="s">
        <v>60</v>
      </c>
      <c r="E37" t="s">
        <v>215</v>
      </c>
      <c r="F37" t="s">
        <v>61</v>
      </c>
      <c r="G37" s="4">
        <v>1</v>
      </c>
      <c r="H37" s="4" t="s">
        <v>32</v>
      </c>
      <c r="I37" s="4" t="s">
        <v>52</v>
      </c>
      <c r="J37" s="12">
        <v>1.9122845523667789E-2</v>
      </c>
      <c r="K37" s="20">
        <v>183.6449824</v>
      </c>
      <c r="L37" s="19">
        <v>9.5562299400000015</v>
      </c>
      <c r="M37" s="19">
        <v>8.5672984440000004</v>
      </c>
      <c r="N37" s="19">
        <f t="shared" si="74"/>
        <v>47.315530155999994</v>
      </c>
      <c r="O37" s="19"/>
      <c r="P37" s="19">
        <v>40.298225467999998</v>
      </c>
      <c r="Q37" s="19">
        <v>27.930160417399989</v>
      </c>
      <c r="R37" s="19">
        <v>49.633885574600015</v>
      </c>
      <c r="S37" s="18">
        <v>0.34365239999999997</v>
      </c>
      <c r="T37" s="18">
        <v>2.8139999999999998E-2</v>
      </c>
      <c r="U37" s="18">
        <v>2407.7613879999999</v>
      </c>
      <c r="V37" s="18">
        <v>138.56153676000002</v>
      </c>
      <c r="W37" s="18">
        <v>138.2231438</v>
      </c>
      <c r="X37" s="18">
        <v>58.508746815999999</v>
      </c>
      <c r="Y37" s="18">
        <v>44.457390785319994</v>
      </c>
      <c r="Z37" s="18">
        <f t="shared" si="63"/>
        <v>2787.5403461613196</v>
      </c>
      <c r="AA37" s="19">
        <v>142.43127697000003</v>
      </c>
      <c r="AB37" s="19">
        <v>138.49009026199997</v>
      </c>
      <c r="AC37" s="19">
        <f t="shared" si="64"/>
        <v>769.02162590799981</v>
      </c>
      <c r="AD37" s="19"/>
      <c r="AE37" s="19">
        <v>653.12507094199941</v>
      </c>
      <c r="AF37" s="19">
        <v>384.43770058360042</v>
      </c>
      <c r="AG37" s="19">
        <v>694.48923533439984</v>
      </c>
      <c r="AH37" s="18">
        <v>5.5453461613200004</v>
      </c>
      <c r="AI37" s="18">
        <f t="shared" si="65"/>
        <v>2787.5403461613196</v>
      </c>
      <c r="AJ37" s="3">
        <f t="shared" si="66"/>
        <v>40.919113725490199</v>
      </c>
      <c r="AK37" s="3">
        <f t="shared" si="67"/>
        <v>1.5527754992165759</v>
      </c>
      <c r="AL37" s="42">
        <f t="shared" si="68"/>
        <v>19.320243019764252</v>
      </c>
      <c r="AN37" s="3">
        <f t="shared" si="62"/>
        <v>69.562493333333336</v>
      </c>
      <c r="AO37" s="44"/>
      <c r="AP37" s="42">
        <f t="shared" si="69"/>
        <v>30.244562318840579</v>
      </c>
      <c r="AQ37" s="44"/>
      <c r="AR37" s="3"/>
      <c r="AS37" s="42"/>
      <c r="AT37" s="3"/>
      <c r="AU37" s="3">
        <f t="shared" si="70"/>
        <v>46.764701400560227</v>
      </c>
      <c r="AV37" s="3"/>
      <c r="AW37" s="42">
        <f t="shared" si="71"/>
        <v>36.372545533769063</v>
      </c>
      <c r="AX37" s="3"/>
      <c r="AY37" s="3">
        <f t="shared" si="72"/>
        <v>16.100202516470212</v>
      </c>
      <c r="AZ37" s="42"/>
      <c r="BA37" s="48"/>
      <c r="BB37" s="3">
        <f t="shared" si="73"/>
        <v>47.214361990950231</v>
      </c>
      <c r="BC37" s="3"/>
      <c r="BD37" s="3"/>
    </row>
    <row r="38" spans="1:56" x14ac:dyDescent="0.25">
      <c r="A38" s="4">
        <v>2010</v>
      </c>
      <c r="B38" s="4" t="s">
        <v>18</v>
      </c>
      <c r="C38" s="4" t="s">
        <v>23</v>
      </c>
      <c r="D38" s="4" t="s">
        <v>60</v>
      </c>
      <c r="E38" t="s">
        <v>216</v>
      </c>
      <c r="F38" t="s">
        <v>61</v>
      </c>
      <c r="G38" s="4">
        <v>1</v>
      </c>
      <c r="H38" s="4" t="s">
        <v>32</v>
      </c>
      <c r="I38" s="4" t="s">
        <v>53</v>
      </c>
      <c r="J38" s="12">
        <v>0.29638843777954382</v>
      </c>
      <c r="K38" s="20">
        <v>222.13529704736001</v>
      </c>
      <c r="L38" s="19">
        <v>11.573606925</v>
      </c>
      <c r="M38" s="19">
        <v>11.471589134999999</v>
      </c>
      <c r="N38" s="19">
        <f t="shared" si="74"/>
        <v>62.754445720000007</v>
      </c>
      <c r="O38" s="19"/>
      <c r="P38" s="19">
        <v>49.650244657999991</v>
      </c>
      <c r="Q38" s="19">
        <v>34.150401603400013</v>
      </c>
      <c r="R38" s="19">
        <v>50.672901958599994</v>
      </c>
      <c r="S38" s="18">
        <v>1.8621070473599999</v>
      </c>
      <c r="T38" s="18">
        <v>3.0110000000000001E-2</v>
      </c>
      <c r="U38" s="18">
        <v>2824.2992250560001</v>
      </c>
      <c r="V38" s="18">
        <v>83.639645050176</v>
      </c>
      <c r="W38" s="18">
        <v>84.035524493631996</v>
      </c>
      <c r="X38" s="18">
        <v>80.656563514783997</v>
      </c>
      <c r="Y38" s="18">
        <v>10.5478846363616</v>
      </c>
      <c r="Z38" s="18">
        <f t="shared" si="63"/>
        <v>3083.2089527509538</v>
      </c>
      <c r="AA38" s="19">
        <v>157.04594547500002</v>
      </c>
      <c r="AB38" s="19">
        <v>160.77471662500005</v>
      </c>
      <c r="AC38" s="19">
        <f t="shared" si="64"/>
        <v>887.48429092000038</v>
      </c>
      <c r="AD38" s="19"/>
      <c r="AE38" s="19">
        <v>720.87374439200005</v>
      </c>
      <c r="AF38" s="19">
        <v>429.49961460019995</v>
      </c>
      <c r="AG38" s="19">
        <v>702.01618798780009</v>
      </c>
      <c r="AH38" s="18">
        <v>25.514452750953602</v>
      </c>
      <c r="AI38" s="18">
        <f t="shared" si="65"/>
        <v>3083.2089527509543</v>
      </c>
      <c r="AJ38" s="3">
        <f t="shared" si="66"/>
        <v>49.49538704263815</v>
      </c>
      <c r="AK38" s="3">
        <f t="shared" si="67"/>
        <v>1.7174751667324626</v>
      </c>
      <c r="AL38" s="42">
        <f t="shared" si="68"/>
        <v>17.467501470240013</v>
      </c>
      <c r="AN38" s="3">
        <f t="shared" si="62"/>
        <v>84.142157972484853</v>
      </c>
      <c r="AO38" s="44"/>
      <c r="AP38" s="42">
        <f t="shared" si="69"/>
        <v>36.583546944558634</v>
      </c>
      <c r="AQ38" s="44"/>
      <c r="AR38" s="3"/>
      <c r="AS38" s="42"/>
      <c r="AT38" s="3"/>
      <c r="AU38" s="3">
        <f t="shared" si="70"/>
        <v>56.566156620157898</v>
      </c>
      <c r="AV38" s="3"/>
      <c r="AW38" s="42">
        <f t="shared" si="71"/>
        <v>43.995899593456137</v>
      </c>
      <c r="AX38" s="3"/>
      <c r="AY38" s="3">
        <f t="shared" si="72"/>
        <v>14.556251225200009</v>
      </c>
      <c r="AZ38" s="42"/>
      <c r="BA38" s="48"/>
      <c r="BB38" s="3">
        <f t="shared" si="73"/>
        <v>57.110061972274778</v>
      </c>
      <c r="BC38" s="3"/>
      <c r="BD38" s="3"/>
    </row>
    <row r="39" spans="1:56" x14ac:dyDescent="0.25">
      <c r="A39" s="4">
        <v>2010</v>
      </c>
      <c r="B39" s="4" t="s">
        <v>18</v>
      </c>
      <c r="C39" s="4" t="s">
        <v>24</v>
      </c>
      <c r="D39" s="4" t="s">
        <v>60</v>
      </c>
      <c r="E39" t="s">
        <v>217</v>
      </c>
      <c r="F39" t="s">
        <v>61</v>
      </c>
      <c r="G39" s="4">
        <v>1</v>
      </c>
      <c r="H39" s="4" t="s">
        <v>32</v>
      </c>
      <c r="I39" s="4" t="s">
        <v>54</v>
      </c>
      <c r="J39" s="12">
        <v>0.42067492933521489</v>
      </c>
      <c r="K39" s="20">
        <v>218.120998082</v>
      </c>
      <c r="L39" s="19">
        <v>11.31127699</v>
      </c>
      <c r="M39" s="19">
        <v>11.273552834</v>
      </c>
      <c r="N39" s="19">
        <f t="shared" si="74"/>
        <v>61.70168475600002</v>
      </c>
      <c r="O39" s="19"/>
      <c r="P39" s="19">
        <v>48.43402395599999</v>
      </c>
      <c r="Q39" s="19">
        <v>33.341570574800016</v>
      </c>
      <c r="R39" s="19">
        <v>50.537790889199982</v>
      </c>
      <c r="S39" s="18">
        <v>1.521098082</v>
      </c>
      <c r="T39" s="18">
        <v>3.0630000000000001E-2</v>
      </c>
      <c r="U39" s="18">
        <v>2517.5693772</v>
      </c>
      <c r="V39" s="18">
        <v>60.629232461199997</v>
      </c>
      <c r="W39" s="18">
        <v>453.62907310839995</v>
      </c>
      <c r="X39" s="18">
        <v>57.512631115799998</v>
      </c>
      <c r="Y39" s="18">
        <v>13.66850929642</v>
      </c>
      <c r="Z39" s="18">
        <f t="shared" si="63"/>
        <v>3103.0394531818201</v>
      </c>
      <c r="AA39" s="19">
        <v>157.52214552499996</v>
      </c>
      <c r="AB39" s="19">
        <v>163.958288815</v>
      </c>
      <c r="AC39" s="19">
        <f t="shared" si="64"/>
        <v>904.40760033999982</v>
      </c>
      <c r="AD39" s="19"/>
      <c r="AE39" s="19">
        <v>723.07974067999987</v>
      </c>
      <c r="AF39" s="19">
        <v>430.96823642549998</v>
      </c>
      <c r="AG39" s="19">
        <v>702.26146821450038</v>
      </c>
      <c r="AH39" s="18">
        <v>20.841973181819998</v>
      </c>
      <c r="AI39" s="18">
        <f t="shared" si="65"/>
        <v>3103.0394531818197</v>
      </c>
      <c r="AJ39" s="3">
        <f t="shared" si="66"/>
        <v>48.600935401515152</v>
      </c>
      <c r="AK39" s="3">
        <f t="shared" si="67"/>
        <v>1.7285215773247451</v>
      </c>
      <c r="AL39" s="42">
        <f t="shared" si="68"/>
        <v>17.355872436623777</v>
      </c>
      <c r="AN39" s="3">
        <f t="shared" si="62"/>
        <v>82.621590182575758</v>
      </c>
      <c r="AO39" s="44"/>
      <c r="AP39" s="42">
        <f t="shared" si="69"/>
        <v>35.922430514163374</v>
      </c>
      <c r="AQ39" s="44"/>
      <c r="AR39" s="3"/>
      <c r="AS39" s="42"/>
      <c r="AT39" s="3"/>
      <c r="AU39" s="3">
        <f t="shared" si="70"/>
        <v>55.54392617316018</v>
      </c>
      <c r="AV39" s="3"/>
      <c r="AW39" s="42">
        <f t="shared" si="71"/>
        <v>43.200831468013469</v>
      </c>
      <c r="AX39" s="3"/>
      <c r="AY39" s="3">
        <f t="shared" si="72"/>
        <v>14.463227030519816</v>
      </c>
      <c r="AZ39" s="42"/>
      <c r="BA39" s="48"/>
      <c r="BB39" s="3">
        <f t="shared" si="73"/>
        <v>56.078002386363629</v>
      </c>
      <c r="BC39" s="3"/>
      <c r="BD39" s="3"/>
    </row>
    <row r="40" spans="1:56" x14ac:dyDescent="0.25">
      <c r="A40" s="4">
        <v>2010</v>
      </c>
      <c r="B40" s="4" t="s">
        <v>18</v>
      </c>
      <c r="C40" s="4"/>
      <c r="I40" s="4"/>
      <c r="J40" s="8"/>
      <c r="K40" s="21">
        <f>$J34*K34+$J35*K35+$J36*K36+$J37*K37+$J38*K38+$J39*K39</f>
        <v>218.61441479661272</v>
      </c>
      <c r="L40" s="18">
        <f>$J34*L34+$J35*L35+$J36*L36+$J37*L37+$J38*L38+$J39*L39</f>
        <v>11.375325234242172</v>
      </c>
      <c r="M40" s="18">
        <f t="shared" ref="M40" si="75">$J34*M34+$J35*M35+$J36*M36+$J37*M37+$J38*M38+$J39*M39</f>
        <v>11.307639028551261</v>
      </c>
      <c r="N40" s="19">
        <f t="shared" si="74"/>
        <v>61.892465594596985</v>
      </c>
      <c r="O40" s="18">
        <f t="shared" ref="O40" si="76">$J34*O34+$J35*O35+$J36*O36+$J37*O37+$J38*O38+$J39*O39</f>
        <v>0</v>
      </c>
      <c r="P40" s="18">
        <f t="shared" ref="P40" si="77">$J34*P34+$J35*P35+$J36*P36+$J37*P37+$J38*P38+$J39*P39</f>
        <v>48.4086035165639</v>
      </c>
      <c r="Q40" s="18">
        <f t="shared" ref="Q40" si="78">$J34*Q34+$J35*Q35+$J36*Q36+$J37*Q37+$J38*Q38+$J39*Q39</f>
        <v>33.514731010993096</v>
      </c>
      <c r="R40" s="18">
        <f t="shared" ref="R40" si="79">$J34*R34+$J35*R35+$J36*R36+$J37*R37+$J38*R38+$J39*R39</f>
        <v>50.57036520287167</v>
      </c>
      <c r="S40" s="18">
        <f t="shared" ref="S40" si="80">$J34*S34+$J35*S35+$J36*S36+$J37*S37+$J38*S38+$J39*S39</f>
        <v>1.545285208793634</v>
      </c>
      <c r="T40" s="18">
        <f t="shared" ref="T40" si="81">$J34*T34+$J35*T35+$J36*T36+$J37*T37+$J38*T38+$J39*T39</f>
        <v>3.0144248551596985E-2</v>
      </c>
      <c r="U40" s="18">
        <f t="shared" ref="U40" si="82">$J34*U34+$J35*U35+$J36*U36+$J37*U37+$J38*U38+$J39*U39</f>
        <v>2561.1472557708339</v>
      </c>
      <c r="V40" s="18">
        <f t="shared" ref="V40" si="83">$J34*V34+$J35*V35+$J36*V36+$J37*V37+$J38*V38+$J39*V39</f>
        <v>86.648311555920671</v>
      </c>
      <c r="W40" s="18">
        <f t="shared" ref="W40" si="84">$J34*W34+$J35*W35+$J36*W36+$J37*W37+$J38*W38+$J39*W39</f>
        <v>312.02834101968091</v>
      </c>
      <c r="X40" s="18">
        <f t="shared" ref="X40" si="85">$J34*X34+$J35*X35+$J36*X36+$J37*X37+$J38*X38+$J39*X39</f>
        <v>70.752567413722815</v>
      </c>
      <c r="Y40" s="18">
        <f t="shared" ref="Y40" si="86">$J34*Y34+$J35*Y35+$J36*Y36+$J37*Y37+$J38*Y38+$J39*Y39</f>
        <v>17.007217636186859</v>
      </c>
      <c r="Z40" s="21">
        <f>$J34*Z34+$J35*Z35+$J36*Z36+$J37*Z37+$J38*Z38+$J39*Z39</f>
        <v>3047.6138376448971</v>
      </c>
      <c r="AA40" s="18">
        <f t="shared" ref="AA40" si="87">$J34*AA34+$J35*AA35+$J36*AA36+$J37*AA37+$J38*AA38+$J39*AA39</f>
        <v>154.77222193829232</v>
      </c>
      <c r="AB40" s="18">
        <f t="shared" ref="AB40" si="88">$J34*AB34+$J35*AB35+$J36*AB36+$J37*AB37+$J38*AB38+$J39*AB39</f>
        <v>159.12842520215702</v>
      </c>
      <c r="AC40" s="19">
        <f t="shared" si="64"/>
        <v>878.86845495473654</v>
      </c>
      <c r="AD40" s="18">
        <f t="shared" ref="AD40" si="89">$J34*AD34+$J35*AD35+$J36*AD36+$J37*AD37+$J38*AD38+$J39*AD39</f>
        <v>0</v>
      </c>
      <c r="AE40" s="18">
        <f t="shared" ref="AE40" si="90">$J34*AE34+$J35*AE35+$J36*AE36+$J37*AE37+$J38*AE38+$J39*AE39</f>
        <v>709.90752495297284</v>
      </c>
      <c r="AF40" s="18">
        <f t="shared" ref="AF40" si="91">$J34*AF34+$J35*AF35+$J36*AF36+$J37*AF37+$J38*AF38+$J39*AF39</f>
        <v>422.50553228903914</v>
      </c>
      <c r="AG40" s="18">
        <f t="shared" ref="AG40" si="92">$J34*AG34+$J35*AG35+$J36*AG36+$J37*AG37+$J38*AG38+$J39*AG39</f>
        <v>701.24229584644922</v>
      </c>
      <c r="AH40" s="18">
        <f t="shared" ref="AH40" si="93">$J34*AH34+$J35*AH35+$J36*AH36+$J37*AH37+$J38*AH38+$J39*AH39</f>
        <v>21.189382461250268</v>
      </c>
      <c r="AI40" s="21">
        <f>$J34*AI34+$J35*AI35+$J36*AI36+$J37*AI37+$J38*AI38+$J39*AI39</f>
        <v>3047.6138376448971</v>
      </c>
      <c r="AJ40" s="41">
        <f t="shared" si="66"/>
        <v>48.710876737213169</v>
      </c>
      <c r="AK40" s="41">
        <f t="shared" si="67"/>
        <v>1.6976472124197679</v>
      </c>
      <c r="AL40" s="43">
        <f t="shared" si="68"/>
        <v>17.671516072670382</v>
      </c>
      <c r="AN40" s="41">
        <f t="shared" si="62"/>
        <v>82.808490453262394</v>
      </c>
      <c r="AO40" s="53"/>
      <c r="AP40" s="43">
        <f t="shared" si="69"/>
        <v>36.00369150141843</v>
      </c>
      <c r="AQ40" s="53"/>
      <c r="AR40" s="41"/>
      <c r="AS40" s="43"/>
      <c r="AT40" s="41"/>
      <c r="AU40" s="41">
        <f t="shared" si="70"/>
        <v>55.669573413957913</v>
      </c>
      <c r="AV40" s="41"/>
      <c r="AW40" s="43">
        <f t="shared" si="71"/>
        <v>43.29855709974504</v>
      </c>
      <c r="AX40" s="41"/>
      <c r="AY40" s="41">
        <f t="shared" si="72"/>
        <v>14.726263393891987</v>
      </c>
      <c r="AZ40" s="43"/>
      <c r="BA40" s="54"/>
      <c r="BB40" s="41">
        <f t="shared" si="73"/>
        <v>56.204857773707502</v>
      </c>
      <c r="BC40" s="3"/>
      <c r="BD40" s="3"/>
    </row>
    <row r="41" spans="1:56" x14ac:dyDescent="0.25">
      <c r="A41" s="4">
        <v>2015</v>
      </c>
      <c r="B41" s="4" t="s">
        <v>18</v>
      </c>
      <c r="C41" s="4" t="s">
        <v>19</v>
      </c>
      <c r="D41" s="4" t="s">
        <v>60</v>
      </c>
      <c r="E41" t="s">
        <v>218</v>
      </c>
      <c r="F41" t="s">
        <v>61</v>
      </c>
      <c r="G41" s="4">
        <v>1</v>
      </c>
      <c r="H41" s="4" t="s">
        <v>32</v>
      </c>
      <c r="I41" s="4" t="s">
        <v>49</v>
      </c>
      <c r="J41" s="12">
        <v>0.36245376315328581</v>
      </c>
      <c r="K41" s="20">
        <v>234.85914491276</v>
      </c>
      <c r="L41" s="19">
        <v>12.26485782</v>
      </c>
      <c r="M41" s="19">
        <v>12.531271931999999</v>
      </c>
      <c r="N41" s="19">
        <f t="shared" si="74"/>
        <v>68.387607567999993</v>
      </c>
      <c r="O41" s="19"/>
      <c r="P41" s="19">
        <v>52.854647822000018</v>
      </c>
      <c r="Q41" s="19">
        <v>36.327108624899978</v>
      </c>
      <c r="R41" s="19">
        <v>51.028916233100006</v>
      </c>
      <c r="S41" s="18">
        <v>1.4647349127599998</v>
      </c>
      <c r="T41" s="18">
        <v>3.074E-2</v>
      </c>
      <c r="U41" s="18">
        <v>2377.1839488959999</v>
      </c>
      <c r="V41" s="18">
        <v>176.70331682581599</v>
      </c>
      <c r="W41" s="18">
        <v>151.23159675911199</v>
      </c>
      <c r="X41" s="18">
        <v>94.452786231044001</v>
      </c>
      <c r="Y41" s="18">
        <v>31.4605605023356</v>
      </c>
      <c r="Z41" s="18">
        <f>SUM(T41:Y41)</f>
        <v>2831.0629492143075</v>
      </c>
      <c r="AA41" s="19">
        <v>143.38352740000002</v>
      </c>
      <c r="AB41" s="19">
        <v>141.68459011999997</v>
      </c>
      <c r="AC41" s="19">
        <f t="shared" si="64"/>
        <v>786.00308609999934</v>
      </c>
      <c r="AD41" s="19"/>
      <c r="AE41" s="19">
        <v>657.53831603399999</v>
      </c>
      <c r="AF41" s="19">
        <v>387.40407469510023</v>
      </c>
      <c r="AG41" s="19">
        <v>694.97966565090019</v>
      </c>
      <c r="AH41" s="18">
        <v>20.069689214307598</v>
      </c>
      <c r="AI41" s="18">
        <f>SUM(AA41:AH41)</f>
        <v>2831.0629492143075</v>
      </c>
      <c r="AJ41" s="3">
        <f>K41*1000/(30*$G$103*$G$96*$G$112)</f>
        <v>44.279627623069381</v>
      </c>
      <c r="AK41" s="3">
        <f>AI41*$G$98/($G$103*$G$96*$G$112)*0.277778</f>
        <v>1.3344010247288209</v>
      </c>
      <c r="AL41" s="42">
        <f t="shared" si="68"/>
        <v>22.481997123838127</v>
      </c>
      <c r="AN41" s="3">
        <f t="shared" si="62"/>
        <v>75.275366959217948</v>
      </c>
      <c r="AO41" s="44"/>
      <c r="AP41" s="42">
        <f t="shared" si="69"/>
        <v>32.728420417051282</v>
      </c>
      <c r="AQ41" s="44"/>
      <c r="AR41" s="3"/>
      <c r="AS41" s="42"/>
      <c r="AT41" s="3"/>
      <c r="AU41" s="3">
        <f t="shared" si="70"/>
        <v>50.6052887120793</v>
      </c>
      <c r="AV41" s="3"/>
      <c r="AW41" s="42">
        <f t="shared" si="71"/>
        <v>39.359668998283894</v>
      </c>
      <c r="AX41" s="3"/>
      <c r="AY41" s="3">
        <f t="shared" si="72"/>
        <v>18.73499760319844</v>
      </c>
      <c r="AZ41" s="42"/>
      <c r="BA41" s="48"/>
      <c r="BB41" s="3">
        <f t="shared" si="73"/>
        <v>51.09187802661851</v>
      </c>
      <c r="BC41" s="3"/>
      <c r="BD41" s="3"/>
    </row>
    <row r="42" spans="1:56" x14ac:dyDescent="0.25">
      <c r="A42" s="4">
        <v>2015</v>
      </c>
      <c r="B42" s="4" t="s">
        <v>18</v>
      </c>
      <c r="C42" s="4" t="s">
        <v>21</v>
      </c>
      <c r="D42" s="4" t="s">
        <v>60</v>
      </c>
      <c r="E42" t="s">
        <v>219</v>
      </c>
      <c r="F42" t="s">
        <v>61</v>
      </c>
      <c r="G42" s="4">
        <v>1</v>
      </c>
      <c r="H42" s="4" t="s">
        <v>32</v>
      </c>
      <c r="I42" s="4" t="s">
        <v>51</v>
      </c>
      <c r="J42" s="12">
        <v>6.9116063002115188E-2</v>
      </c>
      <c r="K42" s="20">
        <v>199.78035377034001</v>
      </c>
      <c r="L42" s="19">
        <v>10.299990060000001</v>
      </c>
      <c r="M42" s="19">
        <v>9.8879220360000009</v>
      </c>
      <c r="N42" s="19">
        <f t="shared" si="74"/>
        <v>54.335809503999997</v>
      </c>
      <c r="O42" s="19"/>
      <c r="P42" s="19">
        <v>43.745942095999979</v>
      </c>
      <c r="Q42" s="19">
        <v>30.223444721100009</v>
      </c>
      <c r="R42" s="19">
        <v>50.01695158290002</v>
      </c>
      <c r="S42" s="18">
        <v>1.2702937703399999</v>
      </c>
      <c r="T42" s="18">
        <v>3.4340000000000002E-2</v>
      </c>
      <c r="U42" s="18">
        <v>2465.715787864</v>
      </c>
      <c r="V42" s="18">
        <v>102.957245878644</v>
      </c>
      <c r="W42" s="18">
        <v>126.10867782610801</v>
      </c>
      <c r="X42" s="18">
        <v>92.416827224846003</v>
      </c>
      <c r="Y42" s="18">
        <v>17.8974622984754</v>
      </c>
      <c r="Z42" s="18">
        <f t="shared" ref="Z42:Z46" si="94">SUM(T42:Y42)</f>
        <v>2805.1303410920736</v>
      </c>
      <c r="AA42" s="19">
        <v>141.57232084000006</v>
      </c>
      <c r="AB42" s="19">
        <v>140.65346110399994</v>
      </c>
      <c r="AC42" s="19">
        <f t="shared" si="64"/>
        <v>780.52154903599944</v>
      </c>
      <c r="AD42" s="19"/>
      <c r="AE42" s="19">
        <v>649.14100634200008</v>
      </c>
      <c r="AF42" s="19">
        <v>381.78968317240037</v>
      </c>
      <c r="AG42" s="19">
        <v>694.04684950560022</v>
      </c>
      <c r="AH42" s="18">
        <v>17.405471092073398</v>
      </c>
      <c r="AI42" s="18">
        <f t="shared" ref="AI42:AI46" si="95">SUM(AA42:AH42)</f>
        <v>2805.1303410920732</v>
      </c>
      <c r="AJ42" s="3">
        <f t="shared" ref="AJ42:AJ47" si="96">K42*1000/(30*$G$103*$G$96*$G$112)</f>
        <v>37.665979217635751</v>
      </c>
      <c r="AK42" s="3">
        <f t="shared" ref="AK42:AK47" si="97">AI42*$G$98/($G$103*$G$96*$G$112)*0.277778</f>
        <v>1.322177877637795</v>
      </c>
      <c r="AL42" s="42">
        <f t="shared" si="68"/>
        <v>22.689836600199396</v>
      </c>
      <c r="AN42" s="3">
        <f t="shared" si="62"/>
        <v>64.032164669980773</v>
      </c>
      <c r="AO42" s="44"/>
      <c r="AP42" s="42">
        <f t="shared" si="69"/>
        <v>27.840071595643817</v>
      </c>
      <c r="AQ42" s="44"/>
      <c r="AR42" s="3"/>
      <c r="AS42" s="42"/>
      <c r="AT42" s="3"/>
      <c r="AU42" s="3">
        <f t="shared" si="70"/>
        <v>43.046833391583718</v>
      </c>
      <c r="AV42" s="3"/>
      <c r="AW42" s="42">
        <f t="shared" si="71"/>
        <v>33.480870415676222</v>
      </c>
      <c r="AX42" s="3"/>
      <c r="AY42" s="3">
        <f t="shared" si="72"/>
        <v>18.908197166832828</v>
      </c>
      <c r="AZ42" s="42"/>
      <c r="BA42" s="48"/>
      <c r="BB42" s="3">
        <f t="shared" si="73"/>
        <v>43.460745251118169</v>
      </c>
      <c r="BC42" s="3"/>
      <c r="BD42" s="3"/>
    </row>
    <row r="43" spans="1:56" x14ac:dyDescent="0.25">
      <c r="A43" s="4">
        <v>2015</v>
      </c>
      <c r="B43" s="4" t="s">
        <v>18</v>
      </c>
      <c r="C43" s="4" t="s">
        <v>27</v>
      </c>
      <c r="D43" s="4" t="s">
        <v>60</v>
      </c>
      <c r="E43" t="s">
        <v>220</v>
      </c>
      <c r="F43" t="s">
        <v>61</v>
      </c>
      <c r="G43" s="4">
        <v>1</v>
      </c>
      <c r="H43" s="4" t="s">
        <v>32</v>
      </c>
      <c r="I43" s="4" t="s">
        <v>56</v>
      </c>
      <c r="J43" s="12">
        <v>5.4906800535959713E-2</v>
      </c>
      <c r="K43" s="20">
        <v>193.99786867444001</v>
      </c>
      <c r="L43" s="19">
        <v>10.007551509999999</v>
      </c>
      <c r="M43" s="19">
        <v>9.3878832259999996</v>
      </c>
      <c r="N43" s="19">
        <f t="shared" si="74"/>
        <v>51.67766300400001</v>
      </c>
      <c r="O43" s="19"/>
      <c r="P43" s="19">
        <v>42.39032212799998</v>
      </c>
      <c r="Q43" s="19">
        <v>29.321763576199999</v>
      </c>
      <c r="R43" s="19">
        <v>49.866336555800018</v>
      </c>
      <c r="S43" s="18">
        <v>1.3463486744399999</v>
      </c>
      <c r="T43" s="18">
        <v>2.9950000000000001E-2</v>
      </c>
      <c r="U43" s="18">
        <v>2328.3584462240001</v>
      </c>
      <c r="V43" s="18">
        <v>50.990778001704001</v>
      </c>
      <c r="W43" s="18">
        <v>738.65398748152802</v>
      </c>
      <c r="X43" s="18">
        <v>65.737520280636005</v>
      </c>
      <c r="Y43" s="18">
        <v>12.4908677632964</v>
      </c>
      <c r="Z43" s="18">
        <f t="shared" si="94"/>
        <v>3196.2615497511647</v>
      </c>
      <c r="AA43" s="19">
        <v>163.33017302499999</v>
      </c>
      <c r="AB43" s="19">
        <v>170.60560143499995</v>
      </c>
      <c r="AC43" s="19">
        <f t="shared" si="64"/>
        <v>939.74419285999966</v>
      </c>
      <c r="AD43" s="19"/>
      <c r="AE43" s="19">
        <v>750.00520950400005</v>
      </c>
      <c r="AF43" s="19">
        <v>448.87605274929956</v>
      </c>
      <c r="AG43" s="19">
        <v>705.25275042670137</v>
      </c>
      <c r="AH43" s="18">
        <v>18.447569751164398</v>
      </c>
      <c r="AI43" s="18">
        <f t="shared" si="95"/>
        <v>3196.2615497511647</v>
      </c>
      <c r="AJ43" s="3">
        <f t="shared" si="96"/>
        <v>36.575767095482661</v>
      </c>
      <c r="AK43" s="3">
        <f t="shared" si="97"/>
        <v>1.5065347411201002</v>
      </c>
      <c r="AL43" s="42">
        <f t="shared" si="68"/>
        <v>19.91324805274332</v>
      </c>
      <c r="AN43" s="3">
        <f t="shared" si="62"/>
        <v>62.178804062320523</v>
      </c>
      <c r="AO43" s="44"/>
      <c r="AP43" s="42">
        <f t="shared" si="69"/>
        <v>27.034262635791531</v>
      </c>
      <c r="AQ43" s="44"/>
      <c r="AR43" s="3"/>
      <c r="AS43" s="42"/>
      <c r="AT43" s="3"/>
      <c r="AU43" s="3">
        <f t="shared" si="70"/>
        <v>41.800876680551617</v>
      </c>
      <c r="AV43" s="3"/>
      <c r="AW43" s="42">
        <f t="shared" si="71"/>
        <v>32.511792973762361</v>
      </c>
      <c r="AX43" s="3"/>
      <c r="AY43" s="3">
        <f t="shared" si="72"/>
        <v>16.5943733772861</v>
      </c>
      <c r="AZ43" s="42"/>
      <c r="BA43" s="48"/>
      <c r="BB43" s="3">
        <f t="shared" si="73"/>
        <v>42.202808187095378</v>
      </c>
      <c r="BC43" s="3"/>
      <c r="BD43" s="3"/>
    </row>
    <row r="44" spans="1:56" x14ac:dyDescent="0.25">
      <c r="A44" s="4">
        <v>2015</v>
      </c>
      <c r="B44" s="4" t="s">
        <v>18</v>
      </c>
      <c r="C44" s="4" t="s">
        <v>22</v>
      </c>
      <c r="D44" s="4" t="s">
        <v>60</v>
      </c>
      <c r="E44" t="s">
        <v>221</v>
      </c>
      <c r="F44" t="s">
        <v>61</v>
      </c>
      <c r="G44" s="4">
        <v>1</v>
      </c>
      <c r="H44" s="4" t="s">
        <v>32</v>
      </c>
      <c r="I44" s="4" t="s">
        <v>52</v>
      </c>
      <c r="J44" s="12">
        <v>5.8678570306366001E-2</v>
      </c>
      <c r="K44" s="20">
        <v>177.73841239999999</v>
      </c>
      <c r="L44" s="19">
        <v>9.23018216</v>
      </c>
      <c r="M44" s="19">
        <v>8.1087961360000005</v>
      </c>
      <c r="N44" s="19">
        <f t="shared" si="74"/>
        <v>44.878182603999988</v>
      </c>
      <c r="O44" s="19"/>
      <c r="P44" s="19">
        <v>38.786768300000006</v>
      </c>
      <c r="Q44" s="19">
        <v>26.924858018899997</v>
      </c>
      <c r="R44" s="19">
        <v>49.465972781099993</v>
      </c>
      <c r="S44" s="18">
        <v>0.34365239999999997</v>
      </c>
      <c r="T44" s="18">
        <v>2.81E-2</v>
      </c>
      <c r="U44" s="18">
        <v>2355.5040979999999</v>
      </c>
      <c r="V44" s="18">
        <v>115.60176676</v>
      </c>
      <c r="W44" s="18">
        <v>173.95838379999998</v>
      </c>
      <c r="X44" s="18">
        <v>63.103226816000003</v>
      </c>
      <c r="Y44" s="18">
        <v>55.49450078532</v>
      </c>
      <c r="Z44" s="18">
        <f t="shared" si="94"/>
        <v>2763.6900761613197</v>
      </c>
      <c r="AA44" s="19">
        <v>141.11798092500001</v>
      </c>
      <c r="AB44" s="19">
        <v>136.63395073499998</v>
      </c>
      <c r="AC44" s="19">
        <f t="shared" si="64"/>
        <v>759.15457997999988</v>
      </c>
      <c r="AD44" s="19"/>
      <c r="AE44" s="19">
        <v>647.03696746800017</v>
      </c>
      <c r="AF44" s="19">
        <v>380.38839119599925</v>
      </c>
      <c r="AG44" s="19">
        <v>693.81285969600049</v>
      </c>
      <c r="AH44" s="18">
        <v>5.5453461613200004</v>
      </c>
      <c r="AI44" s="18">
        <f t="shared" si="95"/>
        <v>2763.6900761613197</v>
      </c>
      <c r="AJ44" s="3">
        <f t="shared" si="96"/>
        <v>33.51025874811463</v>
      </c>
      <c r="AK44" s="3">
        <f t="shared" si="97"/>
        <v>1.3026453087827021</v>
      </c>
      <c r="AL44" s="42">
        <f t="shared" si="68"/>
        <v>23.030060291726258</v>
      </c>
      <c r="AN44" s="3">
        <f t="shared" si="62"/>
        <v>56.967439871794873</v>
      </c>
      <c r="AO44" s="44"/>
      <c r="AP44" s="42">
        <f t="shared" si="69"/>
        <v>24.768452118171684</v>
      </c>
      <c r="AQ44" s="44"/>
      <c r="AR44" s="3"/>
      <c r="AS44" s="42"/>
      <c r="AT44" s="3"/>
      <c r="AU44" s="3">
        <f t="shared" si="70"/>
        <v>38.297438569273865</v>
      </c>
      <c r="AV44" s="3"/>
      <c r="AW44" s="42">
        <f t="shared" si="71"/>
        <v>29.786896664990785</v>
      </c>
      <c r="AX44" s="3"/>
      <c r="AY44" s="3">
        <f t="shared" si="72"/>
        <v>19.19171690977188</v>
      </c>
      <c r="AZ44" s="42"/>
      <c r="BA44" s="48"/>
      <c r="BB44" s="3">
        <f t="shared" si="73"/>
        <v>38.665683170901495</v>
      </c>
      <c r="BC44" s="3"/>
      <c r="BD44" s="3"/>
    </row>
    <row r="45" spans="1:56" x14ac:dyDescent="0.25">
      <c r="A45" s="4">
        <v>2015</v>
      </c>
      <c r="B45" s="4" t="s">
        <v>18</v>
      </c>
      <c r="C45" s="4" t="s">
        <v>23</v>
      </c>
      <c r="D45" s="4" t="s">
        <v>60</v>
      </c>
      <c r="E45" t="s">
        <v>222</v>
      </c>
      <c r="F45" t="s">
        <v>61</v>
      </c>
      <c r="G45" s="4">
        <v>1</v>
      </c>
      <c r="H45" s="4" t="s">
        <v>32</v>
      </c>
      <c r="I45" s="4" t="s">
        <v>53</v>
      </c>
      <c r="J45" s="12">
        <v>0.37167849707604594</v>
      </c>
      <c r="K45" s="20">
        <v>225.17373704736002</v>
      </c>
      <c r="L45" s="19">
        <v>11.740838205000001</v>
      </c>
      <c r="M45" s="19">
        <v>11.708167263</v>
      </c>
      <c r="N45" s="19">
        <f t="shared" si="74"/>
        <v>64.01206761200001</v>
      </c>
      <c r="O45" s="19"/>
      <c r="P45" s="19">
        <v>50.42549229399998</v>
      </c>
      <c r="Q45" s="19">
        <v>34.666040422700007</v>
      </c>
      <c r="R45" s="19">
        <v>50.759024203300015</v>
      </c>
      <c r="S45" s="18">
        <v>1.8621070473599999</v>
      </c>
      <c r="T45" s="18">
        <v>3.0179999999999998E-2</v>
      </c>
      <c r="U45" s="18">
        <v>2766.265315056</v>
      </c>
      <c r="V45" s="18">
        <v>109.706835050176</v>
      </c>
      <c r="W45" s="18">
        <v>83.963334493632004</v>
      </c>
      <c r="X45" s="18">
        <v>73.893393514783995</v>
      </c>
      <c r="Y45" s="18">
        <v>10.5657546363616</v>
      </c>
      <c r="Z45" s="18">
        <f t="shared" si="94"/>
        <v>3044.4248127509536</v>
      </c>
      <c r="AA45" s="19">
        <v>154.92105554</v>
      </c>
      <c r="AB45" s="19">
        <v>157.74065748399997</v>
      </c>
      <c r="AC45" s="19">
        <f t="shared" si="64"/>
        <v>871.35553575599965</v>
      </c>
      <c r="AD45" s="19"/>
      <c r="AE45" s="19">
        <v>711.02336957399973</v>
      </c>
      <c r="AF45" s="19">
        <v>422.94791920329976</v>
      </c>
      <c r="AG45" s="19">
        <v>700.92182244270089</v>
      </c>
      <c r="AH45" s="18">
        <v>25.514452750953602</v>
      </c>
      <c r="AI45" s="18">
        <f t="shared" si="95"/>
        <v>3044.4248127509541</v>
      </c>
      <c r="AJ45" s="3">
        <f t="shared" si="96"/>
        <v>42.453570333212674</v>
      </c>
      <c r="AK45" s="3">
        <f t="shared" si="97"/>
        <v>1.4349675944055451</v>
      </c>
      <c r="AL45" s="42">
        <f t="shared" si="68"/>
        <v>20.906395459353845</v>
      </c>
      <c r="AN45" s="3">
        <f t="shared" si="62"/>
        <v>72.171069566461554</v>
      </c>
      <c r="AO45" s="44"/>
      <c r="AP45" s="42">
        <f t="shared" si="69"/>
        <v>31.378725898461543</v>
      </c>
      <c r="AQ45" s="44"/>
      <c r="AR45" s="3"/>
      <c r="AS45" s="42"/>
      <c r="AT45" s="3"/>
      <c r="AU45" s="3">
        <f t="shared" si="70"/>
        <v>48.518366095100205</v>
      </c>
      <c r="AV45" s="3"/>
      <c r="AW45" s="42">
        <f t="shared" si="71"/>
        <v>37.736506962855714</v>
      </c>
      <c r="AX45" s="3"/>
      <c r="AY45" s="3">
        <f t="shared" si="72"/>
        <v>17.421996216128203</v>
      </c>
      <c r="AZ45" s="42"/>
      <c r="BA45" s="48"/>
      <c r="BB45" s="3">
        <f t="shared" si="73"/>
        <v>48.98488884601462</v>
      </c>
      <c r="BC45" s="3"/>
      <c r="BD45" s="3"/>
    </row>
    <row r="46" spans="1:56" x14ac:dyDescent="0.25">
      <c r="A46" s="4">
        <v>2015</v>
      </c>
      <c r="B46" s="4" t="s">
        <v>18</v>
      </c>
      <c r="C46" s="4" t="s">
        <v>24</v>
      </c>
      <c r="D46" s="4" t="s">
        <v>60</v>
      </c>
      <c r="E46" t="s">
        <v>223</v>
      </c>
      <c r="F46" t="s">
        <v>61</v>
      </c>
      <c r="G46" s="4">
        <v>1</v>
      </c>
      <c r="H46" s="4" t="s">
        <v>32</v>
      </c>
      <c r="I46" s="4" t="s">
        <v>54</v>
      </c>
      <c r="J46" s="12">
        <v>8.3166305926227355E-2</v>
      </c>
      <c r="K46" s="20">
        <v>215.083298082</v>
      </c>
      <c r="L46" s="19">
        <v>11.144419885</v>
      </c>
      <c r="M46" s="19">
        <v>11.036537350999998</v>
      </c>
      <c r="N46" s="19">
        <f t="shared" si="74"/>
        <v>60.441737044000007</v>
      </c>
      <c r="O46" s="19"/>
      <c r="P46" s="19">
        <v>47.660543707999992</v>
      </c>
      <c r="Q46" s="19">
        <v>32.827103489400002</v>
      </c>
      <c r="R46" s="19">
        <v>50.451858522599991</v>
      </c>
      <c r="S46" s="18">
        <v>1.521098082</v>
      </c>
      <c r="T46" s="18">
        <v>3.0329999999999999E-2</v>
      </c>
      <c r="U46" s="18">
        <v>2525.3162772000001</v>
      </c>
      <c r="V46" s="18">
        <v>60.380412461199995</v>
      </c>
      <c r="W46" s="18">
        <v>395.19190310839997</v>
      </c>
      <c r="X46" s="18">
        <v>56.960841115799994</v>
      </c>
      <c r="Y46" s="18">
        <v>14.78158929642</v>
      </c>
      <c r="Z46" s="18">
        <f t="shared" si="94"/>
        <v>3052.6613531818202</v>
      </c>
      <c r="AA46" s="19">
        <v>154.75826447</v>
      </c>
      <c r="AB46" s="19">
        <v>160.02280880199996</v>
      </c>
      <c r="AC46" s="19">
        <f t="shared" si="64"/>
        <v>883.48698324799966</v>
      </c>
      <c r="AD46" s="19"/>
      <c r="AE46" s="19">
        <v>710.2670665600001</v>
      </c>
      <c r="AF46" s="19">
        <v>422.44627742839998</v>
      </c>
      <c r="AG46" s="19">
        <v>700.83797949160044</v>
      </c>
      <c r="AH46" s="18">
        <v>20.841973181819998</v>
      </c>
      <c r="AI46" s="18">
        <f t="shared" si="95"/>
        <v>3052.6613531818202</v>
      </c>
      <c r="AJ46" s="3">
        <f t="shared" si="96"/>
        <v>40.551149713800903</v>
      </c>
      <c r="AK46" s="3">
        <f t="shared" si="97"/>
        <v>1.4388498281065718</v>
      </c>
      <c r="AL46" s="42">
        <f t="shared" si="68"/>
        <v>20.849986853372982</v>
      </c>
      <c r="AN46" s="3">
        <f t="shared" si="62"/>
        <v>68.936954513461529</v>
      </c>
      <c r="AO46" s="44"/>
      <c r="AP46" s="42">
        <f t="shared" si="69"/>
        <v>29.972588918896317</v>
      </c>
      <c r="AQ46" s="44"/>
      <c r="AR46" s="3"/>
      <c r="AS46" s="42"/>
      <c r="AT46" s="3"/>
      <c r="AU46" s="3">
        <f t="shared" si="70"/>
        <v>46.344171101486751</v>
      </c>
      <c r="AV46" s="3"/>
      <c r="AW46" s="42">
        <f t="shared" si="71"/>
        <v>36.045466412267473</v>
      </c>
      <c r="AX46" s="3"/>
      <c r="AY46" s="3">
        <f t="shared" si="72"/>
        <v>17.374989044477484</v>
      </c>
      <c r="AZ46" s="42"/>
      <c r="BA46" s="48"/>
      <c r="BB46" s="3">
        <f t="shared" si="73"/>
        <v>46.789788131308732</v>
      </c>
      <c r="BC46" s="3"/>
      <c r="BD46" s="3"/>
    </row>
    <row r="47" spans="1:56" x14ac:dyDescent="0.25">
      <c r="A47" s="4">
        <v>2015</v>
      </c>
      <c r="B47" s="4" t="s">
        <v>18</v>
      </c>
      <c r="C47" s="4"/>
      <c r="I47" s="4"/>
      <c r="J47" s="8"/>
      <c r="K47" s="21">
        <f>$J41*K41+$J42*K42+$J43*K43+$J44*K44+$J45*K45+$J46*K46</f>
        <v>221.59477014490159</v>
      </c>
      <c r="L47" s="18">
        <f>$J41*L41+$J42*L42+$J43*L43+$J44*L44+$J45*L45+$J46*L46</f>
        <v>11.539092492709827</v>
      </c>
      <c r="M47" s="18">
        <f t="shared" ref="M47" si="98">$J41*M41+$J42*M42+$J43*M43+$J44*M44+$J45*M45+$J46*M46</f>
        <v>11.486234160688158</v>
      </c>
      <c r="N47" s="19">
        <f t="shared" si="74"/>
        <v>62.832290755369343</v>
      </c>
      <c r="O47" s="18">
        <f t="shared" ref="O47" si="99">$J41*O41+$J42*O42+$J43*O43+$J44*O44+$J45*O45+$J46*O46</f>
        <v>0</v>
      </c>
      <c r="P47" s="18">
        <f t="shared" ref="P47" si="100">$J41*P41+$J42*P42+$J43*P43+$J44*P44+$J45*P45+$J46*P46</f>
        <v>49.490204914388507</v>
      </c>
      <c r="Q47" s="18">
        <f t="shared" ref="Q47" si="101">$J41*Q41+$J42*Q42+$J43*Q43+$J44*Q44+$J45*Q45+$J46*Q46</f>
        <v>34.060429868707566</v>
      </c>
      <c r="R47" s="18">
        <f t="shared" ref="R47" si="102">$J41*R41+$J42*R42+$J43*R43+$J44*R44+$J45*R45+$J46*R46</f>
        <v>50.655123580801757</v>
      </c>
      <c r="S47" s="18">
        <f t="shared" ref="S47" si="103">$J41*S41+$J42*S42+$J43*S43+$J44*S44+$J45*S45+$J46*S46</f>
        <v>1.5313943722364456</v>
      </c>
      <c r="T47" s="18">
        <f t="shared" ref="T47" si="104">$J41*T41+$J42*T42+$J43*T43+$J44*T44+$J45*T45+$J46*T46</f>
        <v>3.0548291884983061E-2</v>
      </c>
      <c r="U47" s="18">
        <f t="shared" ref="U47" si="105">$J41*U41+$J42*U42+$J43*U43+$J44*U44+$J45*U45+$J46*U46</f>
        <v>2536.282722212432</v>
      </c>
      <c r="V47" s="18">
        <f t="shared" ref="V47" si="106">$J41*V41+$J42*V42+$J43*V43+$J44*V44+$J45*V45+$J46*V46</f>
        <v>126.54315593825575</v>
      </c>
      <c r="W47" s="18">
        <f t="shared" ref="W47" si="107">$J41*W41+$J42*W42+$J43*W43+$J44*W44+$J45*W45+$J46*W46</f>
        <v>178.36936977226043</v>
      </c>
      <c r="X47" s="18">
        <f t="shared" ref="X47" si="108">$J41*X41+$J42*X42+$J43*X43+$J44*X44+$J45*X45+$J46*X46</f>
        <v>80.136307291217122</v>
      </c>
      <c r="Y47" s="18">
        <f t="shared" ref="Y47" si="109">$J41*Y41+$J42*Y42+$J43*Y43+$J44*Y44+$J45*Y45+$J46*Y46</f>
        <v>21.738566208750079</v>
      </c>
      <c r="Z47" s="21">
        <f t="shared" ref="Z47" si="110">$J41*Z41+$J42*Z42+$J43*Z43+$J44*Z44+$J45*Z45+$J46*Z46</f>
        <v>2943.1006697148</v>
      </c>
      <c r="AA47" s="18">
        <f t="shared" ref="AA47" si="111">$J41*AA41+$J42*AA42+$J43*AA43+$J44*AA44+$J45*AA45+$J46*AA46</f>
        <v>149.45485737990873</v>
      </c>
      <c r="AB47" s="18">
        <f t="shared" ref="AB47" si="112">$J41*AB41+$J42*AB42+$J43*AB43+$J44*AB44+$J45*AB45+$J46*AB46</f>
        <v>150.39773533514546</v>
      </c>
      <c r="AC47" s="19">
        <f t="shared" si="64"/>
        <v>832.3212699909941</v>
      </c>
      <c r="AD47" s="18">
        <f t="shared" ref="AD47" si="113">$J41*AD41+$J42*AD42+$J43*AD43+$J44*AD44+$J45*AD45+$J46*AD46</f>
        <v>0</v>
      </c>
      <c r="AE47" s="18">
        <f t="shared" ref="AE47" si="114">$J41*AE41+$J42*AE42+$J43*AE43+$J44*AE44+$J45*AE45+$J46*AE46</f>
        <v>685.68328391720695</v>
      </c>
      <c r="AF47" s="18">
        <f t="shared" ref="AF47" si="115">$J41*AF41+$J42*AF42+$J43*AF43+$J44*AF44+$J45*AF45+$J46*AF46</f>
        <v>406.10480267698108</v>
      </c>
      <c r="AG47" s="18">
        <f t="shared" ref="AG47" si="116">$J41*AG41+$J42*AG42+$J43*AG43+$J44*AG44+$J45*AG45+$J46*AG46</f>
        <v>698.10657500970194</v>
      </c>
      <c r="AH47" s="18">
        <f t="shared" ref="AH47" si="117">$J41*AH41+$J42*AH42+$J43*AH43+$J44*AH44+$J45*AH45+$J46*AH46</f>
        <v>21.032145404862167</v>
      </c>
      <c r="AI47" s="21">
        <f t="shared" ref="AI47" si="118">$J41*AI41+$J42*AI42+$J43*AI43+$J44*AI44+$J45*AI45+$J46*AI46</f>
        <v>2943.1006697148005</v>
      </c>
      <c r="AJ47" s="41">
        <f t="shared" si="96"/>
        <v>41.778802817666211</v>
      </c>
      <c r="AK47" s="41">
        <f t="shared" si="97"/>
        <v>1.3872091931539103</v>
      </c>
      <c r="AL47" s="43">
        <f t="shared" si="68"/>
        <v>21.626154258531873</v>
      </c>
      <c r="AN47" s="41">
        <f t="shared" si="62"/>
        <v>71.023964790032565</v>
      </c>
      <c r="AO47" s="53"/>
      <c r="AP47" s="43">
        <f t="shared" si="69"/>
        <v>30.879984691318505</v>
      </c>
      <c r="AQ47" s="53"/>
      <c r="AR47" s="41"/>
      <c r="AS47" s="43"/>
      <c r="AT47" s="41"/>
      <c r="AU47" s="41">
        <f t="shared" si="70"/>
        <v>47.747203220189967</v>
      </c>
      <c r="AV47" s="41"/>
      <c r="AW47" s="43">
        <f t="shared" si="71"/>
        <v>37.1367136157033</v>
      </c>
      <c r="AX47" s="41"/>
      <c r="AY47" s="41">
        <f t="shared" si="72"/>
        <v>18.02179521544323</v>
      </c>
      <c r="AZ47" s="43"/>
      <c r="BA47" s="54"/>
      <c r="BB47" s="41">
        <f t="shared" si="73"/>
        <v>48.206310943461006</v>
      </c>
      <c r="BC47" s="3"/>
      <c r="BD47" s="3"/>
    </row>
    <row r="48" spans="1:56" x14ac:dyDescent="0.25">
      <c r="A48" s="4">
        <v>2020</v>
      </c>
      <c r="B48" s="4" t="s">
        <v>18</v>
      </c>
      <c r="C48" s="4" t="s">
        <v>19</v>
      </c>
      <c r="D48" s="4" t="s">
        <v>60</v>
      </c>
      <c r="E48" t="s">
        <v>224</v>
      </c>
      <c r="F48" t="s">
        <v>61</v>
      </c>
      <c r="G48" s="4">
        <v>1</v>
      </c>
      <c r="H48" s="4" t="s">
        <v>32</v>
      </c>
      <c r="I48" s="4" t="s">
        <v>49</v>
      </c>
      <c r="J48" s="12">
        <v>6.3611092852727744E-2</v>
      </c>
      <c r="K48" s="18">
        <v>223.14361491276</v>
      </c>
      <c r="L48" s="19">
        <v>11.624544615</v>
      </c>
      <c r="M48" s="19">
        <v>11.612514309000002</v>
      </c>
      <c r="N48" s="19">
        <f t="shared" si="74"/>
        <v>63.503585275999995</v>
      </c>
      <c r="O48" s="19"/>
      <c r="P48" s="19">
        <v>49.886304663999994</v>
      </c>
      <c r="Q48" s="19">
        <v>34.352802475999994</v>
      </c>
      <c r="R48" s="19">
        <v>50.699128660000014</v>
      </c>
      <c r="S48" s="18">
        <v>1.4647349127599998</v>
      </c>
      <c r="T48" s="18">
        <v>3.141E-2</v>
      </c>
      <c r="U48" s="18">
        <v>2276.4051888959998</v>
      </c>
      <c r="V48" s="18">
        <v>162.750716825816</v>
      </c>
      <c r="W48" s="18">
        <v>190.48988675911198</v>
      </c>
      <c r="X48" s="18">
        <v>108.442276231044</v>
      </c>
      <c r="Y48" s="18">
        <v>50.089640502335598</v>
      </c>
      <c r="Z48" s="18">
        <f>SUM(T48:Y48)</f>
        <v>2788.2091192143075</v>
      </c>
      <c r="AA48" s="19">
        <v>141.05893610999999</v>
      </c>
      <c r="AB48" s="19">
        <v>138.29815926599997</v>
      </c>
      <c r="AC48" s="19">
        <f t="shared" si="64"/>
        <v>768.00116178400049</v>
      </c>
      <c r="AD48" s="19"/>
      <c r="AE48" s="19">
        <v>646.76214332599943</v>
      </c>
      <c r="AF48" s="19">
        <v>380.23660227650043</v>
      </c>
      <c r="AG48" s="19">
        <v>693.78242723749963</v>
      </c>
      <c r="AH48" s="18">
        <v>20.069689214307598</v>
      </c>
      <c r="AI48" s="18">
        <f>SUM(AA48:AH48)</f>
        <v>2788.2091192143075</v>
      </c>
      <c r="AJ48" s="3">
        <f>K48*1000/(30*$G$103*$G$96*$G$116)</f>
        <v>36.461374985745103</v>
      </c>
      <c r="AK48" s="3">
        <f>AI48*$G$98/($G$103*$G$96*$G$116)*0.277778</f>
        <v>1.1389752245839881</v>
      </c>
      <c r="AL48" s="42">
        <f t="shared" si="68"/>
        <v>26.339466699951732</v>
      </c>
      <c r="AN48" s="3">
        <f t="shared" si="62"/>
        <v>61.984337475766672</v>
      </c>
      <c r="AO48" s="44"/>
      <c r="AP48" s="42">
        <f t="shared" si="69"/>
        <v>26.949711945985509</v>
      </c>
      <c r="AQ48" s="44"/>
      <c r="AR48" s="3"/>
      <c r="AS48" s="42"/>
      <c r="AT48" s="3"/>
      <c r="AU48" s="3">
        <f t="shared" si="70"/>
        <v>41.670142840851554</v>
      </c>
      <c r="AV48" s="3"/>
      <c r="AW48" s="42">
        <f t="shared" si="71"/>
        <v>32.41011109844009</v>
      </c>
      <c r="AX48" s="3"/>
      <c r="AY48" s="3">
        <f t="shared" si="72"/>
        <v>21.949555583293108</v>
      </c>
      <c r="AZ48" s="42"/>
      <c r="BA48" s="48"/>
      <c r="BB48" s="3">
        <f t="shared" si="73"/>
        <v>42.070817291244346</v>
      </c>
      <c r="BC48" s="3"/>
      <c r="BD48" s="3"/>
    </row>
    <row r="49" spans="1:56" x14ac:dyDescent="0.25">
      <c r="A49" s="4">
        <v>2020</v>
      </c>
      <c r="B49" s="4" t="s">
        <v>18</v>
      </c>
      <c r="C49" s="4" t="s">
        <v>27</v>
      </c>
      <c r="D49" s="4" t="s">
        <v>60</v>
      </c>
      <c r="E49" t="s">
        <v>225</v>
      </c>
      <c r="F49" t="s">
        <v>61</v>
      </c>
      <c r="G49" s="4">
        <v>1</v>
      </c>
      <c r="H49" s="4" t="s">
        <v>32</v>
      </c>
      <c r="I49" s="4" t="s">
        <v>56</v>
      </c>
      <c r="J49" s="12">
        <v>9.7665377765249708E-2</v>
      </c>
      <c r="K49" s="18">
        <v>188.51613867444001</v>
      </c>
      <c r="L49" s="19">
        <v>9.7051183300000012</v>
      </c>
      <c r="M49" s="19">
        <v>8.9621214380000005</v>
      </c>
      <c r="N49" s="19">
        <f t="shared" si="74"/>
        <v>49.414354091999996</v>
      </c>
      <c r="O49" s="19"/>
      <c r="P49" s="19">
        <v>40.988342574000001</v>
      </c>
      <c r="Q49" s="19">
        <v>28.389274469700013</v>
      </c>
      <c r="R49" s="19">
        <v>49.710579096299995</v>
      </c>
      <c r="S49" s="18">
        <v>1.3463486744399999</v>
      </c>
      <c r="T49" s="18">
        <v>3.0429999999999999E-2</v>
      </c>
      <c r="U49" s="18">
        <v>2288.219786224</v>
      </c>
      <c r="V49" s="18">
        <v>51.329538001704002</v>
      </c>
      <c r="W49" s="18">
        <v>687.12745748152804</v>
      </c>
      <c r="X49" s="18">
        <v>82.657660280635994</v>
      </c>
      <c r="Y49" s="18">
        <v>14.8471577632964</v>
      </c>
      <c r="Z49" s="18">
        <f t="shared" ref="Z49:Z53" si="119">SUM(T49:Y49)</f>
        <v>3124.2120297511638</v>
      </c>
      <c r="AA49" s="19">
        <v>159.34294759499997</v>
      </c>
      <c r="AB49" s="19">
        <v>165.02744693700001</v>
      </c>
      <c r="AC49" s="19">
        <f t="shared" si="64"/>
        <v>910.09128206800028</v>
      </c>
      <c r="AD49" s="19"/>
      <c r="AE49" s="19">
        <v>731.5214238799997</v>
      </c>
      <c r="AF49" s="19">
        <v>436.5821383655998</v>
      </c>
      <c r="AG49" s="19">
        <v>703.19922115439977</v>
      </c>
      <c r="AH49" s="18">
        <v>18.447569751164398</v>
      </c>
      <c r="AI49" s="18">
        <f t="shared" ref="AI49:AI53" si="120">SUM(AA49:AH49)</f>
        <v>3124.2120297511642</v>
      </c>
      <c r="AJ49" s="3">
        <f t="shared" ref="AJ49:AJ60" si="121">K49*1000/(30*$G$103*$G$96*$G$116)</f>
        <v>30.803290633078433</v>
      </c>
      <c r="AK49" s="3">
        <f t="shared" ref="AK49:AK60" si="122">AI49*$G$98/($G$103*$G$96*$G$116)*0.277778</f>
        <v>1.2762314252944396</v>
      </c>
      <c r="AL49" s="42">
        <f t="shared" si="68"/>
        <v>23.506708427179415</v>
      </c>
      <c r="AN49" s="3">
        <f t="shared" si="62"/>
        <v>52.365594076233336</v>
      </c>
      <c r="AO49" s="44"/>
      <c r="AP49" s="42">
        <f t="shared" si="69"/>
        <v>22.767649598362318</v>
      </c>
      <c r="AQ49" s="44"/>
      <c r="AR49" s="3"/>
      <c r="AS49" s="42"/>
      <c r="AT49" s="3"/>
      <c r="AU49" s="3">
        <f t="shared" si="70"/>
        <v>35.203760723518208</v>
      </c>
      <c r="AV49" s="3"/>
      <c r="AW49" s="42">
        <f t="shared" si="71"/>
        <v>27.380702784958608</v>
      </c>
      <c r="AX49" s="3"/>
      <c r="AY49" s="3">
        <f t="shared" si="72"/>
        <v>19.588923689316179</v>
      </c>
      <c r="AZ49" s="42"/>
      <c r="BA49" s="48"/>
      <c r="BB49" s="3">
        <f t="shared" si="73"/>
        <v>35.542258422782808</v>
      </c>
      <c r="BC49" s="3"/>
      <c r="BD49" s="3"/>
    </row>
    <row r="50" spans="1:56" x14ac:dyDescent="0.25">
      <c r="A50" s="4">
        <v>2020</v>
      </c>
      <c r="B50" s="4" t="s">
        <v>18</v>
      </c>
      <c r="C50" s="4" t="s">
        <v>23</v>
      </c>
      <c r="D50" s="4" t="s">
        <v>60</v>
      </c>
      <c r="E50" t="s">
        <v>226</v>
      </c>
      <c r="F50" t="s">
        <v>61</v>
      </c>
      <c r="G50" s="4">
        <v>1</v>
      </c>
      <c r="H50" s="4" t="s">
        <v>32</v>
      </c>
      <c r="I50" s="4" t="s">
        <v>53</v>
      </c>
      <c r="J50" s="12">
        <v>0.40930715649976673</v>
      </c>
      <c r="K50" s="18">
        <v>222.34830704736001</v>
      </c>
      <c r="L50" s="19">
        <v>11.58567199</v>
      </c>
      <c r="M50" s="19">
        <v>11.487675313999999</v>
      </c>
      <c r="N50" s="19">
        <f t="shared" si="74"/>
        <v>62.839955935999996</v>
      </c>
      <c r="O50" s="19"/>
      <c r="P50" s="19">
        <v>49.70618301399999</v>
      </c>
      <c r="Q50" s="19">
        <v>34.18760100130001</v>
      </c>
      <c r="R50" s="19">
        <v>50.679112744700006</v>
      </c>
      <c r="S50" s="18">
        <v>1.8621070473599999</v>
      </c>
      <c r="T50" s="18">
        <v>3.0710000000000001E-2</v>
      </c>
      <c r="U50" s="18">
        <v>2657.6506050560001</v>
      </c>
      <c r="V50" s="18">
        <v>147.24743505017599</v>
      </c>
      <c r="W50" s="18">
        <v>83.852094493631995</v>
      </c>
      <c r="X50" s="18">
        <v>83.015013514784002</v>
      </c>
      <c r="Y50" s="18">
        <v>10.563854636361599</v>
      </c>
      <c r="Z50" s="18">
        <f t="shared" si="119"/>
        <v>2982.3597127509543</v>
      </c>
      <c r="AA50" s="19">
        <v>151.512562425</v>
      </c>
      <c r="AB50" s="19">
        <v>152.89720687499999</v>
      </c>
      <c r="AC50" s="19">
        <f t="shared" si="64"/>
        <v>845.6082492400003</v>
      </c>
      <c r="AD50" s="19"/>
      <c r="AE50" s="19">
        <v>695.22248529199976</v>
      </c>
      <c r="AF50" s="19">
        <v>412.43840293079984</v>
      </c>
      <c r="AG50" s="19">
        <v>699.16635323720084</v>
      </c>
      <c r="AH50" s="18">
        <v>25.514452750953602</v>
      </c>
      <c r="AI50" s="18">
        <f t="shared" si="120"/>
        <v>2982.3597127509547</v>
      </c>
      <c r="AJ50" s="3">
        <f t="shared" si="121"/>
        <v>36.331422720156866</v>
      </c>
      <c r="AK50" s="3">
        <f t="shared" si="122"/>
        <v>1.2182851710125511</v>
      </c>
      <c r="AL50" s="42">
        <f t="shared" si="68"/>
        <v>24.624776459411514</v>
      </c>
      <c r="AN50" s="3">
        <f t="shared" si="62"/>
        <v>61.76341862426667</v>
      </c>
      <c r="AO50" s="44"/>
      <c r="AP50" s="42">
        <f t="shared" si="69"/>
        <v>26.853660271420292</v>
      </c>
      <c r="AQ50" s="44"/>
      <c r="AR50" s="3"/>
      <c r="AS50" s="42"/>
      <c r="AT50" s="3"/>
      <c r="AU50" s="3">
        <f t="shared" si="70"/>
        <v>41.521625965893563</v>
      </c>
      <c r="AV50" s="3"/>
      <c r="AW50" s="42">
        <f t="shared" si="71"/>
        <v>32.294597973472769</v>
      </c>
      <c r="AX50" s="3"/>
      <c r="AY50" s="3">
        <f t="shared" si="72"/>
        <v>20.520647049509595</v>
      </c>
      <c r="AZ50" s="42"/>
      <c r="BA50" s="48"/>
      <c r="BB50" s="3">
        <f t="shared" si="73"/>
        <v>41.920872369411768</v>
      </c>
      <c r="BC50" s="3"/>
      <c r="BD50" s="3"/>
    </row>
    <row r="51" spans="1:56" x14ac:dyDescent="0.25">
      <c r="A51" s="4">
        <v>2020</v>
      </c>
      <c r="B51" s="4" t="s">
        <v>18</v>
      </c>
      <c r="C51" s="4" t="s">
        <v>28</v>
      </c>
      <c r="D51" s="4" t="s">
        <v>60</v>
      </c>
      <c r="E51" t="s">
        <v>227</v>
      </c>
      <c r="F51" t="s">
        <v>61</v>
      </c>
      <c r="G51" s="4">
        <v>1</v>
      </c>
      <c r="H51" s="4" t="s">
        <v>32</v>
      </c>
      <c r="I51" s="4" t="s">
        <v>57</v>
      </c>
      <c r="J51" s="12">
        <v>2.9976801670557808E-2</v>
      </c>
      <c r="K51" s="18">
        <v>161.92209081755999</v>
      </c>
      <c r="L51" s="19">
        <v>8.1989974350000008</v>
      </c>
      <c r="M51" s="19">
        <v>6.868280961</v>
      </c>
      <c r="N51" s="19">
        <f t="shared" si="74"/>
        <v>38.283701584000013</v>
      </c>
      <c r="O51" s="19"/>
      <c r="P51" s="19">
        <v>34.006319995999988</v>
      </c>
      <c r="Q51" s="19">
        <v>23.745402864900001</v>
      </c>
      <c r="R51" s="19">
        <v>48.934877159099997</v>
      </c>
      <c r="S51" s="18">
        <v>1.8845108175600001</v>
      </c>
      <c r="T51" s="18">
        <v>2.6679999999999999E-2</v>
      </c>
      <c r="U51" s="18">
        <v>2486.9825569760001</v>
      </c>
      <c r="V51" s="18">
        <v>46.657345365495999</v>
      </c>
      <c r="W51" s="18">
        <v>82.768711368872005</v>
      </c>
      <c r="X51" s="18">
        <v>53.848531314163999</v>
      </c>
      <c r="Y51" s="18">
        <v>10.2772125252236</v>
      </c>
      <c r="Z51" s="18">
        <f t="shared" si="119"/>
        <v>2680.5610375497558</v>
      </c>
      <c r="AA51" s="19">
        <v>133.94226896500001</v>
      </c>
      <c r="AB51" s="19">
        <v>130.75332287899997</v>
      </c>
      <c r="AC51" s="19">
        <f t="shared" si="64"/>
        <v>727.89333775600016</v>
      </c>
      <c r="AD51" s="19"/>
      <c r="AE51" s="19">
        <v>613.76956165399997</v>
      </c>
      <c r="AF51" s="19">
        <v>358.26393386060022</v>
      </c>
      <c r="AG51" s="19">
        <v>690.11718488540009</v>
      </c>
      <c r="AH51" s="18">
        <v>25.821427549755601</v>
      </c>
      <c r="AI51" s="18">
        <f t="shared" si="120"/>
        <v>2680.5610375497563</v>
      </c>
      <c r="AJ51" s="3">
        <f t="shared" si="121"/>
        <v>26.457857976725485</v>
      </c>
      <c r="AK51" s="3">
        <f t="shared" si="122"/>
        <v>1.0950012998360239</v>
      </c>
      <c r="AL51" s="42">
        <f t="shared" si="68"/>
        <v>27.397227751686223</v>
      </c>
      <c r="AN51" s="3">
        <f t="shared" si="62"/>
        <v>44.978358560433328</v>
      </c>
      <c r="AO51" s="44"/>
      <c r="AP51" s="42">
        <f t="shared" si="69"/>
        <v>19.555808069753621</v>
      </c>
      <c r="AQ51" s="44"/>
      <c r="AR51" s="3"/>
      <c r="AS51" s="42"/>
      <c r="AT51" s="3"/>
      <c r="AU51" s="3">
        <f t="shared" si="70"/>
        <v>30.237551973400556</v>
      </c>
      <c r="AV51" s="3"/>
      <c r="AW51" s="42">
        <f t="shared" si="71"/>
        <v>23.518095979311543</v>
      </c>
      <c r="AX51" s="3"/>
      <c r="AY51" s="3">
        <f t="shared" si="72"/>
        <v>22.831023126405185</v>
      </c>
      <c r="AZ51" s="42"/>
      <c r="BA51" s="48"/>
      <c r="BB51" s="3">
        <f t="shared" si="73"/>
        <v>30.528297665452481</v>
      </c>
      <c r="BC51" s="3"/>
      <c r="BD51" s="3"/>
    </row>
    <row r="52" spans="1:56" x14ac:dyDescent="0.25">
      <c r="A52" s="4">
        <v>2020</v>
      </c>
      <c r="B52" s="4" t="s">
        <v>18</v>
      </c>
      <c r="C52" s="4" t="s">
        <v>29</v>
      </c>
      <c r="D52" s="4" t="s">
        <v>60</v>
      </c>
      <c r="E52" t="s">
        <v>228</v>
      </c>
      <c r="F52" t="s">
        <v>61</v>
      </c>
      <c r="G52" s="4">
        <v>1</v>
      </c>
      <c r="H52" s="4" t="s">
        <v>32</v>
      </c>
      <c r="I52" s="4" t="s">
        <v>58</v>
      </c>
      <c r="J52" s="12">
        <v>0.17811008035514522</v>
      </c>
      <c r="K52" s="18">
        <v>192.25402030539999</v>
      </c>
      <c r="L52" s="19">
        <v>9.9342880450000006</v>
      </c>
      <c r="M52" s="19">
        <v>9.1589148469999984</v>
      </c>
      <c r="N52" s="19">
        <f t="shared" si="74"/>
        <v>50.460504427999979</v>
      </c>
      <c r="O52" s="19"/>
      <c r="P52" s="19">
        <v>42.050771836000003</v>
      </c>
      <c r="Q52" s="19">
        <v>29.09584485229999</v>
      </c>
      <c r="R52" s="19">
        <v>49.828605991700016</v>
      </c>
      <c r="S52" s="18">
        <v>1.7250903053999997</v>
      </c>
      <c r="T52" s="18">
        <v>2.8420000000000001E-2</v>
      </c>
      <c r="U52" s="18">
        <v>2461.6210278399999</v>
      </c>
      <c r="V52" s="18">
        <v>65.210144279639991</v>
      </c>
      <c r="W52" s="18">
        <v>85.610739393480003</v>
      </c>
      <c r="X52" s="18">
        <v>54.734330552260005</v>
      </c>
      <c r="Y52" s="18">
        <v>21.622677442374002</v>
      </c>
      <c r="Z52" s="18">
        <f t="shared" si="119"/>
        <v>2688.827339507754</v>
      </c>
      <c r="AA52" s="19">
        <v>135.40895181499999</v>
      </c>
      <c r="AB52" s="19">
        <v>130.263417589</v>
      </c>
      <c r="AC52" s="19">
        <f t="shared" si="64"/>
        <v>725.28929601599975</v>
      </c>
      <c r="AD52" s="19"/>
      <c r="AE52" s="19">
        <v>620.57029196399981</v>
      </c>
      <c r="AF52" s="19">
        <v>362.78578812390015</v>
      </c>
      <c r="AG52" s="19">
        <v>690.87253449210016</v>
      </c>
      <c r="AH52" s="18">
        <v>23.637059507754003</v>
      </c>
      <c r="AI52" s="18">
        <f t="shared" si="120"/>
        <v>2688.827339507754</v>
      </c>
      <c r="AJ52" s="3">
        <f t="shared" si="121"/>
        <v>31.414055605457513</v>
      </c>
      <c r="AK52" s="3">
        <f t="shared" si="122"/>
        <v>1.0983780598732134</v>
      </c>
      <c r="AL52" s="42">
        <f t="shared" si="68"/>
        <v>27.313000046143422</v>
      </c>
      <c r="AN52" s="3">
        <f t="shared" si="62"/>
        <v>53.403894529277771</v>
      </c>
      <c r="AO52" s="44"/>
      <c r="AP52" s="42">
        <f t="shared" si="69"/>
        <v>23.219084577946859</v>
      </c>
      <c r="AQ52" s="44"/>
      <c r="AR52" s="3"/>
      <c r="AS52" s="42"/>
      <c r="AT52" s="3"/>
      <c r="AU52" s="3">
        <f t="shared" si="70"/>
        <v>35.901777834808591</v>
      </c>
      <c r="AV52" s="3"/>
      <c r="AW52" s="42">
        <f t="shared" si="71"/>
        <v>27.923604982628902</v>
      </c>
      <c r="AX52" s="3"/>
      <c r="AY52" s="3">
        <f t="shared" si="72"/>
        <v>22.760833371786184</v>
      </c>
      <c r="AZ52" s="42"/>
      <c r="BA52" s="48"/>
      <c r="BB52" s="3">
        <f t="shared" si="73"/>
        <v>36.246987237066357</v>
      </c>
      <c r="BC52" s="3"/>
      <c r="BD52" s="3"/>
    </row>
    <row r="53" spans="1:56" x14ac:dyDescent="0.25">
      <c r="A53" s="4">
        <v>2020</v>
      </c>
      <c r="B53" s="4" t="s">
        <v>18</v>
      </c>
      <c r="C53" s="4" t="s">
        <v>30</v>
      </c>
      <c r="D53" s="4" t="s">
        <v>60</v>
      </c>
      <c r="E53" t="s">
        <v>229</v>
      </c>
      <c r="F53" t="s">
        <v>61</v>
      </c>
      <c r="G53" s="4">
        <v>1</v>
      </c>
      <c r="H53" s="4" t="s">
        <v>32</v>
      </c>
      <c r="I53" s="4" t="s">
        <v>59</v>
      </c>
      <c r="J53" s="12">
        <v>0.22132949085655271</v>
      </c>
      <c r="K53" s="18">
        <v>187.72256098290001</v>
      </c>
      <c r="L53" s="19">
        <v>9.68228534</v>
      </c>
      <c r="M53" s="19">
        <v>8.8122158439999989</v>
      </c>
      <c r="N53" s="19">
        <f t="shared" si="74"/>
        <v>48.617485155999987</v>
      </c>
      <c r="O53" s="19"/>
      <c r="P53" s="19">
        <v>40.882561333999995</v>
      </c>
      <c r="Q53" s="19">
        <v>28.318843228900022</v>
      </c>
      <c r="R53" s="19">
        <v>49.698819097099999</v>
      </c>
      <c r="S53" s="18">
        <v>1.7103509828999999</v>
      </c>
      <c r="T53" s="18">
        <v>2.81E-2</v>
      </c>
      <c r="U53" s="18">
        <v>2181.13391684</v>
      </c>
      <c r="V53" s="18">
        <v>232.75060565114001</v>
      </c>
      <c r="W53" s="18">
        <v>82.677134343980001</v>
      </c>
      <c r="X53" s="18">
        <v>68.224907789509999</v>
      </c>
      <c r="Y53" s="18">
        <v>12.338207778649</v>
      </c>
      <c r="Z53" s="18">
        <f t="shared" si="119"/>
        <v>2577.1528724032792</v>
      </c>
      <c r="AA53" s="19">
        <v>129.45843847500001</v>
      </c>
      <c r="AB53" s="19">
        <v>121.313708625</v>
      </c>
      <c r="AC53" s="19">
        <f t="shared" si="64"/>
        <v>677.71359432000054</v>
      </c>
      <c r="AD53" s="19"/>
      <c r="AE53" s="19">
        <v>592.98570586799974</v>
      </c>
      <c r="AF53" s="19">
        <v>344.43845608510014</v>
      </c>
      <c r="AG53" s="19">
        <v>687.80786662689979</v>
      </c>
      <c r="AH53" s="18">
        <v>23.435102403279004</v>
      </c>
      <c r="AI53" s="18">
        <f t="shared" si="120"/>
        <v>2577.1528724032792</v>
      </c>
      <c r="AJ53" s="3">
        <f t="shared" si="121"/>
        <v>30.673621075637254</v>
      </c>
      <c r="AK53" s="3">
        <f t="shared" si="122"/>
        <v>1.0527593685153502</v>
      </c>
      <c r="AL53" s="42">
        <f t="shared" si="68"/>
        <v>28.496540517428386</v>
      </c>
      <c r="AN53" s="3">
        <f t="shared" si="62"/>
        <v>52.145155828583327</v>
      </c>
      <c r="AO53" s="44"/>
      <c r="AP53" s="42">
        <f t="shared" si="69"/>
        <v>22.671806881992751</v>
      </c>
      <c r="AQ53" s="44"/>
      <c r="AR53" s="3"/>
      <c r="AS53" s="42"/>
      <c r="AT53" s="3"/>
      <c r="AU53" s="3">
        <f t="shared" si="70"/>
        <v>35.05556694358544</v>
      </c>
      <c r="AV53" s="3"/>
      <c r="AW53" s="42">
        <f t="shared" si="71"/>
        <v>27.265440956122006</v>
      </c>
      <c r="AX53" s="3"/>
      <c r="AY53" s="3">
        <f t="shared" si="72"/>
        <v>23.747117097856986</v>
      </c>
      <c r="AZ53" s="42"/>
      <c r="BA53" s="48"/>
      <c r="BB53" s="3">
        <f t="shared" si="73"/>
        <v>35.392639702658371</v>
      </c>
      <c r="BC53" s="3"/>
      <c r="BD53" s="3"/>
    </row>
    <row r="54" spans="1:56" x14ac:dyDescent="0.25">
      <c r="A54" s="4">
        <v>2020</v>
      </c>
      <c r="B54" s="4" t="s">
        <v>18</v>
      </c>
      <c r="C54" s="4"/>
      <c r="I54" s="4"/>
      <c r="J54" s="4"/>
      <c r="K54" s="21">
        <f>$J48*K48+$J49*K49+$J50*K50+$J51*K51+$J52*K52+$J53*K53</f>
        <v>204.25948666863422</v>
      </c>
      <c r="L54" s="18">
        <f>$J48*L48+$J49*L49+$J50*L50+$J51*L51+$J52*L52+$J53*L53</f>
        <v>10.587554339799816</v>
      </c>
      <c r="M54" s="18">
        <f t="shared" ref="M54" si="123">$J48*M48+$J49*M49+$J50*M50+$J51*M51+$J52*M52+$J53*M53</f>
        <v>10.103548820970881</v>
      </c>
      <c r="N54" s="19">
        <f>K54-SUM(L54:M54,P54:S54)</f>
        <v>55.482078361962664</v>
      </c>
      <c r="O54" s="18">
        <f t="shared" ref="O54" si="124">$J48*O48+$J49*O49+$J50*O50+$J51*O51+$J52*O52+$J53*O53</f>
        <v>0</v>
      </c>
      <c r="P54" s="18">
        <f t="shared" ref="P54" si="125">$J48*P48+$J49*P49+$J50*P50+$J51*P51+$J52*P52+$J53*P53</f>
        <v>45.079144295177144</v>
      </c>
      <c r="Q54" s="18">
        <f t="shared" ref="Q54" si="126">$J48*Q48+$J49*Q49+$J50*Q50+$J51*Q51+$J52*Q52+$J53*Q53</f>
        <v>31.112967927419113</v>
      </c>
      <c r="R54" s="18">
        <f t="shared" ref="R54" si="127">$J48*R48+$J49*R49+$J50*R50+$J51*R51+$J52*R52+$J53*R53</f>
        <v>50.165055450048442</v>
      </c>
      <c r="S54" s="18">
        <f t="shared" ref="S54" si="128">$J48*S48+$J49*S49+$J50*S50+$J51*S51+$J52*S52+$J53*S53</f>
        <v>1.7291374732561866</v>
      </c>
      <c r="T54" s="18">
        <f t="shared" ref="T54" si="129">$J48*T48+$J49*T49+$J50*T50+$J51*T51+$J52*T52+$J53*T53</f>
        <v>2.9620832893341404E-2</v>
      </c>
      <c r="U54" s="18">
        <f t="shared" ref="U54" si="130">$J48*U48+$J49*U49+$J50*U50+$J51*U51+$J52*U52+$J53*U53</f>
        <v>2451.8204450433959</v>
      </c>
      <c r="V54" s="18">
        <f t="shared" ref="V54" si="131">$J48*V48+$J49*V49+$J50*V50+$J51*V51+$J52*V52+$J53*V53</f>
        <v>140.16309369301337</v>
      </c>
      <c r="W54" s="18">
        <f t="shared" ref="W54" si="132">$J48*W48+$J49*W49+$J50*W50+$J51*W51+$J52*W52+$J53*W53</f>
        <v>149.57525991338707</v>
      </c>
      <c r="X54" s="18">
        <f t="shared" ref="X54" si="133">$J48*X48+$J49*X49+$J50*X50+$J51*X51+$J52*X52+$J53*X53</f>
        <v>75.412689308611164</v>
      </c>
      <c r="Y54" s="18">
        <f t="shared" ref="Y54" si="134">$J48*Y48+$J49*Y49+$J50*Y50+$J51*Y51+$J52*Y52+$J53*Y53</f>
        <v>15.85027537161263</v>
      </c>
      <c r="Z54" s="21">
        <f t="shared" ref="Z54" si="135">$J48*Z48+$J49*Z49+$J50*Z50+$J51*Z51+$J52*Z52+$J53*Z53</f>
        <v>2832.8513841629142</v>
      </c>
      <c r="AA54" s="18">
        <f t="shared" ref="AA54" si="136">$J48*AA48+$J49*AA49+$J50*AA50+$J51*AA51+$J52*AA52+$J53*AA53</f>
        <v>143.33620874926447</v>
      </c>
      <c r="AB54" s="18">
        <f t="shared" ref="AB54" si="137">$J48*AB48+$J49*AB49+$J50*AB50+$J51*AB51+$J52*AB52+$J53*AB53</f>
        <v>141.46778154564475</v>
      </c>
      <c r="AC54" s="19">
        <f t="shared" si="64"/>
        <v>784.85056388122575</v>
      </c>
      <c r="AD54" s="18">
        <f t="shared" ref="AD54" si="138">$J48*AD48+$J49*AD49+$J50*AD50+$J51*AD51+$J52*AD52+$J53*AD53</f>
        <v>0</v>
      </c>
      <c r="AE54" s="18">
        <f t="shared" ref="AE54" si="139">$J48*AE48+$J49*AE49+$J50*AE50+$J51*AE51+$J52*AE52+$J53*AE53</f>
        <v>657.31899890275122</v>
      </c>
      <c r="AF54" s="18">
        <f t="shared" ref="AF54" si="140">$J48*AF48+$J49*AF49+$J50*AF50+$J51*AF51+$J52*AF52+$J53*AF53</f>
        <v>387.23001609960164</v>
      </c>
      <c r="AG54" s="18">
        <f t="shared" ref="AG54" si="141">$J48*AG48+$J49*AG49+$J50*AG50+$J51*AG51+$J52*AG52+$J53*AG53</f>
        <v>694.95530148266698</v>
      </c>
      <c r="AH54" s="18">
        <f t="shared" ref="AH54" si="142">$J48*AH48+$J49*AH49+$J50*AH50+$J51*AH51+$J52*AH52+$J53*AH53</f>
        <v>23.692513501759475</v>
      </c>
      <c r="AI54" s="21">
        <f t="shared" ref="AI54" si="143">$J48*AI48+$J49*AI49+$J50*AI50+$J51*AI51+$J52*AI52+$J53*AI53</f>
        <v>2832.8513841629142</v>
      </c>
      <c r="AJ54" s="41">
        <f t="shared" si="121"/>
        <v>33.375733115789906</v>
      </c>
      <c r="AK54" s="41">
        <f t="shared" si="122"/>
        <v>1.1572114585147146</v>
      </c>
      <c r="AL54" s="43">
        <f t="shared" si="68"/>
        <v>25.924388994994153</v>
      </c>
      <c r="AN54" s="41">
        <f t="shared" si="62"/>
        <v>56.738746296842834</v>
      </c>
      <c r="AO54" s="53"/>
      <c r="AP54" s="43">
        <f t="shared" si="69"/>
        <v>24.669020129062105</v>
      </c>
      <c r="AQ54" s="53"/>
      <c r="AR54" s="41"/>
      <c r="AS54" s="43"/>
      <c r="AT54" s="41"/>
      <c r="AU54" s="41">
        <f t="shared" si="70"/>
        <v>38.143694989474184</v>
      </c>
      <c r="AV54" s="41"/>
      <c r="AW54" s="43">
        <f t="shared" si="71"/>
        <v>29.667318325146585</v>
      </c>
      <c r="AX54" s="41"/>
      <c r="AY54" s="41">
        <f t="shared" si="72"/>
        <v>21.603657495828461</v>
      </c>
      <c r="AZ54" s="43"/>
      <c r="BA54" s="54"/>
      <c r="BB54" s="41">
        <f t="shared" si="73"/>
        <v>38.510461287449886</v>
      </c>
      <c r="BC54" s="3"/>
      <c r="BD54" s="3"/>
    </row>
    <row r="55" spans="1:56" x14ac:dyDescent="0.25">
      <c r="A55" s="4">
        <v>2020</v>
      </c>
      <c r="B55" s="4" t="s">
        <v>47</v>
      </c>
      <c r="C55" s="4" t="s">
        <v>48</v>
      </c>
      <c r="D55" s="4" t="s">
        <v>60</v>
      </c>
      <c r="E55" t="s">
        <v>230</v>
      </c>
      <c r="F55" t="s">
        <v>61</v>
      </c>
      <c r="G55" s="4">
        <v>1</v>
      </c>
      <c r="H55" s="4" t="s">
        <v>32</v>
      </c>
      <c r="I55" s="4" t="s">
        <v>48</v>
      </c>
      <c r="J55" s="9">
        <v>1</v>
      </c>
      <c r="K55" s="22">
        <v>158.32989000000001</v>
      </c>
      <c r="L55" s="19">
        <v>8.1417403450000005</v>
      </c>
      <c r="M55" s="19">
        <v>6.6855154670000001</v>
      </c>
      <c r="N55" s="19">
        <f t="shared" ref="N55:N60" si="144">K55-SUM(L55:M55,P55:S55)</f>
        <v>37.313751087999989</v>
      </c>
      <c r="O55" s="19"/>
      <c r="P55" s="19">
        <v>33.740967175999998</v>
      </c>
      <c r="Q55" s="19">
        <v>23.542521302300003</v>
      </c>
      <c r="R55" s="19">
        <v>48.905394621700012</v>
      </c>
      <c r="S55" s="70"/>
      <c r="T55" s="19">
        <v>2.8049999999999999E-2</v>
      </c>
      <c r="U55" s="19">
        <v>1960.1996999999999</v>
      </c>
      <c r="V55" s="19">
        <v>93.814670000000007</v>
      </c>
      <c r="W55" s="19">
        <v>535.31709000000001</v>
      </c>
      <c r="X55" s="19">
        <v>71.414510000000007</v>
      </c>
      <c r="Y55" s="19">
        <v>71.840519999999998</v>
      </c>
      <c r="Z55" s="21">
        <f>SUM(T55:Y55)</f>
        <v>2732.61454</v>
      </c>
      <c r="AA55" s="19">
        <v>138.94871383500001</v>
      </c>
      <c r="AB55" s="19">
        <v>135.77633768099997</v>
      </c>
      <c r="AC55" s="19">
        <f t="shared" si="64"/>
        <v>754.60036112399985</v>
      </c>
      <c r="AD55" s="19"/>
      <c r="AE55" s="19">
        <v>636.97936477199994</v>
      </c>
      <c r="AF55" s="19">
        <v>373.61413752960016</v>
      </c>
      <c r="AG55" s="19">
        <v>692.69562505840008</v>
      </c>
      <c r="AH55" s="18"/>
      <c r="AI55" s="21">
        <f t="shared" ref="AI55:AI61" si="145">SUM(AA55:AH55)</f>
        <v>2732.6145399999996</v>
      </c>
      <c r="AJ55" s="41">
        <f t="shared" si="121"/>
        <v>25.87089705882353</v>
      </c>
      <c r="AK55" s="41">
        <f>AI55*$G$98/($G$103*$G$96*$G$116)*0.277778</f>
        <v>1.1162650024884118</v>
      </c>
      <c r="AL55" s="43">
        <f t="shared" si="68"/>
        <v>26.8753386813374</v>
      </c>
      <c r="AN55" s="41">
        <f t="shared" si="62"/>
        <v>43.980525</v>
      </c>
      <c r="AO55" s="53"/>
      <c r="AP55" s="43">
        <f t="shared" si="69"/>
        <v>19.121967391304349</v>
      </c>
      <c r="AQ55" s="53"/>
      <c r="AR55" s="41"/>
      <c r="AS55" s="43"/>
      <c r="AT55" s="41"/>
      <c r="AU55" s="41">
        <f t="shared" si="70"/>
        <v>29.566739495798323</v>
      </c>
      <c r="AV55" s="41"/>
      <c r="AW55" s="43">
        <f t="shared" si="71"/>
        <v>22.996352941176472</v>
      </c>
      <c r="AX55" s="41"/>
      <c r="AY55" s="41">
        <f t="shared" si="72"/>
        <v>22.396115567781166</v>
      </c>
      <c r="AZ55" s="43"/>
      <c r="BA55" s="54"/>
      <c r="BB55" s="41">
        <f t="shared" si="73"/>
        <v>29.851035067873301</v>
      </c>
      <c r="BC55" s="3"/>
      <c r="BD55" s="3"/>
    </row>
    <row r="56" spans="1:56" x14ac:dyDescent="0.25">
      <c r="A56" s="4">
        <v>2025</v>
      </c>
      <c r="B56" s="4" t="s">
        <v>47</v>
      </c>
      <c r="C56" s="4" t="s">
        <v>48</v>
      </c>
      <c r="D56" s="4" t="s">
        <v>60</v>
      </c>
      <c r="E56" t="s">
        <v>231</v>
      </c>
      <c r="F56" t="s">
        <v>61</v>
      </c>
      <c r="G56" s="4">
        <v>1</v>
      </c>
      <c r="H56" s="4" t="s">
        <v>32</v>
      </c>
      <c r="I56" s="4" t="s">
        <v>48</v>
      </c>
      <c r="J56" s="9">
        <v>1</v>
      </c>
      <c r="K56" s="20">
        <v>148.95956000000001</v>
      </c>
      <c r="L56" s="19">
        <v>7.6272663500000002</v>
      </c>
      <c r="M56" s="19">
        <v>5.9540904100000001</v>
      </c>
      <c r="N56" s="19">
        <f t="shared" si="144"/>
        <v>33.425571980000001</v>
      </c>
      <c r="O56" s="19"/>
      <c r="P56" s="19">
        <v>31.355986479999991</v>
      </c>
      <c r="Q56" s="19">
        <v>21.956223544300002</v>
      </c>
      <c r="R56" s="19">
        <v>48.640421235700018</v>
      </c>
      <c r="S56" s="18"/>
      <c r="T56" s="19">
        <v>2.7980000000000001E-2</v>
      </c>
      <c r="U56" s="19">
        <v>1842.4324799999999</v>
      </c>
      <c r="V56" s="19">
        <v>92.712559999999996</v>
      </c>
      <c r="W56" s="19">
        <v>485.38589000000002</v>
      </c>
      <c r="X56" s="19">
        <v>70.657769999999999</v>
      </c>
      <c r="Y56" s="19">
        <v>112.94468000000001</v>
      </c>
      <c r="Z56" s="18">
        <f t="shared" ref="Z56:Z60" si="146">SUM(T56:Y56)</f>
        <v>2604.1613599999996</v>
      </c>
      <c r="AA56" s="19">
        <v>131.884589175</v>
      </c>
      <c r="AB56" s="19">
        <v>125.766272325</v>
      </c>
      <c r="AC56" s="19">
        <f t="shared" si="64"/>
        <v>701.38786316000005</v>
      </c>
      <c r="AD56" s="19"/>
      <c r="AE56" s="19">
        <v>604.23201896799958</v>
      </c>
      <c r="AF56" s="19">
        <v>351.83322323430025</v>
      </c>
      <c r="AG56" s="19">
        <v>689.05739313769982</v>
      </c>
      <c r="AH56" s="18"/>
      <c r="AI56" s="18">
        <f t="shared" si="145"/>
        <v>2604.1613600000001</v>
      </c>
      <c r="AJ56" s="3">
        <f t="shared" si="121"/>
        <v>24.339797385620916</v>
      </c>
      <c r="AK56" s="3">
        <f t="shared" si="122"/>
        <v>1.0637922562618825</v>
      </c>
      <c r="AL56" s="42">
        <f t="shared" si="68"/>
        <v>28.200994906109425</v>
      </c>
      <c r="AN56" s="3">
        <f t="shared" si="62"/>
        <v>41.377655555555556</v>
      </c>
      <c r="AO56" s="44"/>
      <c r="AP56" s="42">
        <f t="shared" si="69"/>
        <v>17.990285024154588</v>
      </c>
      <c r="AQ56" s="44"/>
      <c r="AR56" s="3">
        <f t="shared" ref="AR56:AR61" si="147">AK56/$AS$3*$AR$3</f>
        <v>2.4821819312777258</v>
      </c>
      <c r="AS56" s="42"/>
      <c r="AT56" s="3"/>
      <c r="AU56" s="3">
        <f t="shared" si="70"/>
        <v>27.816911297852478</v>
      </c>
      <c r="AV56" s="3"/>
      <c r="AW56" s="42">
        <f t="shared" si="71"/>
        <v>21.63537545388526</v>
      </c>
      <c r="AX56" s="3"/>
      <c r="AY56" s="3">
        <f t="shared" si="72"/>
        <v>23.500829088424521</v>
      </c>
      <c r="AZ56" s="42"/>
      <c r="BA56" s="48"/>
      <c r="BB56" s="3">
        <f t="shared" si="73"/>
        <v>28.08438159879336</v>
      </c>
      <c r="BC56" s="3"/>
      <c r="BD56" s="3">
        <f>AJ56*BC$33/BD$33</f>
        <v>20.28316448801743</v>
      </c>
    </row>
    <row r="57" spans="1:56" x14ac:dyDescent="0.25">
      <c r="A57" s="4">
        <v>2030</v>
      </c>
      <c r="B57" s="4" t="s">
        <v>47</v>
      </c>
      <c r="C57" s="4" t="s">
        <v>48</v>
      </c>
      <c r="D57" s="4" t="s">
        <v>60</v>
      </c>
      <c r="E57" t="s">
        <v>232</v>
      </c>
      <c r="F57" t="s">
        <v>61</v>
      </c>
      <c r="G57" s="4">
        <v>1</v>
      </c>
      <c r="H57" s="4" t="s">
        <v>32</v>
      </c>
      <c r="I57" s="4" t="s">
        <v>48</v>
      </c>
      <c r="J57" s="9">
        <v>1</v>
      </c>
      <c r="K57" s="20">
        <v>146.94658999999999</v>
      </c>
      <c r="L57" s="19">
        <v>7.5153797100000004</v>
      </c>
      <c r="M57" s="19">
        <v>5.798953386</v>
      </c>
      <c r="N57" s="19">
        <f t="shared" si="144"/>
        <v>32.600882884000001</v>
      </c>
      <c r="O57" s="19"/>
      <c r="P57" s="19">
        <v>30.837323119999994</v>
      </c>
      <c r="Q57" s="19">
        <v>21.611251977400002</v>
      </c>
      <c r="R57" s="19">
        <v>48.582798922599991</v>
      </c>
      <c r="S57" s="18"/>
      <c r="T57" s="19">
        <v>2.801E-2</v>
      </c>
      <c r="U57" s="19">
        <v>1818.9086500000001</v>
      </c>
      <c r="V57" s="19">
        <v>91.325680000000006</v>
      </c>
      <c r="W57" s="19">
        <v>413.69378</v>
      </c>
      <c r="X57" s="19">
        <v>69.968959999999996</v>
      </c>
      <c r="Y57" s="19">
        <v>118.12038</v>
      </c>
      <c r="Z57" s="18">
        <f t="shared" si="146"/>
        <v>2512.0454599999998</v>
      </c>
      <c r="AA57" s="19">
        <v>126.80661035999999</v>
      </c>
      <c r="AB57" s="19">
        <v>118.60569729599999</v>
      </c>
      <c r="AC57" s="19">
        <f t="shared" si="64"/>
        <v>663.32297146399992</v>
      </c>
      <c r="AD57" s="19"/>
      <c r="AE57" s="19">
        <v>580.69187907399987</v>
      </c>
      <c r="AF57" s="19">
        <v>336.17619935560015</v>
      </c>
      <c r="AG57" s="19">
        <v>686.44210245039994</v>
      </c>
      <c r="AH57" s="18"/>
      <c r="AI57" s="18">
        <f t="shared" si="145"/>
        <v>2512.0454599999998</v>
      </c>
      <c r="AJ57" s="3">
        <f t="shared" si="121"/>
        <v>24.010880718954247</v>
      </c>
      <c r="AK57" s="3">
        <f t="shared" si="122"/>
        <v>1.026163182041</v>
      </c>
      <c r="AL57" s="42">
        <f t="shared" si="68"/>
        <v>29.235116329481951</v>
      </c>
      <c r="AN57" s="3">
        <f t="shared" si="62"/>
        <v>40.81849722222222</v>
      </c>
      <c r="AO57" s="44"/>
      <c r="AP57" s="42">
        <f t="shared" si="69"/>
        <v>17.747172705314007</v>
      </c>
      <c r="AQ57" s="44"/>
      <c r="AR57" s="3">
        <f t="shared" si="147"/>
        <v>2.3943807580956666</v>
      </c>
      <c r="AS57" s="42"/>
      <c r="AT57" s="3"/>
      <c r="AU57" s="3">
        <f t="shared" si="70"/>
        <v>27.441006535947714</v>
      </c>
      <c r="AV57" s="3"/>
      <c r="AW57" s="42">
        <f t="shared" si="71"/>
        <v>21.343005083514885</v>
      </c>
      <c r="AX57" s="3"/>
      <c r="AY57" s="3">
        <f t="shared" si="72"/>
        <v>24.362596941234958</v>
      </c>
      <c r="AZ57" s="42"/>
      <c r="BA57" s="48"/>
      <c r="BB57" s="3">
        <f t="shared" si="73"/>
        <v>27.704862368024131</v>
      </c>
      <c r="BC57" s="3"/>
      <c r="BD57" s="3">
        <f t="shared" ref="BD57:BD61" si="148">AJ57*BC$33/BD$33</f>
        <v>20.009067265795206</v>
      </c>
    </row>
    <row r="58" spans="1:56" x14ac:dyDescent="0.25">
      <c r="A58" s="4">
        <v>2035</v>
      </c>
      <c r="B58" s="4" t="s">
        <v>47</v>
      </c>
      <c r="C58" s="4" t="s">
        <v>48</v>
      </c>
      <c r="D58" s="4" t="s">
        <v>60</v>
      </c>
      <c r="E58" t="s">
        <v>233</v>
      </c>
      <c r="F58" t="s">
        <v>61</v>
      </c>
      <c r="G58" s="4">
        <v>1</v>
      </c>
      <c r="H58" s="4" t="s">
        <v>32</v>
      </c>
      <c r="I58" s="4" t="s">
        <v>48</v>
      </c>
      <c r="J58" s="9">
        <v>1</v>
      </c>
      <c r="K58" s="22">
        <v>143.37628000000001</v>
      </c>
      <c r="L58" s="19">
        <v>7.3182892650000007</v>
      </c>
      <c r="M58" s="19">
        <v>5.5218170189999993</v>
      </c>
      <c r="N58" s="19">
        <f t="shared" si="144"/>
        <v>31.127654816000003</v>
      </c>
      <c r="O58" s="19"/>
      <c r="P58" s="19">
        <v>29.92366840599999</v>
      </c>
      <c r="Q58" s="19">
        <v>21.003563268899995</v>
      </c>
      <c r="R58" s="19">
        <v>48.481287225100019</v>
      </c>
      <c r="S58" s="18"/>
      <c r="T58" s="19">
        <v>2.7990000000000001E-2</v>
      </c>
      <c r="U58" s="19">
        <v>1779.66317</v>
      </c>
      <c r="V58" s="19">
        <v>89.554410000000004</v>
      </c>
      <c r="W58" s="19">
        <v>390.89343000000002</v>
      </c>
      <c r="X58" s="19">
        <v>69.50573</v>
      </c>
      <c r="Y58" s="19">
        <v>124.14548000000001</v>
      </c>
      <c r="Z58" s="21">
        <f t="shared" si="146"/>
        <v>2453.7902100000001</v>
      </c>
      <c r="AA58" s="19">
        <v>123.58172076000001</v>
      </c>
      <c r="AB58" s="19">
        <v>114.09703089599998</v>
      </c>
      <c r="AC58" s="19">
        <f t="shared" si="64"/>
        <v>639.35534302400015</v>
      </c>
      <c r="AD58" s="19"/>
      <c r="AE58" s="19">
        <v>565.74209553999981</v>
      </c>
      <c r="AF58" s="19">
        <v>326.23281742109998</v>
      </c>
      <c r="AG58" s="19">
        <v>684.78120235890037</v>
      </c>
      <c r="AH58" s="18"/>
      <c r="AI58" s="21">
        <f t="shared" si="145"/>
        <v>2453.7902100000001</v>
      </c>
      <c r="AJ58" s="41">
        <f t="shared" si="121"/>
        <v>23.427496732026142</v>
      </c>
      <c r="AK58" s="41">
        <f t="shared" si="122"/>
        <v>1.0023660837549706</v>
      </c>
      <c r="AL58" s="43">
        <f t="shared" si="68"/>
        <v>29.929185041473861</v>
      </c>
      <c r="AN58" s="41">
        <f t="shared" si="62"/>
        <v>39.826744444444444</v>
      </c>
      <c r="AO58" s="53"/>
      <c r="AP58" s="43">
        <f t="shared" si="69"/>
        <v>17.315975845410627</v>
      </c>
      <c r="AQ58" s="53"/>
      <c r="AR58" s="41">
        <f t="shared" si="147"/>
        <v>2.3388541954282647</v>
      </c>
      <c r="AS58" s="43"/>
      <c r="AT58" s="41"/>
      <c r="AU58" s="41">
        <f t="shared" si="70"/>
        <v>26.774281979458454</v>
      </c>
      <c r="AV58" s="41"/>
      <c r="AW58" s="43">
        <f t="shared" si="71"/>
        <v>20.824441539578796</v>
      </c>
      <c r="AX58" s="41"/>
      <c r="AY58" s="41">
        <f t="shared" si="72"/>
        <v>24.94098753456155</v>
      </c>
      <c r="AZ58" s="43"/>
      <c r="BA58" s="54"/>
      <c r="BB58" s="41">
        <f t="shared" si="73"/>
        <v>27.031726998491699</v>
      </c>
      <c r="BC58" s="41"/>
      <c r="BD58" s="41">
        <f t="shared" si="148"/>
        <v>19.522913943355118</v>
      </c>
    </row>
    <row r="59" spans="1:56" x14ac:dyDescent="0.25">
      <c r="A59" s="4">
        <v>2040</v>
      </c>
      <c r="B59" s="4" t="s">
        <v>47</v>
      </c>
      <c r="C59" s="4" t="s">
        <v>48</v>
      </c>
      <c r="D59" s="4" t="s">
        <v>60</v>
      </c>
      <c r="E59" t="s">
        <v>234</v>
      </c>
      <c r="F59" t="s">
        <v>61</v>
      </c>
      <c r="G59" s="4">
        <v>1</v>
      </c>
      <c r="H59" s="4" t="s">
        <v>32</v>
      </c>
      <c r="I59" s="4" t="s">
        <v>48</v>
      </c>
      <c r="J59" s="9">
        <v>1</v>
      </c>
      <c r="K59" s="18">
        <v>141.49591000000001</v>
      </c>
      <c r="L59" s="19">
        <v>7.2143850249999995</v>
      </c>
      <c r="M59" s="19">
        <v>5.3760078350000011</v>
      </c>
      <c r="N59" s="19">
        <f t="shared" si="144"/>
        <v>30.352545980000002</v>
      </c>
      <c r="O59" s="19"/>
      <c r="P59" s="19">
        <v>29.441993931999995</v>
      </c>
      <c r="Q59" s="19">
        <v>20.683198413999989</v>
      </c>
      <c r="R59" s="19">
        <v>48.427778814000021</v>
      </c>
      <c r="S59" s="18"/>
      <c r="T59" s="19">
        <v>2.7959999999999999E-2</v>
      </c>
      <c r="U59" s="19">
        <v>1766.925</v>
      </c>
      <c r="V59" s="19">
        <v>87.613619999999997</v>
      </c>
      <c r="W59" s="19">
        <v>370.22349000000003</v>
      </c>
      <c r="X59" s="19">
        <v>68.533799999999999</v>
      </c>
      <c r="Y59" s="19">
        <v>123.29465999999999</v>
      </c>
      <c r="Z59" s="18">
        <f t="shared" si="146"/>
        <v>2416.6185300000002</v>
      </c>
      <c r="AA59" s="19">
        <v>121.52589521499999</v>
      </c>
      <c r="AB59" s="19">
        <v>111.217332869</v>
      </c>
      <c r="AC59" s="19">
        <f t="shared" si="64"/>
        <v>624.0471580960002</v>
      </c>
      <c r="AD59" s="19"/>
      <c r="AE59" s="19">
        <v>556.21174222999991</v>
      </c>
      <c r="AF59" s="19">
        <v>319.89401521640002</v>
      </c>
      <c r="AG59" s="19">
        <v>683.72238637360033</v>
      </c>
      <c r="AH59" s="18"/>
      <c r="AI59" s="18">
        <f t="shared" si="145"/>
        <v>2416.6185300000006</v>
      </c>
      <c r="AJ59" s="3">
        <f t="shared" si="121"/>
        <v>23.120246732026143</v>
      </c>
      <c r="AK59" s="3">
        <f t="shared" si="122"/>
        <v>0.98718156180344152</v>
      </c>
      <c r="AL59" s="42">
        <f t="shared" si="68"/>
        <v>30.389546523938545</v>
      </c>
      <c r="AN59" s="3">
        <f t="shared" si="62"/>
        <v>39.304419444444441</v>
      </c>
      <c r="AO59" s="44"/>
      <c r="AP59" s="42">
        <f t="shared" si="69"/>
        <v>17.088878019323673</v>
      </c>
      <c r="AQ59" s="44"/>
      <c r="AR59" s="3">
        <f t="shared" si="147"/>
        <v>2.30342364420803</v>
      </c>
      <c r="AS59" s="42"/>
      <c r="AT59" s="3"/>
      <c r="AU59" s="3">
        <f t="shared" si="70"/>
        <v>26.423139122315593</v>
      </c>
      <c r="AV59" s="3"/>
      <c r="AW59" s="42">
        <f t="shared" si="71"/>
        <v>20.551330428467683</v>
      </c>
      <c r="AX59" s="3"/>
      <c r="AY59" s="3">
        <f t="shared" si="72"/>
        <v>25.324622103282117</v>
      </c>
      <c r="AZ59" s="42"/>
      <c r="BA59" s="48"/>
      <c r="BB59" s="3">
        <f t="shared" si="73"/>
        <v>26.677207767722471</v>
      </c>
      <c r="BC59" s="3"/>
      <c r="BD59" s="3">
        <f t="shared" si="148"/>
        <v>19.266872276688453</v>
      </c>
    </row>
    <row r="60" spans="1:56" x14ac:dyDescent="0.25">
      <c r="A60" s="4">
        <v>2045</v>
      </c>
      <c r="B60" s="4" t="s">
        <v>47</v>
      </c>
      <c r="C60" s="4" t="s">
        <v>48</v>
      </c>
      <c r="D60" s="4" t="s">
        <v>60</v>
      </c>
      <c r="E60" t="s">
        <v>235</v>
      </c>
      <c r="F60" t="s">
        <v>61</v>
      </c>
      <c r="G60" s="4">
        <v>1</v>
      </c>
      <c r="H60" s="4" t="s">
        <v>32</v>
      </c>
      <c r="I60" s="4" t="s">
        <v>48</v>
      </c>
      <c r="J60" s="9">
        <v>1</v>
      </c>
      <c r="K60" s="18">
        <v>139.6756</v>
      </c>
      <c r="L60" s="19">
        <v>7.1141393850000005</v>
      </c>
      <c r="M60" s="19">
        <v>5.2343642909999994</v>
      </c>
      <c r="N60" s="19">
        <f t="shared" si="144"/>
        <v>29.599581584000006</v>
      </c>
      <c r="O60" s="19"/>
      <c r="P60" s="19">
        <v>28.977272457999984</v>
      </c>
      <c r="Q60" s="19">
        <v>20.374094263100005</v>
      </c>
      <c r="R60" s="19">
        <v>48.376148018900011</v>
      </c>
      <c r="S60" s="18"/>
      <c r="T60" s="19">
        <v>2.793E-2</v>
      </c>
      <c r="U60" s="19">
        <v>1753.3897999999999</v>
      </c>
      <c r="V60" s="19">
        <v>85.315889999999996</v>
      </c>
      <c r="W60" s="19">
        <v>357.21325999999999</v>
      </c>
      <c r="X60" s="19">
        <v>67.744820000000004</v>
      </c>
      <c r="Y60" s="19">
        <v>120.47481999999999</v>
      </c>
      <c r="Z60" s="18">
        <f t="shared" si="146"/>
        <v>2384.1665199999998</v>
      </c>
      <c r="AA60" s="19">
        <v>119.73586696000001</v>
      </c>
      <c r="AB60" s="19">
        <v>108.69627533599999</v>
      </c>
      <c r="AC60" s="19">
        <f t="shared" si="64"/>
        <v>610.64547094399995</v>
      </c>
      <c r="AD60" s="19"/>
      <c r="AE60" s="19">
        <v>547.91365230399958</v>
      </c>
      <c r="AF60" s="19">
        <v>314.3747812454003</v>
      </c>
      <c r="AG60" s="19">
        <v>682.80047321059988</v>
      </c>
      <c r="AH60" s="18"/>
      <c r="AI60" s="18">
        <f t="shared" si="145"/>
        <v>2384.1665199999998</v>
      </c>
      <c r="AJ60" s="3">
        <f t="shared" si="121"/>
        <v>22.82281045751634</v>
      </c>
      <c r="AK60" s="3">
        <f t="shared" si="122"/>
        <v>0.97392501116552943</v>
      </c>
      <c r="AL60" s="42">
        <f t="shared" si="68"/>
        <v>30.803192911226269</v>
      </c>
      <c r="AN60" s="3">
        <f t="shared" si="62"/>
        <v>38.798777777777779</v>
      </c>
      <c r="AO60" s="44"/>
      <c r="AP60" s="42">
        <f t="shared" si="69"/>
        <v>16.869033816425123</v>
      </c>
      <c r="AQ60" s="44"/>
      <c r="AR60" s="3">
        <f t="shared" si="147"/>
        <v>2.2724916927195684</v>
      </c>
      <c r="AS60" s="42"/>
      <c r="AT60" s="3"/>
      <c r="AU60" s="3">
        <f t="shared" si="70"/>
        <v>26.08321195144725</v>
      </c>
      <c r="AV60" s="3"/>
      <c r="AW60" s="42">
        <f t="shared" si="71"/>
        <v>20.286942628903414</v>
      </c>
      <c r="AX60" s="3"/>
      <c r="AY60" s="3">
        <f t="shared" si="72"/>
        <v>25.669327426021894</v>
      </c>
      <c r="AZ60" s="42"/>
      <c r="BA60" s="48"/>
      <c r="BB60" s="3">
        <f t="shared" si="73"/>
        <v>26.334012066365005</v>
      </c>
      <c r="BC60" s="3"/>
      <c r="BD60" s="3">
        <f t="shared" si="148"/>
        <v>19.01900871459695</v>
      </c>
    </row>
    <row r="61" spans="1:56" x14ac:dyDescent="0.25">
      <c r="A61" s="4">
        <v>2050</v>
      </c>
      <c r="B61" s="4" t="s">
        <v>47</v>
      </c>
      <c r="C61" s="4" t="s">
        <v>48</v>
      </c>
      <c r="D61" s="4" t="s">
        <v>60</v>
      </c>
      <c r="E61" t="s">
        <v>236</v>
      </c>
      <c r="F61" t="s">
        <v>61</v>
      </c>
      <c r="G61" s="4">
        <v>1</v>
      </c>
      <c r="H61" s="4" t="s">
        <v>32</v>
      </c>
      <c r="I61" s="4" t="s">
        <v>48</v>
      </c>
      <c r="J61" s="9">
        <v>1</v>
      </c>
      <c r="K61" s="21">
        <v>138.43948</v>
      </c>
      <c r="L61" s="19">
        <v>7.0462973</v>
      </c>
      <c r="M61" s="19">
        <v>5.1378364599999991</v>
      </c>
      <c r="N61" s="19">
        <f>K61-SUM(L61:M61,P61:S61)</f>
        <v>29.08644996000001</v>
      </c>
      <c r="O61" s="19"/>
      <c r="P61" s="19">
        <v>28.662771479999993</v>
      </c>
      <c r="Q61" s="19">
        <v>20.164919598599994</v>
      </c>
      <c r="R61" s="19">
        <v>48.341205201400015</v>
      </c>
      <c r="S61" s="18"/>
      <c r="T61" s="19">
        <v>2.793E-2</v>
      </c>
      <c r="U61" s="19">
        <v>1741.8547799999999</v>
      </c>
      <c r="V61" s="19">
        <v>83.081829999999997</v>
      </c>
      <c r="W61" s="19">
        <v>338.90615000000003</v>
      </c>
      <c r="X61" s="19">
        <v>67.12603</v>
      </c>
      <c r="Y61" s="19">
        <v>118.62451</v>
      </c>
      <c r="Z61" s="21">
        <f>SUM(T61:Y61)</f>
        <v>2349.6212299999997</v>
      </c>
      <c r="AA61" s="19">
        <v>117.84186794499999</v>
      </c>
      <c r="AB61" s="19">
        <v>105.995785547</v>
      </c>
      <c r="AC61" s="19">
        <f t="shared" si="64"/>
        <v>596.289944268</v>
      </c>
      <c r="AD61" s="19"/>
      <c r="AE61" s="19">
        <v>539.13361662</v>
      </c>
      <c r="AF61" s="19">
        <v>308.5350141045999</v>
      </c>
      <c r="AG61" s="19">
        <v>681.82500151539989</v>
      </c>
      <c r="AH61" s="18"/>
      <c r="AI61" s="21">
        <f t="shared" si="145"/>
        <v>2349.6212299999997</v>
      </c>
      <c r="AJ61" s="41">
        <f>K61*1000/(30*$G$103*$G$96*$G$116)</f>
        <v>22.620830065359478</v>
      </c>
      <c r="AK61" s="41">
        <f>AI61*$G$98/($G$103*$G$96*$G$116)*0.277778</f>
        <v>0.95981336180432353</v>
      </c>
      <c r="AL61" s="43">
        <f t="shared" si="68"/>
        <v>31.256076643488193</v>
      </c>
      <c r="AN61" s="41">
        <f t="shared" si="62"/>
        <v>38.455411111111111</v>
      </c>
      <c r="AO61" s="53"/>
      <c r="AP61" s="43">
        <f t="shared" si="69"/>
        <v>16.719743961352659</v>
      </c>
      <c r="AQ61" s="53"/>
      <c r="AR61" s="41">
        <f t="shared" si="147"/>
        <v>2.2395645108767548</v>
      </c>
      <c r="AS61" s="43"/>
      <c r="AT61" s="41"/>
      <c r="AU61" s="41">
        <f t="shared" si="70"/>
        <v>25.852377217553691</v>
      </c>
      <c r="AV61" s="41"/>
      <c r="AW61" s="43">
        <f t="shared" si="71"/>
        <v>20.107404502541758</v>
      </c>
      <c r="AX61" s="41"/>
      <c r="AY61" s="41">
        <f t="shared" si="72"/>
        <v>26.046730536240158</v>
      </c>
      <c r="AZ61" s="43"/>
      <c r="BA61" s="54"/>
      <c r="BB61" s="41">
        <f t="shared" si="73"/>
        <v>26.100957767722473</v>
      </c>
      <c r="BC61" s="41"/>
      <c r="BD61" s="41">
        <f t="shared" si="148"/>
        <v>18.850691721132897</v>
      </c>
    </row>
    <row r="62" spans="1:56" x14ac:dyDescent="0.25">
      <c r="D62" s="4"/>
      <c r="J62"/>
      <c r="K62" s="18" t="s">
        <v>16</v>
      </c>
      <c r="L62" s="6" t="s">
        <v>16</v>
      </c>
      <c r="M62" s="6" t="s">
        <v>16</v>
      </c>
      <c r="N62" s="6" t="s">
        <v>16</v>
      </c>
      <c r="O62" s="6" t="s">
        <v>16</v>
      </c>
      <c r="P62" s="6" t="s">
        <v>16</v>
      </c>
      <c r="Q62" s="6" t="s">
        <v>16</v>
      </c>
      <c r="R62" s="6" t="s">
        <v>16</v>
      </c>
      <c r="S62" s="6" t="s">
        <v>16</v>
      </c>
      <c r="T62" s="6" t="s">
        <v>17</v>
      </c>
      <c r="U62" s="6" t="s">
        <v>17</v>
      </c>
      <c r="V62" s="6" t="s">
        <v>17</v>
      </c>
      <c r="W62" s="6" t="s">
        <v>17</v>
      </c>
      <c r="X62" s="6" t="s">
        <v>17</v>
      </c>
      <c r="Y62" s="6" t="s">
        <v>17</v>
      </c>
      <c r="Z62" s="6" t="s">
        <v>17</v>
      </c>
      <c r="AA62" s="6" t="s">
        <v>17</v>
      </c>
      <c r="AB62" s="6" t="s">
        <v>17</v>
      </c>
      <c r="AC62" s="6" t="s">
        <v>17</v>
      </c>
      <c r="AD62" s="6" t="s">
        <v>17</v>
      </c>
      <c r="AE62" s="6" t="s">
        <v>17</v>
      </c>
      <c r="AF62" s="6" t="s">
        <v>17</v>
      </c>
      <c r="AG62" s="6" t="s">
        <v>17</v>
      </c>
      <c r="AH62" s="6" t="s">
        <v>17</v>
      </c>
      <c r="AI62" s="6" t="s">
        <v>17</v>
      </c>
      <c r="AJ62" s="3"/>
      <c r="AK62" s="3"/>
      <c r="AN62" s="44"/>
      <c r="AO62" s="44"/>
      <c r="AP62" s="50"/>
      <c r="AQ62" s="44"/>
      <c r="AR62" s="3"/>
      <c r="AS62" s="42"/>
      <c r="AT62" s="3"/>
      <c r="AU62" s="3"/>
      <c r="AV62" s="3"/>
      <c r="AW62" s="42"/>
      <c r="AX62" s="3"/>
      <c r="AY62" s="3"/>
      <c r="AZ62" s="42"/>
      <c r="BA62" s="48" t="s">
        <v>138</v>
      </c>
      <c r="BB62" s="3" t="s">
        <v>141</v>
      </c>
      <c r="BC62" s="3" t="s">
        <v>142</v>
      </c>
      <c r="BD62" s="3" t="s">
        <v>143</v>
      </c>
    </row>
    <row r="63" spans="1:56" x14ac:dyDescent="0.25">
      <c r="A63" s="4" t="s">
        <v>0</v>
      </c>
      <c r="B63" s="4" t="s">
        <v>1</v>
      </c>
      <c r="C63" s="4" t="s">
        <v>2</v>
      </c>
      <c r="D63" s="4" t="s">
        <v>25</v>
      </c>
      <c r="E63" s="4" t="s">
        <v>3</v>
      </c>
      <c r="F63" s="4" t="s">
        <v>4</v>
      </c>
      <c r="G63" s="4" t="s">
        <v>5</v>
      </c>
      <c r="H63" s="4" t="s">
        <v>6</v>
      </c>
      <c r="I63" s="4" t="s">
        <v>7</v>
      </c>
      <c r="J63" s="4" t="s">
        <v>55</v>
      </c>
      <c r="K63" s="6" t="s">
        <v>8</v>
      </c>
      <c r="L63" s="7" t="s">
        <v>33</v>
      </c>
      <c r="M63" s="7" t="s">
        <v>34</v>
      </c>
      <c r="N63" s="7" t="s">
        <v>35</v>
      </c>
      <c r="O63" s="7" t="s">
        <v>36</v>
      </c>
      <c r="P63" s="7" t="s">
        <v>37</v>
      </c>
      <c r="Q63" s="7" t="s">
        <v>38</v>
      </c>
      <c r="R63" s="7" t="s">
        <v>39</v>
      </c>
      <c r="S63" s="7" t="s">
        <v>40</v>
      </c>
      <c r="T63" s="7" t="s">
        <v>41</v>
      </c>
      <c r="U63" s="7" t="s">
        <v>42</v>
      </c>
      <c r="V63" s="7" t="s">
        <v>43</v>
      </c>
      <c r="W63" s="7" t="s">
        <v>44</v>
      </c>
      <c r="X63" s="7" t="s">
        <v>45</v>
      </c>
      <c r="Y63" s="7" t="s">
        <v>46</v>
      </c>
      <c r="Z63" s="6" t="s">
        <v>15</v>
      </c>
      <c r="AA63" s="7" t="s">
        <v>33</v>
      </c>
      <c r="AB63" s="7" t="s">
        <v>34</v>
      </c>
      <c r="AC63" s="7" t="s">
        <v>35</v>
      </c>
      <c r="AD63" s="7" t="s">
        <v>36</v>
      </c>
      <c r="AE63" s="7" t="s">
        <v>37</v>
      </c>
      <c r="AF63" s="7" t="s">
        <v>38</v>
      </c>
      <c r="AG63" s="7" t="s">
        <v>39</v>
      </c>
      <c r="AH63" s="7" t="s">
        <v>40</v>
      </c>
      <c r="AI63" s="6" t="s">
        <v>15</v>
      </c>
      <c r="AJ63" s="3"/>
      <c r="AK63" s="3"/>
      <c r="AN63" s="44"/>
      <c r="AO63" s="44"/>
      <c r="AP63" s="50"/>
      <c r="AQ63" s="44"/>
      <c r="AR63" s="3"/>
      <c r="AS63" s="42"/>
      <c r="AT63" s="3"/>
      <c r="AU63" s="3"/>
      <c r="AV63" s="3"/>
      <c r="AW63" s="42"/>
      <c r="AX63" s="3"/>
      <c r="AY63" s="3"/>
      <c r="AZ63" s="42"/>
      <c r="BA63" s="48" t="s">
        <v>148</v>
      </c>
      <c r="BB63" s="47">
        <v>0.15</v>
      </c>
      <c r="BC63" s="47">
        <v>0.18</v>
      </c>
      <c r="BD63" s="47">
        <v>0.21</v>
      </c>
    </row>
    <row r="64" spans="1:56" x14ac:dyDescent="0.25">
      <c r="A64" s="4">
        <v>2010</v>
      </c>
      <c r="B64" s="4" t="s">
        <v>18</v>
      </c>
      <c r="C64" s="4" t="s">
        <v>19</v>
      </c>
      <c r="D64" s="4" t="s">
        <v>63</v>
      </c>
      <c r="E64" t="s">
        <v>237</v>
      </c>
      <c r="F64" t="s">
        <v>64</v>
      </c>
      <c r="G64" s="4">
        <v>1</v>
      </c>
      <c r="H64" s="4" t="s">
        <v>32</v>
      </c>
      <c r="I64" s="4" t="s">
        <v>49</v>
      </c>
      <c r="J64" s="12">
        <v>0.14592989871628637</v>
      </c>
      <c r="K64" s="6">
        <f>SUM(L64:S64)</f>
        <v>328.44374446630002</v>
      </c>
      <c r="L64" s="7">
        <v>22.497659954</v>
      </c>
      <c r="M64" s="7">
        <v>23.497343791999999</v>
      </c>
      <c r="N64" s="7">
        <v>127.99560225800001</v>
      </c>
      <c r="O64" s="7">
        <v>22.432368754000006</v>
      </c>
      <c r="P64" s="7">
        <v>39.086953807999976</v>
      </c>
      <c r="Q64" s="7">
        <v>38.566200667899977</v>
      </c>
      <c r="R64" s="7">
        <v>51.403270766100036</v>
      </c>
      <c r="S64" s="6">
        <v>2.9643444662999996</v>
      </c>
      <c r="T64" s="6">
        <v>5.2200000000000003E-2</v>
      </c>
      <c r="U64" s="6">
        <v>3449.0476034800004</v>
      </c>
      <c r="V64" s="6">
        <v>209.87401738557998</v>
      </c>
      <c r="W64" s="6">
        <v>165.29361844106</v>
      </c>
      <c r="X64" s="6">
        <v>116.62980641997001</v>
      </c>
      <c r="Y64" s="6">
        <v>23.111712445203</v>
      </c>
      <c r="Z64" s="6">
        <f>SUM(T64:Y64)</f>
        <v>3964.0089581718134</v>
      </c>
      <c r="AA64" s="7">
        <v>253.45665522100003</v>
      </c>
      <c r="AB64" s="7">
        <v>252.74369932299996</v>
      </c>
      <c r="AC64" s="7">
        <v>1400.5750952420003</v>
      </c>
      <c r="AD64" s="7">
        <v>237.10110098299981</v>
      </c>
      <c r="AE64" s="7">
        <v>686.43044840999983</v>
      </c>
      <c r="AF64" s="7">
        <v>396.57012548560033</v>
      </c>
      <c r="AG64" s="7">
        <v>696.51460533540012</v>
      </c>
      <c r="AH64" s="6">
        <v>40.617228171812997</v>
      </c>
      <c r="AI64" s="6">
        <f>SUM(AA64:AH64)</f>
        <v>3964.0089581718134</v>
      </c>
      <c r="AJ64" s="3">
        <f>K64*1000/(30*$G$103*$G$96*$G$106)</f>
        <v>61.923782893344644</v>
      </c>
      <c r="AK64" s="3">
        <f>AI64*$G$98/($G$103*$G$96*$G$106)*0.277778</f>
        <v>1.868406923726895</v>
      </c>
      <c r="AL64" s="42">
        <f>30/AK64</f>
        <v>16.056459446296238</v>
      </c>
      <c r="AN64" s="3">
        <f t="shared" ref="AN64:AN91" si="149">AJ64*$AO$3/$AN$3</f>
        <v>105.27043091868589</v>
      </c>
      <c r="AO64" s="44"/>
      <c r="AP64" s="42">
        <f>AJ64*$AO$3/$AP$3</f>
        <v>45.769752573341691</v>
      </c>
      <c r="AQ64" s="44"/>
      <c r="AR64" s="3"/>
      <c r="AS64" s="42"/>
      <c r="AT64" s="3"/>
      <c r="AU64" s="3">
        <f>AJ64*$AV$3/$AU$3</f>
        <v>70.770037592393891</v>
      </c>
      <c r="AV64" s="3"/>
      <c r="AW64" s="42">
        <f>AJ64*$AV$3/$AW$3</f>
        <v>55.043362571861906</v>
      </c>
      <c r="AX64" s="3"/>
      <c r="AY64" s="3">
        <f>AL64/30*25</f>
        <v>13.380382871913532</v>
      </c>
      <c r="AZ64" s="42"/>
      <c r="BA64" s="48" t="s">
        <v>121</v>
      </c>
      <c r="BB64" s="3">
        <f>AJ64*BC$63/BB$63</f>
        <v>74.308539472013564</v>
      </c>
      <c r="BC64" s="3"/>
      <c r="BD64" s="3"/>
    </row>
    <row r="65" spans="1:56" x14ac:dyDescent="0.25">
      <c r="A65" s="4">
        <v>2010</v>
      </c>
      <c r="B65" s="4" t="s">
        <v>18</v>
      </c>
      <c r="C65" s="4" t="s">
        <v>20</v>
      </c>
      <c r="D65" s="4" t="s">
        <v>63</v>
      </c>
      <c r="E65" t="s">
        <v>238</v>
      </c>
      <c r="F65" t="s">
        <v>64</v>
      </c>
      <c r="G65" s="4">
        <v>1</v>
      </c>
      <c r="H65" s="4" t="s">
        <v>32</v>
      </c>
      <c r="I65" s="4" t="s">
        <v>50</v>
      </c>
      <c r="J65" s="12">
        <v>6.1044273387890396E-2</v>
      </c>
      <c r="K65" s="6">
        <f t="shared" ref="K65:K69" si="150">SUM(L65:S65)</f>
        <v>249.6146524255</v>
      </c>
      <c r="L65" s="7">
        <v>16.956161607000002</v>
      </c>
      <c r="M65" s="7">
        <v>16.114533040999998</v>
      </c>
      <c r="N65" s="7">
        <v>89.015776309000017</v>
      </c>
      <c r="O65" s="7">
        <v>14.557118284999977</v>
      </c>
      <c r="P65" s="7">
        <v>33.053318611000009</v>
      </c>
      <c r="Q65" s="7">
        <v>28.148111742200001</v>
      </c>
      <c r="R65" s="7">
        <v>49.748380404800002</v>
      </c>
      <c r="S65" s="6">
        <v>2.0212524254999997</v>
      </c>
      <c r="T65" s="6">
        <v>4.845E-2</v>
      </c>
      <c r="U65" s="6">
        <v>3066.6130298000003</v>
      </c>
      <c r="V65" s="6">
        <v>87.458444588299997</v>
      </c>
      <c r="W65" s="6">
        <v>763.0114437881</v>
      </c>
      <c r="X65" s="6">
        <v>89.847646198450008</v>
      </c>
      <c r="Y65" s="6">
        <v>76.443006552154998</v>
      </c>
      <c r="Z65" s="6">
        <f t="shared" ref="Z65:Z69" si="151">SUM(T65:Y65)</f>
        <v>4083.4220209270056</v>
      </c>
      <c r="AA65" s="7">
        <v>261.35696895000001</v>
      </c>
      <c r="AB65" s="7">
        <v>274.75101675000002</v>
      </c>
      <c r="AC65" s="7">
        <v>1521.4312494330004</v>
      </c>
      <c r="AD65" s="7">
        <v>247.85985932400007</v>
      </c>
      <c r="AE65" s="7">
        <v>634.15643705999946</v>
      </c>
      <c r="AF65" s="7">
        <v>410.80165645039961</v>
      </c>
      <c r="AG65" s="7">
        <v>705.3697820326006</v>
      </c>
      <c r="AH65" s="6">
        <v>27.695050927005006</v>
      </c>
      <c r="AI65" s="6">
        <f t="shared" ref="AI65:AI69" si="152">SUM(AA65:AH65)</f>
        <v>4083.4220209270047</v>
      </c>
      <c r="AJ65" s="3">
        <f t="shared" ref="AJ65:AJ70" si="153">K65*1000/(30*$G$103*$G$96*$G$106)</f>
        <v>47.061586053073157</v>
      </c>
      <c r="AK65" s="3">
        <f t="shared" ref="AK65:AK70" si="154">AI65*$G$98/($G$103*$G$96*$G$106)*0.277778</f>
        <v>1.9246914063275931</v>
      </c>
      <c r="AL65" s="42">
        <f t="shared" ref="AL65:AL91" si="155">30/AK65</f>
        <v>15.586914297727079</v>
      </c>
      <c r="AN65" s="3">
        <f t="shared" si="149"/>
        <v>80.004696290224373</v>
      </c>
      <c r="AO65" s="44"/>
      <c r="AP65" s="42">
        <f t="shared" ref="AP65:AP91" si="156">AJ65*$AO$3/$AP$3</f>
        <v>34.784650560967115</v>
      </c>
      <c r="AQ65" s="44"/>
      <c r="AR65" s="3"/>
      <c r="AS65" s="42"/>
      <c r="AT65" s="3"/>
      <c r="AU65" s="3">
        <f t="shared" ref="AU65:AU91" si="157">AJ65*$AV$3/$AU$3</f>
        <v>53.784669774940753</v>
      </c>
      <c r="AV65" s="3"/>
      <c r="AW65" s="42">
        <f t="shared" ref="AW65:AW91" si="158">AJ65*$AV$3/$AW$3</f>
        <v>41.832520936065031</v>
      </c>
      <c r="AX65" s="3"/>
      <c r="AY65" s="3">
        <f t="shared" ref="AY65:AY91" si="159">AL65/30*25</f>
        <v>12.989095248105901</v>
      </c>
      <c r="AZ65" s="42"/>
      <c r="BA65" s="48"/>
      <c r="BB65" s="3">
        <f t="shared" ref="BB65:BB91" si="160">AJ65*BC$63/BB$63</f>
        <v>56.473903263687788</v>
      </c>
      <c r="BC65" s="3"/>
      <c r="BD65" s="3"/>
    </row>
    <row r="66" spans="1:56" x14ac:dyDescent="0.25">
      <c r="A66" s="4">
        <v>2010</v>
      </c>
      <c r="B66" s="4" t="s">
        <v>18</v>
      </c>
      <c r="C66" s="4" t="s">
        <v>21</v>
      </c>
      <c r="D66" s="4" t="s">
        <v>62</v>
      </c>
      <c r="E66" t="s">
        <v>239</v>
      </c>
      <c r="F66" t="s">
        <v>64</v>
      </c>
      <c r="G66" s="4">
        <v>1</v>
      </c>
      <c r="H66" s="4" t="s">
        <v>32</v>
      </c>
      <c r="I66" s="4" t="s">
        <v>51</v>
      </c>
      <c r="J66" s="12">
        <v>5.6839615257396746E-2</v>
      </c>
      <c r="K66" s="6">
        <f t="shared" si="150"/>
        <v>232.29817263045001</v>
      </c>
      <c r="L66" s="7">
        <v>15.547521836</v>
      </c>
      <c r="M66" s="7">
        <v>13.792115978</v>
      </c>
      <c r="N66" s="7">
        <v>76.396836098000009</v>
      </c>
      <c r="O66" s="7">
        <v>12.891590409999996</v>
      </c>
      <c r="P66" s="7">
        <v>35.616287785999987</v>
      </c>
      <c r="Q66" s="7">
        <v>26.146772808000009</v>
      </c>
      <c r="R66" s="7">
        <v>49.336215084000003</v>
      </c>
      <c r="S66" s="6">
        <v>2.57083263045</v>
      </c>
      <c r="T66" s="6">
        <v>5.4600000000000003E-2</v>
      </c>
      <c r="U66" s="6">
        <v>2984.9761028200001</v>
      </c>
      <c r="V66" s="6">
        <v>122.50621118296999</v>
      </c>
      <c r="W66" s="6">
        <v>884.57225893378995</v>
      </c>
      <c r="X66" s="6">
        <v>107.05323247885499</v>
      </c>
      <c r="Y66" s="6">
        <v>21.2014927469145</v>
      </c>
      <c r="Z66" s="6">
        <f t="shared" si="151"/>
        <v>4120.363898162529</v>
      </c>
      <c r="AA66" s="7">
        <v>263.96845798399994</v>
      </c>
      <c r="AB66" s="7">
        <v>270.11763281199995</v>
      </c>
      <c r="AC66" s="7">
        <v>1492.944959054</v>
      </c>
      <c r="AD66" s="7">
        <v>251.531123949</v>
      </c>
      <c r="AE66" s="7">
        <v>691.67992525600039</v>
      </c>
      <c r="AF66" s="7">
        <v>415.25551456579979</v>
      </c>
      <c r="AG66" s="7">
        <v>699.64092637919975</v>
      </c>
      <c r="AH66" s="6">
        <v>35.225358162529503</v>
      </c>
      <c r="AI66" s="6">
        <f t="shared" si="152"/>
        <v>4120.363898162529</v>
      </c>
      <c r="AJ66" s="3">
        <f t="shared" si="153"/>
        <v>43.796789711623305</v>
      </c>
      <c r="AK66" s="3">
        <f t="shared" si="154"/>
        <v>1.9421036927100523</v>
      </c>
      <c r="AL66" s="42">
        <f t="shared" si="155"/>
        <v>15.447166962613293</v>
      </c>
      <c r="AN66" s="3">
        <f t="shared" si="149"/>
        <v>74.454542509759619</v>
      </c>
      <c r="AO66" s="44"/>
      <c r="AP66" s="42">
        <f t="shared" si="156"/>
        <v>32.371540221634618</v>
      </c>
      <c r="AQ66" s="44"/>
      <c r="AR66" s="3"/>
      <c r="AS66" s="42"/>
      <c r="AT66" s="3"/>
      <c r="AU66" s="3">
        <f t="shared" si="157"/>
        <v>50.05347395614092</v>
      </c>
      <c r="AV66" s="3"/>
      <c r="AW66" s="42">
        <f t="shared" si="158"/>
        <v>38.93047974366516</v>
      </c>
      <c r="AX66" s="3"/>
      <c r="AY66" s="3">
        <f t="shared" si="159"/>
        <v>12.872639135511077</v>
      </c>
      <c r="AZ66" s="42"/>
      <c r="BA66" s="48"/>
      <c r="BB66" s="3">
        <f t="shared" si="160"/>
        <v>52.556147653947967</v>
      </c>
      <c r="BC66" s="3"/>
      <c r="BD66" s="3"/>
    </row>
    <row r="67" spans="1:56" x14ac:dyDescent="0.25">
      <c r="A67" s="4">
        <v>2010</v>
      </c>
      <c r="B67" s="4" t="s">
        <v>18</v>
      </c>
      <c r="C67" s="4" t="s">
        <v>22</v>
      </c>
      <c r="D67" s="4" t="s">
        <v>63</v>
      </c>
      <c r="E67" t="s">
        <v>240</v>
      </c>
      <c r="F67" t="s">
        <v>64</v>
      </c>
      <c r="G67" s="4">
        <v>1</v>
      </c>
      <c r="H67" s="4" t="s">
        <v>32</v>
      </c>
      <c r="I67" s="4" t="s">
        <v>52</v>
      </c>
      <c r="J67" s="12">
        <v>1.9122845523667789E-2</v>
      </c>
      <c r="K67" s="6">
        <f t="shared" si="150"/>
        <v>241.95863700000001</v>
      </c>
      <c r="L67" s="7">
        <v>16.548425124000001</v>
      </c>
      <c r="M67" s="7">
        <v>14.834044112000001</v>
      </c>
      <c r="N67" s="7">
        <v>81.936380021000019</v>
      </c>
      <c r="O67" s="7">
        <v>14.265579615999979</v>
      </c>
      <c r="P67" s="7">
        <v>36.116070578499986</v>
      </c>
      <c r="Q67" s="7">
        <v>27.928758064300013</v>
      </c>
      <c r="R67" s="7">
        <v>49.633892484200004</v>
      </c>
      <c r="S67" s="6">
        <v>0.69548699999999997</v>
      </c>
      <c r="T67" s="6">
        <v>4.9050000000000003E-2</v>
      </c>
      <c r="U67" s="6">
        <v>3324.0105400000002</v>
      </c>
      <c r="V67" s="6">
        <v>176.9029913</v>
      </c>
      <c r="W67" s="6">
        <v>181.68154150000001</v>
      </c>
      <c r="X67" s="6">
        <v>78.019093080000005</v>
      </c>
      <c r="Y67" s="6">
        <v>58.401608494100003</v>
      </c>
      <c r="Z67" s="6">
        <f t="shared" si="151"/>
        <v>3819.0648243741002</v>
      </c>
      <c r="AA67" s="7">
        <v>246.64677776200003</v>
      </c>
      <c r="AB67" s="7">
        <v>239.79191641599991</v>
      </c>
      <c r="AC67" s="7">
        <v>1331.7161104410004</v>
      </c>
      <c r="AD67" s="7">
        <v>227.75294795499974</v>
      </c>
      <c r="AE67" s="7">
        <v>683.0294846610002</v>
      </c>
      <c r="AF67" s="7">
        <v>384.41562257770011</v>
      </c>
      <c r="AG67" s="7">
        <v>694.48924018729986</v>
      </c>
      <c r="AH67" s="6">
        <v>11.2227243741</v>
      </c>
      <c r="AI67" s="6">
        <f t="shared" si="152"/>
        <v>3819.0648243740998</v>
      </c>
      <c r="AJ67" s="3">
        <f t="shared" si="153"/>
        <v>45.618144230769232</v>
      </c>
      <c r="AK67" s="3">
        <f t="shared" si="154"/>
        <v>1.800088555630637</v>
      </c>
      <c r="AL67" s="42">
        <f t="shared" si="155"/>
        <v>16.665846747461767</v>
      </c>
      <c r="AN67" s="3">
        <f t="shared" si="149"/>
        <v>77.55084519230769</v>
      </c>
      <c r="AO67" s="44"/>
      <c r="AP67" s="42">
        <f t="shared" si="156"/>
        <v>33.717758779264216</v>
      </c>
      <c r="AQ67" s="44"/>
      <c r="AR67" s="3"/>
      <c r="AS67" s="42"/>
      <c r="AT67" s="3"/>
      <c r="AU67" s="3">
        <f t="shared" si="157"/>
        <v>52.135021978021989</v>
      </c>
      <c r="AV67" s="3"/>
      <c r="AW67" s="42">
        <f t="shared" si="158"/>
        <v>40.549461538461543</v>
      </c>
      <c r="AX67" s="3"/>
      <c r="AY67" s="3">
        <f t="shared" si="159"/>
        <v>13.888205622884806</v>
      </c>
      <c r="AZ67" s="42"/>
      <c r="BA67" s="48"/>
      <c r="BB67" s="3">
        <f t="shared" si="160"/>
        <v>54.741773076923081</v>
      </c>
      <c r="BC67" s="3"/>
      <c r="BD67" s="3"/>
    </row>
    <row r="68" spans="1:56" x14ac:dyDescent="0.25">
      <c r="A68" s="4">
        <v>2010</v>
      </c>
      <c r="B68" s="4" t="s">
        <v>18</v>
      </c>
      <c r="C68" s="4" t="s">
        <v>23</v>
      </c>
      <c r="D68" s="4" t="s">
        <v>63</v>
      </c>
      <c r="E68" t="s">
        <v>241</v>
      </c>
      <c r="F68" t="s">
        <v>64</v>
      </c>
      <c r="G68" s="4">
        <v>1</v>
      </c>
      <c r="H68" s="4" t="s">
        <v>32</v>
      </c>
      <c r="I68" s="4" t="s">
        <v>53</v>
      </c>
      <c r="J68" s="12">
        <v>0.29638843777954382</v>
      </c>
      <c r="K68" s="6">
        <f t="shared" si="150"/>
        <v>294.08852997679998</v>
      </c>
      <c r="L68" s="7">
        <v>20.041896104999999</v>
      </c>
      <c r="M68" s="7">
        <v>19.862753935000001</v>
      </c>
      <c r="N68" s="7">
        <v>108.67198515500002</v>
      </c>
      <c r="O68" s="7">
        <v>19.061245454000002</v>
      </c>
      <c r="P68" s="7">
        <v>37.860612380499987</v>
      </c>
      <c r="Q68" s="7">
        <v>34.148592760500009</v>
      </c>
      <c r="R68" s="7">
        <v>50.672894209999981</v>
      </c>
      <c r="S68" s="6">
        <v>3.7685499767999997</v>
      </c>
      <c r="T68" s="6">
        <v>5.1659999999999998E-2</v>
      </c>
      <c r="U68" s="6">
        <v>3892.8944292800002</v>
      </c>
      <c r="V68" s="6">
        <v>104.42853093488</v>
      </c>
      <c r="W68" s="6">
        <v>110.12162385616</v>
      </c>
      <c r="X68" s="6">
        <v>107.39480877992</v>
      </c>
      <c r="Y68" s="6">
        <v>13.588519621208</v>
      </c>
      <c r="Z68" s="6">
        <f t="shared" si="151"/>
        <v>4228.4795724721689</v>
      </c>
      <c r="AA68" s="7">
        <v>271.95484893500003</v>
      </c>
      <c r="AB68" s="7">
        <v>278.37722036500008</v>
      </c>
      <c r="AC68" s="7">
        <v>1536.8581843330001</v>
      </c>
      <c r="AD68" s="7">
        <v>262.49447823999952</v>
      </c>
      <c r="AE68" s="7">
        <v>695.66779634500062</v>
      </c>
      <c r="AF68" s="7">
        <v>429.47444829489905</v>
      </c>
      <c r="AG68" s="7">
        <v>702.01620348710048</v>
      </c>
      <c r="AH68" s="6">
        <v>51.636392472167991</v>
      </c>
      <c r="AI68" s="6">
        <f t="shared" si="152"/>
        <v>4228.479572472168</v>
      </c>
      <c r="AJ68" s="3">
        <f t="shared" si="153"/>
        <v>55.446555425490189</v>
      </c>
      <c r="AK68" s="3">
        <f t="shared" si="154"/>
        <v>1.9930632330579874</v>
      </c>
      <c r="AL68" s="42">
        <f t="shared" si="155"/>
        <v>15.052206825355231</v>
      </c>
      <c r="AN68" s="3">
        <f t="shared" si="149"/>
        <v>94.259144223333323</v>
      </c>
      <c r="AO68" s="44"/>
      <c r="AP68" s="42">
        <f t="shared" si="156"/>
        <v>40.982236618840574</v>
      </c>
      <c r="AQ68" s="44"/>
      <c r="AR68" s="3"/>
      <c r="AS68" s="42"/>
      <c r="AT68" s="3"/>
      <c r="AU68" s="3">
        <f t="shared" si="157"/>
        <v>63.367491914845942</v>
      </c>
      <c r="AV68" s="3"/>
      <c r="AW68" s="42">
        <f t="shared" si="158"/>
        <v>49.285827044880172</v>
      </c>
      <c r="AX68" s="3"/>
      <c r="AY68" s="3">
        <f t="shared" si="159"/>
        <v>12.543505687796024</v>
      </c>
      <c r="AZ68" s="42"/>
      <c r="BA68" s="48"/>
      <c r="BB68" s="3">
        <f t="shared" si="160"/>
        <v>66.535866510588221</v>
      </c>
      <c r="BC68" s="3"/>
      <c r="BD68" s="3"/>
    </row>
    <row r="69" spans="1:56" x14ac:dyDescent="0.25">
      <c r="A69" s="4">
        <v>2010</v>
      </c>
      <c r="B69" s="4" t="s">
        <v>18</v>
      </c>
      <c r="C69" s="4" t="s">
        <v>24</v>
      </c>
      <c r="D69" s="4" t="s">
        <v>62</v>
      </c>
      <c r="E69" t="s">
        <v>242</v>
      </c>
      <c r="F69" t="s">
        <v>64</v>
      </c>
      <c r="G69" s="4">
        <v>1</v>
      </c>
      <c r="H69" s="4" t="s">
        <v>32</v>
      </c>
      <c r="I69" s="4" t="s">
        <v>54</v>
      </c>
      <c r="J69" s="12">
        <v>0.42067492933521489</v>
      </c>
      <c r="K69" s="6">
        <f t="shared" si="150"/>
        <v>288.983812785</v>
      </c>
      <c r="L69" s="7">
        <v>19.587622054000001</v>
      </c>
      <c r="M69" s="7">
        <v>19.519859791999998</v>
      </c>
      <c r="N69" s="7">
        <v>106.84891774900002</v>
      </c>
      <c r="O69" s="7">
        <v>18.437631789999987</v>
      </c>
      <c r="P69" s="7">
        <v>37.633781667999983</v>
      </c>
      <c r="Q69" s="7">
        <v>33.339799884099989</v>
      </c>
      <c r="R69" s="7">
        <v>50.537787062900009</v>
      </c>
      <c r="S69" s="6">
        <v>3.0784127849999998</v>
      </c>
      <c r="T69" s="6">
        <v>5.237E-2</v>
      </c>
      <c r="U69" s="6">
        <v>3488.5735359999999</v>
      </c>
      <c r="V69" s="6">
        <v>73.997524980999998</v>
      </c>
      <c r="W69" s="6">
        <v>600.80669176699996</v>
      </c>
      <c r="X69" s="6">
        <v>76.763385591499997</v>
      </c>
      <c r="Y69" s="6">
        <v>17.73067548085</v>
      </c>
      <c r="Z69" s="6">
        <f t="shared" si="151"/>
        <v>4257.9241838203498</v>
      </c>
      <c r="AA69" s="7">
        <v>272.77947966499994</v>
      </c>
      <c r="AB69" s="7">
        <v>283.88951294499998</v>
      </c>
      <c r="AC69" s="7">
        <v>1566.1643336080003</v>
      </c>
      <c r="AD69" s="7">
        <v>263.62642360599983</v>
      </c>
      <c r="AE69" s="7">
        <v>696.08000061999974</v>
      </c>
      <c r="AF69" s="7">
        <v>430.94280945000082</v>
      </c>
      <c r="AG69" s="7">
        <v>702.2614401059991</v>
      </c>
      <c r="AH69" s="6">
        <v>42.180183820350003</v>
      </c>
      <c r="AI69" s="6">
        <f t="shared" si="152"/>
        <v>4257.9241838203498</v>
      </c>
      <c r="AJ69" s="3">
        <f t="shared" si="153"/>
        <v>54.484127598981907</v>
      </c>
      <c r="AK69" s="3">
        <f t="shared" si="154"/>
        <v>2.0069417374432961</v>
      </c>
      <c r="AL69" s="42">
        <f t="shared" si="155"/>
        <v>14.94811704809025</v>
      </c>
      <c r="AN69" s="3">
        <f t="shared" si="149"/>
        <v>92.623016918269244</v>
      </c>
      <c r="AO69" s="44"/>
      <c r="AP69" s="42">
        <f t="shared" si="156"/>
        <v>40.27087692098663</v>
      </c>
      <c r="AQ69" s="44"/>
      <c r="AR69" s="3"/>
      <c r="AS69" s="42"/>
      <c r="AT69" s="3"/>
      <c r="AU69" s="3">
        <f t="shared" si="157"/>
        <v>62.267574398836473</v>
      </c>
      <c r="AV69" s="3"/>
      <c r="AW69" s="42">
        <f t="shared" si="158"/>
        <v>48.430335643539472</v>
      </c>
      <c r="AX69" s="3"/>
      <c r="AY69" s="3">
        <f t="shared" si="159"/>
        <v>12.456764206741875</v>
      </c>
      <c r="AZ69" s="42"/>
      <c r="BA69" s="48"/>
      <c r="BB69" s="3">
        <f t="shared" si="160"/>
        <v>65.380953118778294</v>
      </c>
      <c r="BC69" s="3"/>
      <c r="BD69" s="3"/>
    </row>
    <row r="70" spans="1:56" x14ac:dyDescent="0.25">
      <c r="A70" s="4">
        <v>2010</v>
      </c>
      <c r="B70" s="4" t="s">
        <v>18</v>
      </c>
      <c r="C70" s="4"/>
      <c r="I70" s="4"/>
      <c r="J70" s="8"/>
      <c r="K70" s="10">
        <f>$J64*K64+$J65*K65+$J66*K66+$J67*K67+$J68*K68+$J69*K69</f>
        <v>289.73066883508693</v>
      </c>
      <c r="L70" s="6">
        <f>$J64*L64+$J65*L65+$J66*L66+$J67*L67+$J68*L68+$J69*L69</f>
        <v>19.698533739970301</v>
      </c>
      <c r="M70" s="6">
        <f t="shared" ref="M70" si="161">$J64*M64+$J65*M65+$J66*M66+$J67*M67+$J68*M68+$J69*M69</f>
        <v>19.578878907388319</v>
      </c>
      <c r="N70" s="6">
        <f t="shared" ref="N70" si="162">$J64*N64+$J65*N65+$J66*N66+$J67*N67+$J68*N68+$J69*N69</f>
        <v>107.17929300118175</v>
      </c>
      <c r="O70" s="6">
        <f t="shared" ref="O70" si="163">$J64*O64+$J65*O65+$J66*O66+$J67*O67+$J68*O68+$J69*O69</f>
        <v>18.57351573544015</v>
      </c>
      <c r="P70" s="6">
        <f t="shared" ref="P70" si="164">$J64*P64+$J65*P65+$J66*P66+$J67*P67+$J68*P68+$J69*P69</f>
        <v>37.489765361880075</v>
      </c>
      <c r="Q70" s="6">
        <f t="shared" ref="Q70" si="165">$J64*Q64+$J65*Q65+$J66*Q66+$J67*Q67+$J68*Q68+$J69*Q69</f>
        <v>33.51295863959156</v>
      </c>
      <c r="R70" s="6">
        <f t="shared" ref="R70" si="166">$J64*R64+$J65*R65+$J66*R66+$J67*R67+$J68*R68+$J69*R69</f>
        <v>50.570360527076218</v>
      </c>
      <c r="S70" s="6">
        <f t="shared" ref="S70" si="167">$J64*S64+$J65*S65+$J66*S66+$J67*S67+$J68*S68+$J69*S69</f>
        <v>3.1273629225585449</v>
      </c>
      <c r="T70" s="6">
        <f t="shared" ref="T70" si="168">$J64*T64+$J65*T65+$J66*T66+$J67*T67+$J68*T68+$J69*T69</f>
        <v>5.1958727069599642E-2</v>
      </c>
      <c r="U70" s="6">
        <f t="shared" ref="U70" si="169">$J64*U64+$J65*U65+$J66*U66+$J67*U67+$J68*U68+$J69*U69</f>
        <v>3545.1120889942295</v>
      </c>
      <c r="V70" s="6">
        <f t="shared" ref="V70" si="170">$J64*V64+$J65*V65+$J66*V66+$J67*V67+$J68*V68+$J69*V69</f>
        <v>108.39213852313654</v>
      </c>
      <c r="W70" s="6">
        <f t="shared" ref="W70" si="171">$J64*W64+$J65*W65+$J66*W66+$J67*W67+$J68*W68+$J69*W69</f>
        <v>409.83486375169218</v>
      </c>
      <c r="X70" s="6">
        <f t="shared" ref="X70" si="172">$J64*X64+$J65*X65+$J66*X66+$J67*X67+$J68*X68+$J69*X69</f>
        <v>94.204283136136638</v>
      </c>
      <c r="Y70" s="6">
        <f t="shared" ref="Y70" si="173">$J64*Y64+$J65*Y65+$J66*Y66+$J67*Y67+$J68*Y68+$J69*Y69</f>
        <v>21.847318032272682</v>
      </c>
      <c r="Z70" s="10">
        <f t="shared" ref="Z70" si="174">$J64*Z64+$J65*Z65+$J66*Z66+$J67*Z67+$J68*Z68+$J69*Z69</f>
        <v>4179.4426511645379</v>
      </c>
      <c r="AA70" s="6">
        <f t="shared" ref="AA70" si="175">$J64*AA64+$J65*AA65+$J66*AA66+$J67*AA67+$J68*AA68+$J69*AA69</f>
        <v>268.01746526632246</v>
      </c>
      <c r="AB70" s="6">
        <f t="shared" ref="AB70" si="176">$J64*AB64+$J65*AB65+$J66*AB66+$J67*AB67+$J68*AB68+$J69*AB69</f>
        <v>275.52671497673362</v>
      </c>
      <c r="AC70" s="6">
        <f t="shared" ref="AC70" si="177">$J64*AC64+$J65*AC65+$J66*AC66+$J67*AC67+$J68*AC68+$J69*AC69</f>
        <v>1521.9381321699716</v>
      </c>
      <c r="AD70" s="6">
        <f t="shared" ref="AD70" si="178">$J64*AD64+$J65*AD65+$J66*AD66+$J67*AD67+$J68*AD68+$J69*AD69</f>
        <v>257.08413687091195</v>
      </c>
      <c r="AE70" s="6">
        <f t="shared" ref="AE70" si="179">$J64*AE64+$J65*AE65+$J66*AE66+$J67*AE67+$J68*AE68+$J69*AE69</f>
        <v>690.26992932763346</v>
      </c>
      <c r="AF70" s="6">
        <f t="shared" ref="AF70" si="180">$J64*AF64+$J65*AF65+$J66*AF66+$J67*AF67+$J68*AF68+$J69*AF69</f>
        <v>422.48070782870002</v>
      </c>
      <c r="AG70" s="6">
        <f t="shared" ref="AG70" si="181">$J64*AG64+$J65*AG65+$J66*AG66+$J67*AG67+$J68*AG68+$J69*AG69</f>
        <v>701.24229069554281</v>
      </c>
      <c r="AH70" s="6">
        <f t="shared" ref="AH70" si="182">$J64*AH64+$J65*AH65+$J66*AH66+$J67*AH67+$J68*AH68+$J69*AH69</f>
        <v>42.883274028720777</v>
      </c>
      <c r="AI70" s="10">
        <f t="shared" ref="AI70" si="183">$J64*AI64+$J65*AI65+$J66*AI66+$J67*AI67+$J68*AI68+$J69*AI69</f>
        <v>4179.4426511645379</v>
      </c>
      <c r="AJ70" s="41">
        <f t="shared" si="153"/>
        <v>54.624937563176267</v>
      </c>
      <c r="AK70" s="41">
        <f t="shared" si="154"/>
        <v>1.9699500352180705</v>
      </c>
      <c r="AL70" s="43">
        <f t="shared" si="155"/>
        <v>15.228812641778015</v>
      </c>
      <c r="AN70" s="41">
        <f t="shared" si="149"/>
        <v>92.862393857399653</v>
      </c>
      <c r="AO70" s="53"/>
      <c r="AP70" s="43">
        <f t="shared" si="156"/>
        <v>40.37495385104333</v>
      </c>
      <c r="AQ70" s="53"/>
      <c r="AR70" s="41"/>
      <c r="AS70" s="43"/>
      <c r="AT70" s="41"/>
      <c r="AU70" s="41">
        <f t="shared" si="157"/>
        <v>62.428500072201459</v>
      </c>
      <c r="AV70" s="41"/>
      <c r="AW70" s="43">
        <f t="shared" si="158"/>
        <v>48.555500056156689</v>
      </c>
      <c r="AX70" s="41"/>
      <c r="AY70" s="41">
        <f t="shared" si="159"/>
        <v>12.690677201481678</v>
      </c>
      <c r="AZ70" s="43"/>
      <c r="BA70" s="54"/>
      <c r="BB70" s="41">
        <f t="shared" si="160"/>
        <v>65.549925075811529</v>
      </c>
      <c r="BC70" s="3"/>
      <c r="BD70" s="3"/>
    </row>
    <row r="71" spans="1:56" x14ac:dyDescent="0.25">
      <c r="A71" s="4">
        <v>2015</v>
      </c>
      <c r="B71" s="4" t="s">
        <v>18</v>
      </c>
      <c r="C71" s="4" t="s">
        <v>19</v>
      </c>
      <c r="D71" s="4" t="s">
        <v>63</v>
      </c>
      <c r="E71" t="s">
        <v>243</v>
      </c>
      <c r="F71" t="s">
        <v>64</v>
      </c>
      <c r="G71" s="4">
        <v>1</v>
      </c>
      <c r="H71" s="4" t="s">
        <v>32</v>
      </c>
      <c r="I71" s="4" t="s">
        <v>49</v>
      </c>
      <c r="J71" s="12">
        <v>0.36245376315328581</v>
      </c>
      <c r="K71" s="6">
        <f>SUM(L71:S71)</f>
        <v>310.84470446630002</v>
      </c>
      <c r="L71" s="7">
        <v>21.238928171999998</v>
      </c>
      <c r="M71" s="7">
        <v>21.697569686000001</v>
      </c>
      <c r="N71" s="7">
        <v>118.42694472800002</v>
      </c>
      <c r="O71" s="7">
        <v>20.704460176999987</v>
      </c>
      <c r="P71" s="7">
        <v>38.458382831999984</v>
      </c>
      <c r="Q71" s="7">
        <v>36.325163309999994</v>
      </c>
      <c r="R71" s="7">
        <v>51.028911095000012</v>
      </c>
      <c r="S71" s="6">
        <v>2.9643444662999996</v>
      </c>
      <c r="T71" s="6">
        <v>5.2499999999999998E-2</v>
      </c>
      <c r="U71" s="6">
        <v>3297.7202334800004</v>
      </c>
      <c r="V71" s="6">
        <v>227.72578738557999</v>
      </c>
      <c r="W71" s="6">
        <v>199.12108844106001</v>
      </c>
      <c r="X71" s="6">
        <v>125.68015641997</v>
      </c>
      <c r="Y71" s="6">
        <v>41.290462445203005</v>
      </c>
      <c r="Z71" s="6">
        <f>SUM(T71:Y71)</f>
        <v>3891.5902281718131</v>
      </c>
      <c r="AA71" s="7">
        <v>248.29578004000001</v>
      </c>
      <c r="AB71" s="7">
        <v>245.32312633999999</v>
      </c>
      <c r="AC71" s="7">
        <v>1361.1229552389998</v>
      </c>
      <c r="AD71" s="7">
        <v>230.01655728500003</v>
      </c>
      <c r="AE71" s="7">
        <v>683.85324309899988</v>
      </c>
      <c r="AF71" s="7">
        <v>387.38165910420048</v>
      </c>
      <c r="AG71" s="7">
        <v>694.97967889279971</v>
      </c>
      <c r="AH71" s="6">
        <v>40.617228171812997</v>
      </c>
      <c r="AI71" s="6">
        <f>SUM(AA71:AH71)</f>
        <v>3891.5902281718131</v>
      </c>
      <c r="AJ71" s="3">
        <f>K71*1000/(30*$G$103*$G$96*$G$110)</f>
        <v>47.61714222829351</v>
      </c>
      <c r="AK71" s="3">
        <f>AI71*$G$98/($G$103*$G$96*$G$110)*0.277778</f>
        <v>1.4903467147074128</v>
      </c>
      <c r="AL71" s="42">
        <f t="shared" si="155"/>
        <v>20.12954415502546</v>
      </c>
      <c r="AN71" s="3">
        <f t="shared" si="149"/>
        <v>80.949141788098956</v>
      </c>
      <c r="AO71" s="44"/>
      <c r="AP71" s="42">
        <f t="shared" si="156"/>
        <v>35.195279038303894</v>
      </c>
      <c r="AQ71" s="44"/>
      <c r="AR71" s="3"/>
      <c r="AS71" s="42"/>
      <c r="AT71" s="3"/>
      <c r="AU71" s="3">
        <f t="shared" si="157"/>
        <v>54.41959111804973</v>
      </c>
      <c r="AV71" s="3"/>
      <c r="AW71" s="42">
        <f t="shared" si="158"/>
        <v>42.326348647372008</v>
      </c>
      <c r="AX71" s="3"/>
      <c r="AY71" s="3">
        <f t="shared" si="159"/>
        <v>16.774620129187884</v>
      </c>
      <c r="AZ71" s="42"/>
      <c r="BA71" s="48"/>
      <c r="BB71" s="3">
        <f t="shared" si="160"/>
        <v>57.140570673952205</v>
      </c>
      <c r="BC71" s="3"/>
      <c r="BD71" s="3"/>
    </row>
    <row r="72" spans="1:56" x14ac:dyDescent="0.25">
      <c r="A72" s="4">
        <v>2015</v>
      </c>
      <c r="B72" s="4" t="s">
        <v>18</v>
      </c>
      <c r="C72" s="4" t="s">
        <v>21</v>
      </c>
      <c r="D72" s="4" t="s">
        <v>63</v>
      </c>
      <c r="E72" t="s">
        <v>244</v>
      </c>
      <c r="F72" t="s">
        <v>64</v>
      </c>
      <c r="G72" s="4">
        <v>1</v>
      </c>
      <c r="H72" s="4" t="s">
        <v>32</v>
      </c>
      <c r="I72" s="4" t="s">
        <v>51</v>
      </c>
      <c r="J72" s="12">
        <v>6.9116063002115188E-2</v>
      </c>
      <c r="K72" s="6">
        <f t="shared" ref="K72:K76" si="184">SUM(L72:S72)</f>
        <v>264.65304263044999</v>
      </c>
      <c r="L72" s="7">
        <v>17.836386875999999</v>
      </c>
      <c r="M72" s="7">
        <v>17.120673608000001</v>
      </c>
      <c r="N72" s="7">
        <v>94.093415300000018</v>
      </c>
      <c r="O72" s="7">
        <v>16.033616995999978</v>
      </c>
      <c r="P72" s="7">
        <v>36.759280767000007</v>
      </c>
      <c r="Q72" s="7">
        <v>30.221886902800009</v>
      </c>
      <c r="R72" s="7">
        <v>50.016949550199968</v>
      </c>
      <c r="S72" s="6">
        <v>2.57083263045</v>
      </c>
      <c r="T72" s="6">
        <v>5.7290000000000001E-2</v>
      </c>
      <c r="U72" s="6">
        <v>3416.7823828199998</v>
      </c>
      <c r="V72" s="6">
        <v>130.16438118297</v>
      </c>
      <c r="W72" s="6">
        <v>165.93914893378999</v>
      </c>
      <c r="X72" s="6">
        <v>123.08222247885499</v>
      </c>
      <c r="Y72" s="6">
        <v>23.340132746914499</v>
      </c>
      <c r="Z72" s="6">
        <f t="shared" ref="Z72:Z76" si="185">SUM(T72:Y72)</f>
        <v>3859.3655581625294</v>
      </c>
      <c r="AA72" s="7">
        <v>245.15933226400006</v>
      </c>
      <c r="AB72" s="7">
        <v>243.53775966199998</v>
      </c>
      <c r="AC72" s="7">
        <v>1351.6305751129998</v>
      </c>
      <c r="AD72" s="7">
        <v>225.71090317600027</v>
      </c>
      <c r="AE72" s="7">
        <v>682.28723768849977</v>
      </c>
      <c r="AF72" s="7">
        <v>381.76753172510053</v>
      </c>
      <c r="AG72" s="7">
        <v>694.04686037139982</v>
      </c>
      <c r="AH72" s="6">
        <v>35.225358162529503</v>
      </c>
      <c r="AI72" s="6">
        <f t="shared" ref="AI72:AI76" si="186">SUM(AA72:AH72)</f>
        <v>3859.3655581625299</v>
      </c>
      <c r="AJ72" s="3">
        <f t="shared" ref="AJ72:AJ77" si="187">K72*1000/(30*$G$103*$G$96*$G$110)</f>
        <v>40.541213638242951</v>
      </c>
      <c r="AK72" s="3">
        <f t="shared" ref="AK72:AK77" si="188">AI72*$G$98/($G$103*$G$96*$G$110)*0.277778</f>
        <v>1.4780057619695837</v>
      </c>
      <c r="AL72" s="42">
        <f t="shared" si="155"/>
        <v>20.297620463956878</v>
      </c>
      <c r="AN72" s="3">
        <f t="shared" si="149"/>
        <v>68.920063185013021</v>
      </c>
      <c r="AO72" s="44"/>
      <c r="AP72" s="42">
        <f t="shared" si="156"/>
        <v>29.965244863049136</v>
      </c>
      <c r="AQ72" s="44"/>
      <c r="AR72" s="3"/>
      <c r="AS72" s="42"/>
      <c r="AT72" s="3"/>
      <c r="AU72" s="3">
        <f t="shared" si="157"/>
        <v>46.332815586563378</v>
      </c>
      <c r="AV72" s="3"/>
      <c r="AW72" s="42">
        <f t="shared" si="158"/>
        <v>36.036634345104851</v>
      </c>
      <c r="AX72" s="3"/>
      <c r="AY72" s="3">
        <f t="shared" si="159"/>
        <v>16.914683719964067</v>
      </c>
      <c r="AZ72" s="42"/>
      <c r="BA72" s="48"/>
      <c r="BB72" s="3">
        <f t="shared" si="160"/>
        <v>48.649456365891545</v>
      </c>
      <c r="BC72" s="3"/>
      <c r="BD72" s="3"/>
    </row>
    <row r="73" spans="1:56" x14ac:dyDescent="0.25">
      <c r="A73" s="4">
        <v>2015</v>
      </c>
      <c r="B73" s="4" t="s">
        <v>18</v>
      </c>
      <c r="C73" s="4" t="s">
        <v>27</v>
      </c>
      <c r="D73" s="4" t="s">
        <v>62</v>
      </c>
      <c r="E73" t="s">
        <v>245</v>
      </c>
      <c r="F73" t="s">
        <v>64</v>
      </c>
      <c r="G73" s="4">
        <v>1</v>
      </c>
      <c r="H73" s="4" t="s">
        <v>32</v>
      </c>
      <c r="I73" s="4" t="s">
        <v>56</v>
      </c>
      <c r="J73" s="12">
        <v>5.4906800535959713E-2</v>
      </c>
      <c r="K73" s="6">
        <f t="shared" si="184"/>
        <v>256.83130326970002</v>
      </c>
      <c r="L73" s="7">
        <v>17.329974045999997</v>
      </c>
      <c r="M73" s="7">
        <v>16.254867947999998</v>
      </c>
      <c r="N73" s="7">
        <v>89.490296467000022</v>
      </c>
      <c r="O73" s="7">
        <v>15.338438803999971</v>
      </c>
      <c r="P73" s="7">
        <v>36.506384765000007</v>
      </c>
      <c r="Q73" s="7">
        <v>29.320252624999995</v>
      </c>
      <c r="R73" s="7">
        <v>49.86633534500001</v>
      </c>
      <c r="S73" s="6">
        <v>2.7247532696999999</v>
      </c>
      <c r="T73" s="6">
        <v>5.1459999999999999E-2</v>
      </c>
      <c r="U73" s="6">
        <v>3232.7786121199997</v>
      </c>
      <c r="V73" s="6">
        <v>61.183851432019999</v>
      </c>
      <c r="W73" s="6">
        <v>977.74573752213996</v>
      </c>
      <c r="X73" s="6">
        <v>87.645271758429999</v>
      </c>
      <c r="Y73" s="6">
        <v>16.160294520956999</v>
      </c>
      <c r="Z73" s="6">
        <f t="shared" si="185"/>
        <v>4375.565227353547</v>
      </c>
      <c r="AA73" s="7">
        <v>282.837181165</v>
      </c>
      <c r="AB73" s="7">
        <v>295.39916637499994</v>
      </c>
      <c r="AC73" s="7">
        <v>1627.3567801700001</v>
      </c>
      <c r="AD73" s="7">
        <v>277.4331848319996</v>
      </c>
      <c r="AE73" s="7">
        <v>701.10224785650007</v>
      </c>
      <c r="AF73" s="7">
        <v>448.84954852479996</v>
      </c>
      <c r="AG73" s="7">
        <v>705.25275107669995</v>
      </c>
      <c r="AH73" s="6">
        <v>37.334367353546995</v>
      </c>
      <c r="AI73" s="6">
        <f t="shared" si="186"/>
        <v>4375.565227353547</v>
      </c>
      <c r="AJ73" s="3">
        <f t="shared" si="187"/>
        <v>39.343030525382964</v>
      </c>
      <c r="AK73" s="3">
        <f t="shared" si="188"/>
        <v>1.6756926806854049</v>
      </c>
      <c r="AL73" s="42">
        <f t="shared" si="155"/>
        <v>17.903044123657068</v>
      </c>
      <c r="AN73" s="3">
        <f t="shared" si="149"/>
        <v>66.883151893151037</v>
      </c>
      <c r="AO73" s="44"/>
      <c r="AP73" s="42">
        <f t="shared" si="156"/>
        <v>29.079631257891755</v>
      </c>
      <c r="AQ73" s="44"/>
      <c r="AR73" s="3"/>
      <c r="AS73" s="42"/>
      <c r="AT73" s="3"/>
      <c r="AU73" s="3">
        <f t="shared" si="157"/>
        <v>44.963463457580538</v>
      </c>
      <c r="AV73" s="3"/>
      <c r="AW73" s="42">
        <f t="shared" si="158"/>
        <v>34.971582689229301</v>
      </c>
      <c r="AX73" s="3"/>
      <c r="AY73" s="3">
        <f t="shared" si="159"/>
        <v>14.91920343638089</v>
      </c>
      <c r="AZ73" s="42"/>
      <c r="BA73" s="48"/>
      <c r="BB73" s="3">
        <f t="shared" si="160"/>
        <v>47.211636630459559</v>
      </c>
      <c r="BC73" s="3"/>
      <c r="BD73" s="3"/>
    </row>
    <row r="74" spans="1:56" x14ac:dyDescent="0.25">
      <c r="A74" s="4">
        <v>2015</v>
      </c>
      <c r="B74" s="4" t="s">
        <v>18</v>
      </c>
      <c r="C74" s="4" t="s">
        <v>22</v>
      </c>
      <c r="D74" s="4" t="s">
        <v>63</v>
      </c>
      <c r="E74" t="s">
        <v>246</v>
      </c>
      <c r="F74" t="s">
        <v>64</v>
      </c>
      <c r="G74" s="4">
        <v>1</v>
      </c>
      <c r="H74" s="4" t="s">
        <v>32</v>
      </c>
      <c r="I74" s="4" t="s">
        <v>52</v>
      </c>
      <c r="J74" s="12">
        <v>5.8678570306366001E-2</v>
      </c>
      <c r="K74" s="6">
        <f t="shared" si="184"/>
        <v>234.14920699999999</v>
      </c>
      <c r="L74" s="7">
        <v>15.983811535999999</v>
      </c>
      <c r="M74" s="7">
        <v>14.040158397999999</v>
      </c>
      <c r="N74" s="7">
        <v>77.715619801000003</v>
      </c>
      <c r="O74" s="7">
        <v>13.490509225</v>
      </c>
      <c r="P74" s="7">
        <v>35.834124416499989</v>
      </c>
      <c r="Q74" s="7">
        <v>26.923523928899982</v>
      </c>
      <c r="R74" s="7">
        <v>49.465972694600026</v>
      </c>
      <c r="S74" s="6">
        <v>0.69548699999999997</v>
      </c>
      <c r="T74" s="6">
        <v>4.8989999999999999E-2</v>
      </c>
      <c r="U74" s="6">
        <v>3254.9075200000002</v>
      </c>
      <c r="V74" s="6">
        <v>146.55241129999999</v>
      </c>
      <c r="W74" s="6">
        <v>228.91598150000002</v>
      </c>
      <c r="X74" s="6">
        <v>84.092003079999998</v>
      </c>
      <c r="Y74" s="6">
        <v>72.989998494099993</v>
      </c>
      <c r="Z74" s="6">
        <f t="shared" si="185"/>
        <v>3787.5069043740996</v>
      </c>
      <c r="AA74" s="7">
        <v>244.37255650500001</v>
      </c>
      <c r="AB74" s="7">
        <v>236.57805543500001</v>
      </c>
      <c r="AC74" s="7">
        <v>1314.6293248260001</v>
      </c>
      <c r="AD74" s="7">
        <v>224.63100241799981</v>
      </c>
      <c r="AE74" s="7">
        <v>681.89381122150007</v>
      </c>
      <c r="AF74" s="7">
        <v>380.36657831800039</v>
      </c>
      <c r="AG74" s="7">
        <v>693.81285127649926</v>
      </c>
      <c r="AH74" s="6">
        <v>11.2227243741</v>
      </c>
      <c r="AI74" s="6">
        <f t="shared" si="186"/>
        <v>3787.5069043740996</v>
      </c>
      <c r="AJ74" s="3">
        <f t="shared" si="187"/>
        <v>35.868444699754903</v>
      </c>
      <c r="AK74" s="3">
        <f t="shared" si="188"/>
        <v>1.4504863412912161</v>
      </c>
      <c r="AL74" s="42">
        <f t="shared" si="155"/>
        <v>20.682718027730026</v>
      </c>
      <c r="AN74" s="3">
        <f t="shared" si="149"/>
        <v>60.97635598958334</v>
      </c>
      <c r="AO74" s="44"/>
      <c r="AP74" s="42">
        <f t="shared" si="156"/>
        <v>26.511459125905798</v>
      </c>
      <c r="AQ74" s="44"/>
      <c r="AR74" s="3"/>
      <c r="AS74" s="42"/>
      <c r="AT74" s="3"/>
      <c r="AU74" s="3">
        <f t="shared" si="157"/>
        <v>40.992508228291328</v>
      </c>
      <c r="AV74" s="3"/>
      <c r="AW74" s="42">
        <f t="shared" si="158"/>
        <v>31.883061955337695</v>
      </c>
      <c r="AX74" s="3"/>
      <c r="AY74" s="3">
        <f t="shared" si="159"/>
        <v>17.235598356441688</v>
      </c>
      <c r="AZ74" s="42"/>
      <c r="BA74" s="48"/>
      <c r="BB74" s="3">
        <f t="shared" si="160"/>
        <v>43.042133639705888</v>
      </c>
      <c r="BC74" s="3"/>
      <c r="BD74" s="3"/>
    </row>
    <row r="75" spans="1:56" x14ac:dyDescent="0.25">
      <c r="A75" s="4">
        <v>2015</v>
      </c>
      <c r="B75" s="4" t="s">
        <v>18</v>
      </c>
      <c r="C75" s="4" t="s">
        <v>23</v>
      </c>
      <c r="D75" s="4" t="s">
        <v>63</v>
      </c>
      <c r="E75" t="s">
        <v>247</v>
      </c>
      <c r="F75" t="s">
        <v>64</v>
      </c>
      <c r="G75" s="4">
        <v>1</v>
      </c>
      <c r="H75" s="4" t="s">
        <v>32</v>
      </c>
      <c r="I75" s="4" t="s">
        <v>53</v>
      </c>
      <c r="J75" s="12">
        <v>0.37167849707604594</v>
      </c>
      <c r="K75" s="6">
        <f t="shared" si="184"/>
        <v>298.10946997679997</v>
      </c>
      <c r="L75" s="7">
        <v>20.331488792999998</v>
      </c>
      <c r="M75" s="7">
        <v>20.272383279000003</v>
      </c>
      <c r="N75" s="7">
        <v>110.84981181400002</v>
      </c>
      <c r="O75" s="7">
        <v>19.45878785899999</v>
      </c>
      <c r="P75" s="7">
        <v>38.005227992999977</v>
      </c>
      <c r="Q75" s="7">
        <v>34.664193548399993</v>
      </c>
      <c r="R75" s="7">
        <v>50.759026713600008</v>
      </c>
      <c r="S75" s="6">
        <v>3.7685499767999997</v>
      </c>
      <c r="T75" s="6">
        <v>5.176E-2</v>
      </c>
      <c r="U75" s="6">
        <v>3816.0067392800001</v>
      </c>
      <c r="V75" s="6">
        <v>138.94728093487998</v>
      </c>
      <c r="W75" s="6">
        <v>110.02597385616001</v>
      </c>
      <c r="X75" s="6">
        <v>98.438058779919999</v>
      </c>
      <c r="Y75" s="6">
        <v>13.612169621208</v>
      </c>
      <c r="Z75" s="6">
        <f t="shared" si="185"/>
        <v>4177.0819824721675</v>
      </c>
      <c r="AA75" s="7">
        <v>268.27519888399996</v>
      </c>
      <c r="AB75" s="7">
        <v>273.12381971199994</v>
      </c>
      <c r="AC75" s="7">
        <v>1508.9279825570002</v>
      </c>
      <c r="AD75" s="7">
        <v>257.44329374600028</v>
      </c>
      <c r="AE75" s="7">
        <v>693.83028167449947</v>
      </c>
      <c r="AF75" s="7">
        <v>422.92319745880059</v>
      </c>
      <c r="AG75" s="7">
        <v>700.92181596769979</v>
      </c>
      <c r="AH75" s="6">
        <v>51.636392472167991</v>
      </c>
      <c r="AI75" s="6">
        <f t="shared" si="186"/>
        <v>4177.0819824721684</v>
      </c>
      <c r="AJ75" s="3">
        <f t="shared" si="187"/>
        <v>45.666279101838228</v>
      </c>
      <c r="AK75" s="3">
        <f t="shared" si="188"/>
        <v>1.5996803477855985</v>
      </c>
      <c r="AL75" s="42">
        <f t="shared" si="155"/>
        <v>18.753746672907699</v>
      </c>
      <c r="AN75" s="3">
        <f t="shared" si="149"/>
        <v>77.632674473124993</v>
      </c>
      <c r="AO75" s="44"/>
      <c r="AP75" s="42">
        <f t="shared" si="156"/>
        <v>33.75333672744565</v>
      </c>
      <c r="AQ75" s="44"/>
      <c r="AR75" s="3"/>
      <c r="AS75" s="42"/>
      <c r="AT75" s="3"/>
      <c r="AU75" s="3">
        <f t="shared" si="157"/>
        <v>52.190033259243691</v>
      </c>
      <c r="AV75" s="3"/>
      <c r="AW75" s="42">
        <f t="shared" si="158"/>
        <v>40.592248090522872</v>
      </c>
      <c r="AX75" s="3"/>
      <c r="AY75" s="3">
        <f t="shared" si="159"/>
        <v>15.628122227423082</v>
      </c>
      <c r="AZ75" s="42"/>
      <c r="BA75" s="48"/>
      <c r="BB75" s="3">
        <f t="shared" si="160"/>
        <v>54.799534922205872</v>
      </c>
      <c r="BC75" s="3"/>
      <c r="BD75" s="3"/>
    </row>
    <row r="76" spans="1:56" x14ac:dyDescent="0.25">
      <c r="A76" s="4">
        <v>2015</v>
      </c>
      <c r="B76" s="4" t="s">
        <v>18</v>
      </c>
      <c r="C76" s="4" t="s">
        <v>24</v>
      </c>
      <c r="D76" s="4" t="s">
        <v>62</v>
      </c>
      <c r="E76" t="s">
        <v>248</v>
      </c>
      <c r="F76" t="s">
        <v>64</v>
      </c>
      <c r="G76" s="4">
        <v>1</v>
      </c>
      <c r="H76" s="4" t="s">
        <v>32</v>
      </c>
      <c r="I76" s="4" t="s">
        <v>54</v>
      </c>
      <c r="J76" s="12">
        <v>8.3166305926227355E-2</v>
      </c>
      <c r="K76" s="6">
        <f t="shared" si="184"/>
        <v>284.961342785</v>
      </c>
      <c r="L76" s="7">
        <v>19.298677321</v>
      </c>
      <c r="M76" s="7">
        <v>19.109473172999998</v>
      </c>
      <c r="N76" s="7">
        <v>104.66706345600002</v>
      </c>
      <c r="O76" s="7">
        <v>18.040992135999989</v>
      </c>
      <c r="P76" s="7">
        <v>37.489494509499991</v>
      </c>
      <c r="Q76" s="7">
        <v>32.8253705626</v>
      </c>
      <c r="R76" s="7">
        <v>50.451858841899991</v>
      </c>
      <c r="S76" s="6">
        <v>3.0784127849999998</v>
      </c>
      <c r="T76" s="6">
        <v>5.1970000000000002E-2</v>
      </c>
      <c r="U76" s="6">
        <v>3498.9820359999999</v>
      </c>
      <c r="V76" s="6">
        <v>73.668384981000003</v>
      </c>
      <c r="W76" s="6">
        <v>523.24770176699997</v>
      </c>
      <c r="X76" s="6">
        <v>76.031345591499999</v>
      </c>
      <c r="Y76" s="6">
        <v>19.208845480850002</v>
      </c>
      <c r="Z76" s="6">
        <f t="shared" si="185"/>
        <v>4191.1902838203496</v>
      </c>
      <c r="AA76" s="7">
        <v>267.993295262</v>
      </c>
      <c r="AB76" s="7">
        <v>277.07532372599991</v>
      </c>
      <c r="AC76" s="7">
        <v>1529.9360537699997</v>
      </c>
      <c r="AD76" s="7">
        <v>257.05615448300028</v>
      </c>
      <c r="AE76" s="7">
        <v>693.68992344649996</v>
      </c>
      <c r="AF76" s="7">
        <v>422.42139318310001</v>
      </c>
      <c r="AG76" s="7">
        <v>700.83795612940048</v>
      </c>
      <c r="AH76" s="6">
        <v>42.180183820350003</v>
      </c>
      <c r="AI76" s="6">
        <f t="shared" si="186"/>
        <v>4191.1902838203505</v>
      </c>
      <c r="AJ76" s="3">
        <f t="shared" si="187"/>
        <v>43.65216648054534</v>
      </c>
      <c r="AK76" s="3">
        <f t="shared" si="188"/>
        <v>1.6050833474159691</v>
      </c>
      <c r="AL76" s="42">
        <f t="shared" si="155"/>
        <v>18.690618183969782</v>
      </c>
      <c r="AN76" s="3">
        <f t="shared" si="149"/>
        <v>74.208683016927083</v>
      </c>
      <c r="AO76" s="44"/>
      <c r="AP76" s="42">
        <f t="shared" si="156"/>
        <v>32.264644789968294</v>
      </c>
      <c r="AQ76" s="44"/>
      <c r="AR76" s="3"/>
      <c r="AS76" s="42"/>
      <c r="AT76" s="3"/>
      <c r="AU76" s="3">
        <f t="shared" si="157"/>
        <v>49.888190263480389</v>
      </c>
      <c r="AV76" s="3"/>
      <c r="AW76" s="42">
        <f t="shared" si="158"/>
        <v>38.801925760484743</v>
      </c>
      <c r="AX76" s="3"/>
      <c r="AY76" s="3">
        <f t="shared" si="159"/>
        <v>15.575515153308153</v>
      </c>
      <c r="AZ76" s="42"/>
      <c r="BA76" s="48"/>
      <c r="BB76" s="3">
        <f t="shared" si="160"/>
        <v>52.382599776654409</v>
      </c>
      <c r="BC76" s="3"/>
      <c r="BD76" s="3"/>
    </row>
    <row r="77" spans="1:56" x14ac:dyDescent="0.25">
      <c r="A77" s="4">
        <v>2015</v>
      </c>
      <c r="B77" s="4" t="s">
        <v>18</v>
      </c>
      <c r="C77" s="4"/>
      <c r="I77" s="4"/>
      <c r="J77" s="8"/>
      <c r="K77" s="10">
        <f>$J71*K71+$J72*K72+$J73*K73+$J74*K74+$J75*K75+$J76*K76</f>
        <v>293.29999707969796</v>
      </c>
      <c r="L77" s="6">
        <f>$J71*L71+$J72*L72+$J73*L73+$J74*L74+$J75*L75+$J76*L76</f>
        <v>19.982127817501954</v>
      </c>
      <c r="M77" s="6">
        <f t="shared" ref="M77" si="189">$J71*M71+$J72*M72+$J73*M73+$J74*M74+$J75*M75+$J76*M76</f>
        <v>19.888111794812332</v>
      </c>
      <c r="N77" s="6">
        <f t="shared" ref="N77" si="190">$J71*N71+$J72*N72+$J73*N73+$J74*N74+$J75*N75+$J76*N76</f>
        <v>108.80678998975364</v>
      </c>
      <c r="O77" s="6">
        <f t="shared" ref="O77" si="191">$J71*O71+$J72*O72+$J73*O73+$J74*O74+$J75*O75+$J76*O76</f>
        <v>18.979194079180363</v>
      </c>
      <c r="P77" s="6">
        <f t="shared" ref="P77" si="192">$J71*P71+$J72*P72+$J73*P73+$J74*P74+$J75*P75+$J76*P76</f>
        <v>37.830775114041437</v>
      </c>
      <c r="Q77" s="6">
        <f t="shared" ref="Q77" si="193">$J71*Q71+$J72*Q72+$J73*Q73+$J74*Q74+$J75*Q75+$J76*Q76</f>
        <v>34.058625303159246</v>
      </c>
      <c r="R77" s="6">
        <f t="shared" ref="R77" si="194">$J71*R71+$J72*R72+$J73*R73+$J74*R74+$J75*R75+$J76*R76</f>
        <v>50.655122466008521</v>
      </c>
      <c r="S77" s="6">
        <f t="shared" ref="S77" si="195">$J71*S71+$J72*S72+$J73*S73+$J74*S74+$J75*S75+$J76*S76</f>
        <v>3.0992505152404259</v>
      </c>
      <c r="T77" s="6">
        <f t="shared" ref="T77" si="196">$J71*T71+$J72*T72+$J73*T73+$J74*T74+$J75*T75+$J76*T76</f>
        <v>5.2248880857470217E-2</v>
      </c>
      <c r="U77" s="6">
        <f t="shared" ref="U77" si="197">$J71*U71+$J72*U72+$J73*U73+$J74*U74+$J75*U75+$J76*U76</f>
        <v>3509.2455651966948</v>
      </c>
      <c r="V77" s="6">
        <f t="shared" ref="V77" si="198">$J71*V71+$J72*V72+$J73*V73+$J74*V74+$J75*V75+$J76*V76</f>
        <v>161.26585766515652</v>
      </c>
      <c r="W77" s="6">
        <f t="shared" ref="W77" si="199">$J71*W71+$J72*W72+$J73*W73+$J74*W74+$J75*W75+$J76*W76</f>
        <v>235.1694682431127</v>
      </c>
      <c r="X77" s="6">
        <f t="shared" ref="X77" si="200">$J71*X71+$J72*X72+$J73*X73+$J74*X74+$J75*X75+$J76*X76</f>
        <v>106.71748015054318</v>
      </c>
      <c r="Y77" s="6">
        <f t="shared" ref="Y77" si="201">$J71*Y71+$J72*Y72+$J73*Y73+$J74*Y74+$J75*Y75+$J76*Y76</f>
        <v>28.406199873683672</v>
      </c>
      <c r="Z77" s="10">
        <f t="shared" ref="Z77" si="202">$J71*Z71+$J72*Z72+$J73*Z73+$J74*Z74+$J75*Z75+$J76*Z76</f>
        <v>4040.8568200100476</v>
      </c>
      <c r="AA77" s="6">
        <f t="shared" ref="AA77" si="203">$J71*AA71+$J72*AA72+$J73*AA73+$J74*AA74+$J75*AA75+$J76*AA76</f>
        <v>258.80943973701812</v>
      </c>
      <c r="AB77" s="6">
        <f t="shared" ref="AB77" si="204">$J71*AB71+$J72*AB72+$J73*AB73+$J74*AB74+$J75*AB75+$J76*AB76</f>
        <v>260.40972859991172</v>
      </c>
      <c r="AC77" s="6">
        <f t="shared" ref="AC77" si="205">$J71*AC71+$J72*AC72+$J73*AC73+$J74*AC74+$J75*AC75+$J76*AC76</f>
        <v>1441.3322592672175</v>
      </c>
      <c r="AD77" s="6">
        <f t="shared" ref="AD77" si="206">$J71*AD71+$J72*AD72+$J73*AD73+$J74*AD74+$J75*AD75+$J76*AD76</f>
        <v>244.44915767546223</v>
      </c>
      <c r="AE77" s="6">
        <f t="shared" ref="AE77" si="207">$J71*AE71+$J72*AE72+$J73*AE73+$J74*AE74+$J75*AE75+$J76*AE76</f>
        <v>689.10344904295562</v>
      </c>
      <c r="AF77" s="6">
        <f t="shared" ref="AF77" si="208">$J71*AF71+$J72*AF72+$J73*AF73+$J74*AF74+$J75*AF75+$J76*AF76</f>
        <v>406.08115375861792</v>
      </c>
      <c r="AG77" s="6">
        <f t="shared" ref="AG77" si="209">$J71*AG71+$J72*AG72+$J73*AG73+$J74*AG74+$J75*AG75+$J76*AG76</f>
        <v>698.10657575235803</v>
      </c>
      <c r="AH77" s="6">
        <f t="shared" ref="AH77" si="210">$J71*AH71+$J72*AH72+$J73*AH73+$J74*AH74+$J75*AH75+$J76*AH76</f>
        <v>42.565056176506765</v>
      </c>
      <c r="AI77" s="10">
        <f t="shared" ref="AI77" si="211">$J71*AI71+$J72*AI72+$J73*AI73+$J74*AI74+$J75*AI75+$J76*AI76</f>
        <v>4040.8568200100485</v>
      </c>
      <c r="AJ77" s="41">
        <f t="shared" si="187"/>
        <v>44.929533866375301</v>
      </c>
      <c r="AK77" s="41">
        <f t="shared" si="188"/>
        <v>1.5475107432197859</v>
      </c>
      <c r="AL77" s="43">
        <f t="shared" si="155"/>
        <v>19.38597204022075</v>
      </c>
      <c r="AN77" s="41">
        <f t="shared" si="149"/>
        <v>76.380207572838017</v>
      </c>
      <c r="AO77" s="53"/>
      <c r="AP77" s="43">
        <f t="shared" si="156"/>
        <v>33.208785901233917</v>
      </c>
      <c r="AQ77" s="53"/>
      <c r="AR77" s="41"/>
      <c r="AS77" s="43"/>
      <c r="AT77" s="41"/>
      <c r="AU77" s="41">
        <f t="shared" si="157"/>
        <v>51.348038704428916</v>
      </c>
      <c r="AV77" s="41"/>
      <c r="AW77" s="43">
        <f t="shared" si="158"/>
        <v>39.937363436778043</v>
      </c>
      <c r="AX77" s="41"/>
      <c r="AY77" s="41">
        <f t="shared" si="159"/>
        <v>16.154976700183958</v>
      </c>
      <c r="AZ77" s="43"/>
      <c r="BA77" s="54"/>
      <c r="BB77" s="41">
        <f t="shared" si="160"/>
        <v>53.915440639650356</v>
      </c>
      <c r="BC77" s="3"/>
      <c r="BD77" s="3"/>
    </row>
    <row r="78" spans="1:56" x14ac:dyDescent="0.25">
      <c r="A78" s="4">
        <v>2020</v>
      </c>
      <c r="B78" s="4" t="s">
        <v>18</v>
      </c>
      <c r="C78" s="4" t="s">
        <v>19</v>
      </c>
      <c r="D78" s="4" t="s">
        <v>63</v>
      </c>
      <c r="E78" t="s">
        <v>249</v>
      </c>
      <c r="F78" t="s">
        <v>64</v>
      </c>
      <c r="G78" s="4">
        <v>1</v>
      </c>
      <c r="H78" s="4" t="s">
        <v>32</v>
      </c>
      <c r="I78" s="4" t="s">
        <v>49</v>
      </c>
      <c r="J78" s="12">
        <v>6.3611092852727744E-2</v>
      </c>
      <c r="K78" s="6">
        <f>SUM(L78:S78)</f>
        <v>295.30757446630003</v>
      </c>
      <c r="L78" s="7">
        <v>20.130104378999999</v>
      </c>
      <c r="M78" s="7">
        <v>20.106762867</v>
      </c>
      <c r="N78" s="7">
        <v>109.969272256</v>
      </c>
      <c r="O78" s="7">
        <v>19.182312683000006</v>
      </c>
      <c r="P78" s="7">
        <v>37.904667007499967</v>
      </c>
      <c r="Q78" s="7">
        <v>34.350983687300015</v>
      </c>
      <c r="R78" s="7">
        <v>50.699127120200018</v>
      </c>
      <c r="S78" s="6">
        <v>2.9643444662999996</v>
      </c>
      <c r="T78" s="6">
        <v>5.339E-2</v>
      </c>
      <c r="U78" s="6">
        <v>3164.0578934800001</v>
      </c>
      <c r="V78" s="6">
        <v>209.22744738557998</v>
      </c>
      <c r="W78" s="6">
        <v>251.11670844106001</v>
      </c>
      <c r="X78" s="6">
        <v>144.20622641996999</v>
      </c>
      <c r="Y78" s="6">
        <v>65.965172445202995</v>
      </c>
      <c r="Z78" s="6">
        <f>SUM(T78:Y78)</f>
        <v>3834.6268381718128</v>
      </c>
      <c r="AA78" s="7">
        <v>244.27030920599998</v>
      </c>
      <c r="AB78" s="7">
        <v>239.45960214799996</v>
      </c>
      <c r="AC78" s="7">
        <v>1329.9489817760004</v>
      </c>
      <c r="AD78" s="7">
        <v>224.49057237199975</v>
      </c>
      <c r="AE78" s="7">
        <v>681.8430404174992</v>
      </c>
      <c r="AF78" s="7">
        <v>380.21464116530069</v>
      </c>
      <c r="AG78" s="7">
        <v>693.78246291519963</v>
      </c>
      <c r="AH78" s="6">
        <v>40.617228171812997</v>
      </c>
      <c r="AI78" s="6">
        <f>SUM(AA78:AH78)</f>
        <v>3834.6268381718128</v>
      </c>
      <c r="AJ78" s="3">
        <f t="shared" ref="AJ78:AJ91" si="212">K78*1000/(30*$G$103*$G$96*$G$114)</f>
        <v>40.210726370683552</v>
      </c>
      <c r="AK78" s="3">
        <f>AI78*$G$98/($G$103*$G$96*$G$114)*0.277778</f>
        <v>1.3053614875657964</v>
      </c>
      <c r="AL78" s="42">
        <f t="shared" si="155"/>
        <v>22.982139649257775</v>
      </c>
      <c r="AN78" s="3">
        <f t="shared" si="149"/>
        <v>68.358234830162033</v>
      </c>
      <c r="AO78" s="44"/>
      <c r="AP78" s="42">
        <f t="shared" si="156"/>
        <v>29.720971665287841</v>
      </c>
      <c r="AQ78" s="44"/>
      <c r="AR78" s="3"/>
      <c r="AS78" s="42"/>
      <c r="AT78" s="3"/>
      <c r="AU78" s="3">
        <f t="shared" si="157"/>
        <v>45.955115852209779</v>
      </c>
      <c r="AV78" s="3"/>
      <c r="AW78" s="42">
        <f t="shared" si="158"/>
        <v>35.74286788505205</v>
      </c>
      <c r="AX78" s="3"/>
      <c r="AY78" s="3">
        <f t="shared" si="159"/>
        <v>19.151783041048144</v>
      </c>
      <c r="AZ78" s="42"/>
      <c r="BA78" s="48"/>
      <c r="BB78" s="3">
        <f t="shared" si="160"/>
        <v>48.252871644820267</v>
      </c>
      <c r="BC78" s="3"/>
      <c r="BD78" s="3"/>
    </row>
    <row r="79" spans="1:56" x14ac:dyDescent="0.25">
      <c r="A79" s="4">
        <v>2020</v>
      </c>
      <c r="B79" s="4" t="s">
        <v>18</v>
      </c>
      <c r="C79" s="4" t="s">
        <v>27</v>
      </c>
      <c r="D79" s="4" t="s">
        <v>63</v>
      </c>
      <c r="E79" t="s">
        <v>250</v>
      </c>
      <c r="F79" t="s">
        <v>64</v>
      </c>
      <c r="G79" s="4">
        <v>1</v>
      </c>
      <c r="H79" s="4" t="s">
        <v>32</v>
      </c>
      <c r="I79" s="4" t="s">
        <v>56</v>
      </c>
      <c r="J79" s="12">
        <v>9.7665377765249708E-2</v>
      </c>
      <c r="K79" s="6">
        <f t="shared" ref="K79:K83" si="213">SUM(L79:S79)</f>
        <v>249.58237326969999</v>
      </c>
      <c r="L79" s="7">
        <v>16.806253618</v>
      </c>
      <c r="M79" s="7">
        <v>15.517671654000001</v>
      </c>
      <c r="N79" s="7">
        <v>85.570919347</v>
      </c>
      <c r="O79" s="7">
        <v>14.619512566999983</v>
      </c>
      <c r="P79" s="7">
        <v>36.244853604500008</v>
      </c>
      <c r="Q79" s="7">
        <v>28.38783465100002</v>
      </c>
      <c r="R79" s="7">
        <v>49.710574558499985</v>
      </c>
      <c r="S79" s="6">
        <v>2.7247532696999999</v>
      </c>
      <c r="T79" s="6">
        <v>5.2089999999999997E-2</v>
      </c>
      <c r="U79" s="6">
        <v>3179.7836321199998</v>
      </c>
      <c r="V79" s="6">
        <v>61.633781432019994</v>
      </c>
      <c r="W79" s="6">
        <v>909.54860752213995</v>
      </c>
      <c r="X79" s="6">
        <v>110.07692175843</v>
      </c>
      <c r="Y79" s="6">
        <v>19.284164520956999</v>
      </c>
      <c r="Z79" s="6">
        <f t="shared" ref="Z79:Z83" si="214">SUM(T79:Y79)</f>
        <v>4280.3791973535472</v>
      </c>
      <c r="AA79" s="7">
        <v>275.93254388699995</v>
      </c>
      <c r="AB79" s="7">
        <v>285.740726241</v>
      </c>
      <c r="AC79" s="7">
        <v>1576.0067682620002</v>
      </c>
      <c r="AD79" s="7">
        <v>267.9548164539994</v>
      </c>
      <c r="AE79" s="7">
        <v>697.65431550000039</v>
      </c>
      <c r="AF79" s="7">
        <v>436.55644313099992</v>
      </c>
      <c r="AG79" s="7">
        <v>703.19921652499988</v>
      </c>
      <c r="AH79" s="6">
        <v>37.334367353546995</v>
      </c>
      <c r="AI79" s="6">
        <f t="shared" ref="AI79:AI83" si="215">SUM(AA79:AH79)</f>
        <v>4280.3791973535463</v>
      </c>
      <c r="AJ79" s="3">
        <f t="shared" si="212"/>
        <v>33.984527950667207</v>
      </c>
      <c r="AK79" s="3">
        <f t="shared" ref="AK79:AK91" si="216">AI79*$G$98/($G$103*$G$96*$G$114)*0.277778</f>
        <v>1.4571019273069528</v>
      </c>
      <c r="AL79" s="42">
        <f t="shared" si="155"/>
        <v>20.588813615425412</v>
      </c>
      <c r="AN79" s="3">
        <f t="shared" si="149"/>
        <v>57.773697516134249</v>
      </c>
      <c r="AO79" s="44"/>
      <c r="AP79" s="42">
        <f t="shared" si="156"/>
        <v>25.11899892005837</v>
      </c>
      <c r="AQ79" s="44"/>
      <c r="AR79" s="3"/>
      <c r="AS79" s="42"/>
      <c r="AT79" s="3"/>
      <c r="AU79" s="3">
        <f t="shared" si="157"/>
        <v>38.839460515048238</v>
      </c>
      <c r="AV79" s="3"/>
      <c r="AW79" s="42">
        <f t="shared" si="158"/>
        <v>30.208469289481961</v>
      </c>
      <c r="AX79" s="3"/>
      <c r="AY79" s="3">
        <f t="shared" si="159"/>
        <v>17.157344679521177</v>
      </c>
      <c r="AZ79" s="42"/>
      <c r="BA79" s="48"/>
      <c r="BB79" s="3">
        <f t="shared" si="160"/>
        <v>40.781433540800649</v>
      </c>
      <c r="BC79" s="3"/>
      <c r="BD79" s="3"/>
    </row>
    <row r="80" spans="1:56" x14ac:dyDescent="0.25">
      <c r="A80" s="4">
        <v>2020</v>
      </c>
      <c r="B80" s="4" t="s">
        <v>18</v>
      </c>
      <c r="C80" s="4" t="s">
        <v>23</v>
      </c>
      <c r="D80" s="4" t="s">
        <v>62</v>
      </c>
      <c r="E80" t="s">
        <v>251</v>
      </c>
      <c r="F80" t="s">
        <v>64</v>
      </c>
      <c r="G80" s="4">
        <v>1</v>
      </c>
      <c r="H80" s="4" t="s">
        <v>32</v>
      </c>
      <c r="I80" s="4" t="s">
        <v>53</v>
      </c>
      <c r="J80" s="12">
        <v>0.40930715649976673</v>
      </c>
      <c r="K80" s="6">
        <f t="shared" si="213"/>
        <v>294.36788997679997</v>
      </c>
      <c r="L80" s="7">
        <v>20.062789054</v>
      </c>
      <c r="M80" s="7">
        <v>19.890606762000001</v>
      </c>
      <c r="N80" s="7">
        <v>108.820063382</v>
      </c>
      <c r="O80" s="7">
        <v>19.08993667899998</v>
      </c>
      <c r="P80" s="7">
        <v>37.871036064500004</v>
      </c>
      <c r="Q80" s="7">
        <v>34.185794033899981</v>
      </c>
      <c r="R80" s="7">
        <v>50.679114024600011</v>
      </c>
      <c r="S80" s="6">
        <v>3.7685499767999997</v>
      </c>
      <c r="T80" s="6">
        <v>5.246E-2</v>
      </c>
      <c r="U80" s="6">
        <v>3672.1735392800001</v>
      </c>
      <c r="V80" s="6">
        <v>188.66048093487998</v>
      </c>
      <c r="W80" s="6">
        <v>109.87865385616</v>
      </c>
      <c r="X80" s="6">
        <v>110.51737877991999</v>
      </c>
      <c r="Y80" s="6">
        <v>13.609659621208001</v>
      </c>
      <c r="Z80" s="6">
        <f t="shared" si="214"/>
        <v>4094.8921724721677</v>
      </c>
      <c r="AA80" s="7">
        <v>262.37274640499999</v>
      </c>
      <c r="AB80" s="7">
        <v>264.73750124499998</v>
      </c>
      <c r="AC80" s="7">
        <v>1464.3413484470002</v>
      </c>
      <c r="AD80" s="7">
        <v>249.34066481699944</v>
      </c>
      <c r="AE80" s="7">
        <v>690.88280024699998</v>
      </c>
      <c r="AF80" s="7">
        <v>412.41438286950006</v>
      </c>
      <c r="AG80" s="7">
        <v>699.16633596950032</v>
      </c>
      <c r="AH80" s="6">
        <v>51.636392472167991</v>
      </c>
      <c r="AI80" s="6">
        <f t="shared" si="215"/>
        <v>4094.8921724721681</v>
      </c>
      <c r="AJ80" s="3">
        <f t="shared" si="212"/>
        <v>40.082773689651411</v>
      </c>
      <c r="AK80" s="3">
        <f t="shared" si="216"/>
        <v>1.3939595072119779</v>
      </c>
      <c r="AL80" s="42">
        <f t="shared" si="155"/>
        <v>21.521428595872358</v>
      </c>
      <c r="AN80" s="3">
        <f t="shared" si="149"/>
        <v>68.140715272407391</v>
      </c>
      <c r="AO80" s="44"/>
      <c r="AP80" s="42">
        <f t="shared" si="156"/>
        <v>29.626397944524957</v>
      </c>
      <c r="AQ80" s="44"/>
      <c r="AR80" s="3"/>
      <c r="AS80" s="42"/>
      <c r="AT80" s="3"/>
      <c r="AU80" s="3">
        <f t="shared" si="157"/>
        <v>45.808884216744481</v>
      </c>
      <c r="AV80" s="3"/>
      <c r="AW80" s="42">
        <f t="shared" si="158"/>
        <v>35.629132168579034</v>
      </c>
      <c r="AX80" s="3"/>
      <c r="AY80" s="3">
        <f t="shared" si="159"/>
        <v>17.934523829893632</v>
      </c>
      <c r="AZ80" s="42"/>
      <c r="BA80" s="48"/>
      <c r="BB80" s="3">
        <f t="shared" si="160"/>
        <v>48.099328427581689</v>
      </c>
      <c r="BC80" s="3"/>
      <c r="BD80" s="3"/>
    </row>
    <row r="81" spans="1:56" x14ac:dyDescent="0.25">
      <c r="A81" s="4">
        <v>2020</v>
      </c>
      <c r="B81" s="4" t="s">
        <v>18</v>
      </c>
      <c r="C81" s="4" t="s">
        <v>28</v>
      </c>
      <c r="D81" s="4" t="s">
        <v>63</v>
      </c>
      <c r="E81" t="s">
        <v>252</v>
      </c>
      <c r="F81" t="s">
        <v>64</v>
      </c>
      <c r="G81" s="4">
        <v>1</v>
      </c>
      <c r="H81" s="4" t="s">
        <v>32</v>
      </c>
      <c r="I81" s="4" t="s">
        <v>57</v>
      </c>
      <c r="J81" s="12">
        <v>2.9976801670557808E-2</v>
      </c>
      <c r="K81" s="6">
        <f t="shared" si="213"/>
        <v>214.8609609403</v>
      </c>
      <c r="L81" s="7">
        <v>14.198119551</v>
      </c>
      <c r="M81" s="7">
        <v>11.892237382999999</v>
      </c>
      <c r="N81" s="7">
        <v>66.295943603000012</v>
      </c>
      <c r="O81" s="7">
        <v>11.039195375999984</v>
      </c>
      <c r="P81" s="7">
        <v>34.942426785500004</v>
      </c>
      <c r="Q81" s="7">
        <v>23.744273873899999</v>
      </c>
      <c r="R81" s="7">
        <v>48.934873427599996</v>
      </c>
      <c r="S81" s="6">
        <v>3.8138909403000003</v>
      </c>
      <c r="T81" s="6">
        <v>4.7120000000000002E-2</v>
      </c>
      <c r="U81" s="6">
        <v>3453.6130538799998</v>
      </c>
      <c r="V81" s="6">
        <v>55.459643953980006</v>
      </c>
      <c r="W81" s="6">
        <v>108.45418157986001</v>
      </c>
      <c r="X81" s="6">
        <v>71.911400040570001</v>
      </c>
      <c r="Y81" s="6">
        <v>13.231421539143</v>
      </c>
      <c r="Z81" s="6">
        <f t="shared" si="214"/>
        <v>3702.716820993553</v>
      </c>
      <c r="AA81" s="7">
        <v>231.94644988900001</v>
      </c>
      <c r="AB81" s="7">
        <v>226.39591313700001</v>
      </c>
      <c r="AC81" s="7">
        <v>1260.4941890699999</v>
      </c>
      <c r="AD81" s="7">
        <v>207.5728876310003</v>
      </c>
      <c r="AE81" s="7">
        <v>675.6893037149996</v>
      </c>
      <c r="AF81" s="7">
        <v>358.24325772519978</v>
      </c>
      <c r="AG81" s="7">
        <v>690.11716883280042</v>
      </c>
      <c r="AH81" s="6">
        <v>52.257650993553007</v>
      </c>
      <c r="AI81" s="6">
        <f t="shared" si="215"/>
        <v>3702.7168209935535</v>
      </c>
      <c r="AJ81" s="3">
        <f t="shared" si="212"/>
        <v>29.256666794703158</v>
      </c>
      <c r="AK81" s="3">
        <f t="shared" si="216"/>
        <v>1.2604574425268962</v>
      </c>
      <c r="AL81" s="42">
        <f t="shared" si="155"/>
        <v>23.800882907920826</v>
      </c>
      <c r="AN81" s="3">
        <f t="shared" si="149"/>
        <v>49.736333550995369</v>
      </c>
      <c r="AO81" s="44"/>
      <c r="AP81" s="42">
        <f t="shared" si="156"/>
        <v>21.624492848258857</v>
      </c>
      <c r="AQ81" s="44"/>
      <c r="AR81" s="3"/>
      <c r="AS81" s="42"/>
      <c r="AT81" s="3"/>
      <c r="AU81" s="3">
        <f t="shared" si="157"/>
        <v>33.436190622517898</v>
      </c>
      <c r="AV81" s="3"/>
      <c r="AW81" s="42">
        <f t="shared" si="158"/>
        <v>26.005926039736142</v>
      </c>
      <c r="AX81" s="3"/>
      <c r="AY81" s="3">
        <f t="shared" si="159"/>
        <v>19.834069089934022</v>
      </c>
      <c r="AZ81" s="42"/>
      <c r="BA81" s="48"/>
      <c r="BB81" s="3">
        <f t="shared" si="160"/>
        <v>35.108000153643786</v>
      </c>
      <c r="BC81" s="3"/>
      <c r="BD81" s="3"/>
    </row>
    <row r="82" spans="1:56" x14ac:dyDescent="0.25">
      <c r="A82" s="4">
        <v>2020</v>
      </c>
      <c r="B82" s="4" t="s">
        <v>18</v>
      </c>
      <c r="C82" s="4" t="s">
        <v>29</v>
      </c>
      <c r="D82" s="4" t="s">
        <v>63</v>
      </c>
      <c r="E82" t="s">
        <v>253</v>
      </c>
      <c r="F82" t="s">
        <v>64</v>
      </c>
      <c r="G82" s="4">
        <v>1</v>
      </c>
      <c r="H82" s="4" t="s">
        <v>32</v>
      </c>
      <c r="I82" s="4" t="s">
        <v>58</v>
      </c>
      <c r="J82" s="12">
        <v>0.17811008035514522</v>
      </c>
      <c r="K82" s="6">
        <f t="shared" si="213"/>
        <v>254.46557418950002</v>
      </c>
      <c r="L82" s="7">
        <v>17.203104457000002</v>
      </c>
      <c r="M82" s="7">
        <v>15.858414010999997</v>
      </c>
      <c r="N82" s="7">
        <v>87.382539410000007</v>
      </c>
      <c r="O82" s="7">
        <v>15.164282140999994</v>
      </c>
      <c r="P82" s="7">
        <v>36.443005320500021</v>
      </c>
      <c r="Q82" s="7">
        <v>29.094368359299949</v>
      </c>
      <c r="R82" s="7">
        <v>49.82860630120004</v>
      </c>
      <c r="S82" s="6">
        <v>3.4912541894999998</v>
      </c>
      <c r="T82" s="6">
        <v>4.9419999999999999E-2</v>
      </c>
      <c r="U82" s="6">
        <v>3411.9078942000001</v>
      </c>
      <c r="V82" s="6">
        <v>80.026912470699997</v>
      </c>
      <c r="W82" s="6">
        <v>112.2016647249</v>
      </c>
      <c r="X82" s="6">
        <v>73.065737070049991</v>
      </c>
      <c r="Y82" s="6">
        <v>28.258227680994999</v>
      </c>
      <c r="Z82" s="6">
        <f t="shared" si="214"/>
        <v>3705.5098561466452</v>
      </c>
      <c r="AA82" s="7">
        <v>234.48628949899998</v>
      </c>
      <c r="AB82" s="7">
        <v>225.54763976700002</v>
      </c>
      <c r="AC82" s="7">
        <v>1255.9847474870005</v>
      </c>
      <c r="AD82" s="7">
        <v>211.05953304799931</v>
      </c>
      <c r="AE82" s="7">
        <v>676.95719558250016</v>
      </c>
      <c r="AF82" s="7">
        <v>362.76500824150025</v>
      </c>
      <c r="AG82" s="7">
        <v>690.87253637499998</v>
      </c>
      <c r="AH82" s="6">
        <v>47.836906146645006</v>
      </c>
      <c r="AI82" s="6">
        <f t="shared" si="215"/>
        <v>3705.5098561466452</v>
      </c>
      <c r="AJ82" s="3">
        <f t="shared" si="212"/>
        <v>34.649451823188997</v>
      </c>
      <c r="AK82" s="3">
        <f t="shared" si="216"/>
        <v>1.2614082313979202</v>
      </c>
      <c r="AL82" s="42">
        <f t="shared" si="155"/>
        <v>23.782942946831213</v>
      </c>
      <c r="AN82" s="3">
        <f t="shared" si="149"/>
        <v>58.904068099421295</v>
      </c>
      <c r="AO82" s="44"/>
      <c r="AP82" s="42">
        <f t="shared" si="156"/>
        <v>25.610464391052737</v>
      </c>
      <c r="AQ82" s="44"/>
      <c r="AR82" s="3"/>
      <c r="AS82" s="42"/>
      <c r="AT82" s="3"/>
      <c r="AU82" s="3">
        <f t="shared" si="157"/>
        <v>39.599373512215998</v>
      </c>
      <c r="AV82" s="3"/>
      <c r="AW82" s="42">
        <f t="shared" si="158"/>
        <v>30.799512731723553</v>
      </c>
      <c r="AX82" s="3"/>
      <c r="AY82" s="3">
        <f t="shared" si="159"/>
        <v>19.819119122359343</v>
      </c>
      <c r="AZ82" s="42"/>
      <c r="BA82" s="48"/>
      <c r="BB82" s="3">
        <f t="shared" si="160"/>
        <v>41.579342187826796</v>
      </c>
      <c r="BC82" s="3"/>
      <c r="BD82" s="3"/>
    </row>
    <row r="83" spans="1:56" x14ac:dyDescent="0.25">
      <c r="A83" s="4">
        <v>2020</v>
      </c>
      <c r="B83" s="4" t="s">
        <v>18</v>
      </c>
      <c r="C83" s="4" t="s">
        <v>30</v>
      </c>
      <c r="D83" s="4" t="s">
        <v>62</v>
      </c>
      <c r="E83" t="s">
        <v>254</v>
      </c>
      <c r="F83" t="s">
        <v>64</v>
      </c>
      <c r="G83" s="4">
        <v>1</v>
      </c>
      <c r="H83" s="4" t="s">
        <v>32</v>
      </c>
      <c r="I83" s="4" t="s">
        <v>59</v>
      </c>
      <c r="J83" s="12">
        <v>0.22132949085655271</v>
      </c>
      <c r="K83" s="6">
        <f t="shared" si="213"/>
        <v>248.48379460825001</v>
      </c>
      <c r="L83" s="7">
        <v>16.766713964000001</v>
      </c>
      <c r="M83" s="7">
        <v>15.258113071999999</v>
      </c>
      <c r="N83" s="7">
        <v>84.190978854999997</v>
      </c>
      <c r="O83" s="7">
        <v>14.565232597999998</v>
      </c>
      <c r="P83" s="7">
        <v>36.225096372499991</v>
      </c>
      <c r="Q83" s="7">
        <v>28.317414991200025</v>
      </c>
      <c r="R83" s="7">
        <v>49.698820147299983</v>
      </c>
      <c r="S83" s="6">
        <v>3.4614246082499998</v>
      </c>
      <c r="T83" s="6">
        <v>4.9000000000000002E-2</v>
      </c>
      <c r="U83" s="6">
        <v>3039.1741117000001</v>
      </c>
      <c r="V83" s="6">
        <v>301.79799048445</v>
      </c>
      <c r="W83" s="6">
        <v>108.31320569615001</v>
      </c>
      <c r="X83" s="6">
        <v>90.920241240675011</v>
      </c>
      <c r="Y83" s="6">
        <v>15.9570843139325</v>
      </c>
      <c r="Z83" s="6">
        <f t="shared" si="214"/>
        <v>3556.2116334352077</v>
      </c>
      <c r="AA83" s="7">
        <v>224.18184673500002</v>
      </c>
      <c r="AB83" s="7">
        <v>210.05143081499997</v>
      </c>
      <c r="AC83" s="7">
        <v>1173.5977944030003</v>
      </c>
      <c r="AD83" s="7">
        <v>196.91419820299978</v>
      </c>
      <c r="AE83" s="7">
        <v>671.81140807149995</v>
      </c>
      <c r="AF83" s="7">
        <v>344.41891400149962</v>
      </c>
      <c r="AG83" s="7">
        <v>687.80785777100027</v>
      </c>
      <c r="AH83" s="6">
        <v>47.428183435207501</v>
      </c>
      <c r="AI83" s="6">
        <f t="shared" si="215"/>
        <v>3556.2116334352072</v>
      </c>
      <c r="AJ83" s="3">
        <f t="shared" si="212"/>
        <v>33.834939352975219</v>
      </c>
      <c r="AK83" s="3">
        <f t="shared" si="216"/>
        <v>1.2105849940102513</v>
      </c>
      <c r="AL83" s="42">
        <f t="shared" si="155"/>
        <v>24.7814074587364</v>
      </c>
      <c r="AN83" s="3">
        <f t="shared" si="149"/>
        <v>57.51939690005787</v>
      </c>
      <c r="AO83" s="44"/>
      <c r="AP83" s="42">
        <f t="shared" si="156"/>
        <v>25.00843343480777</v>
      </c>
      <c r="AQ83" s="44"/>
      <c r="AR83" s="3"/>
      <c r="AS83" s="42"/>
      <c r="AT83" s="3"/>
      <c r="AU83" s="3">
        <f t="shared" si="157"/>
        <v>38.668502117685968</v>
      </c>
      <c r="AV83" s="3"/>
      <c r="AW83" s="42">
        <f t="shared" si="158"/>
        <v>30.075501647089084</v>
      </c>
      <c r="AX83" s="3"/>
      <c r="AY83" s="3">
        <f t="shared" si="159"/>
        <v>20.651172882280335</v>
      </c>
      <c r="AZ83" s="42"/>
      <c r="BA83" s="48"/>
      <c r="BB83" s="3">
        <f t="shared" si="160"/>
        <v>40.601927223570264</v>
      </c>
      <c r="BC83" s="3"/>
      <c r="BD83" s="3"/>
    </row>
    <row r="84" spans="1:56" x14ac:dyDescent="0.25">
      <c r="A84" s="4">
        <v>2020</v>
      </c>
      <c r="B84" s="4" t="s">
        <v>18</v>
      </c>
      <c r="C84" s="4"/>
      <c r="I84" s="4"/>
      <c r="J84" s="4"/>
      <c r="K84" s="10">
        <f>$J78*K78+$J79*K79+$J80*K80+$J81*K81+$J82*K82+$J83*K83</f>
        <v>270.40779834577364</v>
      </c>
      <c r="L84" s="6">
        <f>$J78*L78+$J79*L79+$J80*L80+$J81*L81+$J82*L82+$J83*L83</f>
        <v>18.334358982414617</v>
      </c>
      <c r="M84" s="6">
        <f t="shared" ref="M84" si="217">$J78*M78+$J79*M79+$J80*M80+$J81*M81+$J82*M82+$J83*M83</f>
        <v>17.494025151546012</v>
      </c>
      <c r="N84" s="6">
        <f t="shared" ref="N84" si="218">$J78*N78+$J79*N79+$J80*N80+$J81*N81+$J82*N82+$J83*N83</f>
        <v>96.078410418771909</v>
      </c>
      <c r="O84" s="6">
        <f t="shared" ref="O84" si="219">$J78*O78+$J79*O79+$J80*O80+$J81*O81+$J82*O82+$J83*O83</f>
        <v>16.717222586823418</v>
      </c>
      <c r="P84" s="6">
        <f t="shared" ref="P84" si="220">$J78*P78+$J79*P79+$J80*P80+$J81*P81+$J82*P82+$J83*P83</f>
        <v>37.007921637165225</v>
      </c>
      <c r="Q84" s="6">
        <f t="shared" ref="Q84" si="221">$J78*Q78+$J79*Q79+$J80*Q80+$J81*Q81+$J82*Q82+$J83*Q83</f>
        <v>31.11135907420746</v>
      </c>
      <c r="R84" s="6">
        <f t="shared" ref="R84" si="222">$J78*R78+$J79*R79+$J80*R80+$J81*R81+$J82*R82+$J83*R83</f>
        <v>50.165055608493219</v>
      </c>
      <c r="S84" s="6">
        <f t="shared" ref="S84" si="223">$J78*S78+$J79*S79+$J80*S80+$J81*S81+$J82*S82+$J83*S83</f>
        <v>3.4994448863518062</v>
      </c>
      <c r="T84" s="6">
        <f t="shared" ref="T84" si="224">$J78*T78+$J79*T79+$J80*T80+$J81*T81+$J82*T82+$J83*T83</f>
        <v>5.1015691323015797E-2</v>
      </c>
      <c r="U84" s="6">
        <f t="shared" ref="U84" si="225">$J78*U78+$J79*U79+$J80*U80+$J81*U81+$J82*U82+$J83*U83</f>
        <v>3398.7531811630042</v>
      </c>
      <c r="V84" s="6">
        <f t="shared" ref="V84" si="226">$J78*V78+$J79*V79+$J80*V80+$J81*V81+$J82*V82+$J83*V83</f>
        <v>179.26165625868941</v>
      </c>
      <c r="W84" s="6">
        <f t="shared" ref="W84" si="227">$J78*W78+$J79*W79+$J80*W80+$J81*W81+$J82*W82+$J83*W83</f>
        <v>196.98759965837431</v>
      </c>
      <c r="X84" s="6">
        <f t="shared" ref="X84" si="228">$J78*X78+$J79*X79+$J80*X80+$J81*X81+$J82*X82+$J83*X83</f>
        <v>100.45212263770819</v>
      </c>
      <c r="Y84" s="6">
        <f t="shared" ref="Y84" si="229">$J78*Y78+$J79*Y79+$J80*Y80+$J81*Y81+$J82*Y82+$J83*Y83</f>
        <v>20.611527251783045</v>
      </c>
      <c r="Z84" s="10">
        <f t="shared" ref="Z84" si="230">$J78*Z78+$J79*Z79+$J80*Z80+$J81*Z81+$J82*Z82+$J83*Z83</f>
        <v>3896.1171026608827</v>
      </c>
      <c r="AA84" s="6">
        <f t="shared" ref="AA84" si="231">$J78*AA78+$J79*AA79+$J80*AA80+$J81*AA81+$J82*AA82+$J83*AA83</f>
        <v>248.21383881908105</v>
      </c>
      <c r="AB84" s="6">
        <f t="shared" ref="AB84" si="232">$J78*AB78+$J79*AB79+$J80*AB80+$J81*AB81+$J82*AB82+$J83*AB83</f>
        <v>244.94772667732289</v>
      </c>
      <c r="AC84" s="6">
        <f t="shared" ref="AC84" si="233">$J78*AC78+$J79*AC79+$J80*AC80+$J81*AC81+$J82*AC82+$J83*AC83</f>
        <v>1359.1271289478959</v>
      </c>
      <c r="AD84" s="6">
        <f t="shared" ref="AD84" si="234">$J78*AD78+$J79*AD79+$J80*AD80+$J81*AD81+$J82*AD82+$J83*AD83</f>
        <v>229.90403843901709</v>
      </c>
      <c r="AE84" s="6">
        <f t="shared" ref="AE84" si="235">$J78*AE78+$J79*AE79+$J80*AE80+$J81*AE81+$J82*AE82+$J83*AE83</f>
        <v>683.81230932220751</v>
      </c>
      <c r="AF84" s="6">
        <f t="shared" ref="AF84" si="236">$J78*AF78+$J79*AF79+$J80*AF80+$J81*AF81+$J82*AF82+$J83*AF83</f>
        <v>387.20763186118666</v>
      </c>
      <c r="AG84" s="6">
        <f t="shared" ref="AG84" si="237">$J78*AG78+$J79*AG79+$J80*AG80+$J81*AG81+$J82*AG82+$J83*AG83</f>
        <v>694.95529412632504</v>
      </c>
      <c r="AH84" s="6">
        <f t="shared" ref="AH84" si="238">$J78*AH78+$J79*AH79+$J80*AH80+$J81*AH81+$J82*AH82+$J83*AH83</f>
        <v>47.949134467846548</v>
      </c>
      <c r="AI84" s="10">
        <f t="shared" ref="AI84" si="239">$J78*AI78+$J79*AI79+$J80*AI80+$J81*AI81+$J82*AI82+$J83*AI83</f>
        <v>3896.1171026608827</v>
      </c>
      <c r="AJ84" s="41">
        <f t="shared" si="212"/>
        <v>36.820233979544341</v>
      </c>
      <c r="AK84" s="41">
        <f t="shared" si="216"/>
        <v>1.3262936477241847</v>
      </c>
      <c r="AL84" s="43">
        <f t="shared" si="155"/>
        <v>22.619425231718207</v>
      </c>
      <c r="AN84" s="41">
        <f t="shared" si="149"/>
        <v>62.594397765225381</v>
      </c>
      <c r="AO84" s="53"/>
      <c r="AP84" s="43">
        <f t="shared" si="156"/>
        <v>27.214955550097994</v>
      </c>
      <c r="AQ84" s="53"/>
      <c r="AR84" s="41"/>
      <c r="AS84" s="43"/>
      <c r="AT84" s="41"/>
      <c r="AU84" s="41">
        <f t="shared" si="157"/>
        <v>42.080267405193538</v>
      </c>
      <c r="AV84" s="41"/>
      <c r="AW84" s="43">
        <f t="shared" si="158"/>
        <v>32.72909687070608</v>
      </c>
      <c r="AX84" s="41"/>
      <c r="AY84" s="41">
        <f t="shared" si="159"/>
        <v>18.849521026431841</v>
      </c>
      <c r="AZ84" s="43"/>
      <c r="BA84" s="54"/>
      <c r="BB84" s="41">
        <f t="shared" si="160"/>
        <v>44.18428077545321</v>
      </c>
      <c r="BC84" s="3"/>
      <c r="BD84" s="3"/>
    </row>
    <row r="85" spans="1:56" x14ac:dyDescent="0.25">
      <c r="A85" s="4">
        <v>2020</v>
      </c>
      <c r="B85" s="4" t="s">
        <v>47</v>
      </c>
      <c r="C85" s="4" t="s">
        <v>48</v>
      </c>
      <c r="D85" s="4" t="s">
        <v>63</v>
      </c>
      <c r="E85" t="s">
        <v>255</v>
      </c>
      <c r="F85" t="s">
        <v>64</v>
      </c>
      <c r="G85" s="4">
        <v>1</v>
      </c>
      <c r="H85" s="4" t="s">
        <v>32</v>
      </c>
      <c r="I85" s="4" t="s">
        <v>48</v>
      </c>
      <c r="J85" s="9">
        <v>1</v>
      </c>
      <c r="K85" s="10">
        <f>SUM(L85:S85)</f>
        <v>208.52081000000001</v>
      </c>
      <c r="L85" s="7">
        <v>14.098968036999999</v>
      </c>
      <c r="M85" s="7">
        <v>11.575782761000001</v>
      </c>
      <c r="N85" s="7">
        <v>64.616277489000012</v>
      </c>
      <c r="O85" s="7">
        <v>10.903092935999986</v>
      </c>
      <c r="P85" s="7">
        <v>34.879900426499972</v>
      </c>
      <c r="Q85" s="7">
        <v>23.541395397200006</v>
      </c>
      <c r="R85" s="7">
        <v>48.905392953300037</v>
      </c>
      <c r="S85" s="70"/>
      <c r="T85" s="7">
        <v>4.8930000000000001E-2</v>
      </c>
      <c r="U85" s="7">
        <v>2732.0732200000002</v>
      </c>
      <c r="V85" s="7">
        <v>117.90004999999999</v>
      </c>
      <c r="W85" s="7">
        <v>708.20600999999999</v>
      </c>
      <c r="X85" s="7">
        <v>95.146420000000006</v>
      </c>
      <c r="Y85" s="7">
        <v>94.817459999999997</v>
      </c>
      <c r="Z85" s="10">
        <f>SUM(T85:Y85)</f>
        <v>3748.1920900000005</v>
      </c>
      <c r="AA85" s="7">
        <v>240.61605899099999</v>
      </c>
      <c r="AB85" s="7">
        <v>235.09313122299997</v>
      </c>
      <c r="AC85" s="7">
        <v>1306.7427881459998</v>
      </c>
      <c r="AD85" s="7">
        <v>219.47415188000036</v>
      </c>
      <c r="AE85" s="7">
        <v>679.97774439899945</v>
      </c>
      <c r="AF85" s="7">
        <v>373.59259968200058</v>
      </c>
      <c r="AG85" s="7">
        <v>692.69561567900018</v>
      </c>
      <c r="AH85" s="6"/>
      <c r="AI85" s="10">
        <f t="shared" ref="AI85:AI91" si="240">SUM(AA85:AH85)</f>
        <v>3748.1920900000005</v>
      </c>
      <c r="AJ85" s="41">
        <f t="shared" si="212"/>
        <v>28.393356481481479</v>
      </c>
      <c r="AK85" s="41">
        <f t="shared" si="216"/>
        <v>1.2759378705588482</v>
      </c>
      <c r="AL85" s="43">
        <f t="shared" si="155"/>
        <v>23.512116610239254</v>
      </c>
      <c r="AN85" s="41">
        <f t="shared" si="149"/>
        <v>48.268706018518522</v>
      </c>
      <c r="AO85" s="53"/>
      <c r="AP85" s="43">
        <f t="shared" si="156"/>
        <v>20.986393921095008</v>
      </c>
      <c r="AQ85" s="53"/>
      <c r="AR85" s="41"/>
      <c r="AS85" s="43"/>
      <c r="AT85" s="41"/>
      <c r="AU85" s="41">
        <f t="shared" si="157"/>
        <v>32.449550264550268</v>
      </c>
      <c r="AV85" s="41"/>
      <c r="AW85" s="43">
        <f t="shared" si="158"/>
        <v>25.238539094650207</v>
      </c>
      <c r="AX85" s="41"/>
      <c r="AY85" s="41">
        <f t="shared" si="159"/>
        <v>19.593430508532713</v>
      </c>
      <c r="AZ85" s="43"/>
      <c r="BA85" s="54"/>
      <c r="BB85" s="41">
        <f t="shared" si="160"/>
        <v>34.072027777777777</v>
      </c>
      <c r="BC85" s="3"/>
      <c r="BD85" s="3"/>
    </row>
    <row r="86" spans="1:56" x14ac:dyDescent="0.25">
      <c r="A86" s="4">
        <v>2025</v>
      </c>
      <c r="B86" s="4" t="s">
        <v>47</v>
      </c>
      <c r="C86" s="4" t="s">
        <v>48</v>
      </c>
      <c r="D86" s="4" t="s">
        <v>63</v>
      </c>
      <c r="E86" t="s">
        <v>256</v>
      </c>
      <c r="F86" t="s">
        <v>64</v>
      </c>
      <c r="G86" s="4">
        <v>1</v>
      </c>
      <c r="H86" s="4" t="s">
        <v>32</v>
      </c>
      <c r="I86" s="4" t="s">
        <v>48</v>
      </c>
      <c r="J86" s="9">
        <v>1</v>
      </c>
      <c r="K86" s="6">
        <f t="shared" ref="K86:K91" si="241">SUM(L86:S86)</f>
        <v>196.11123000000001</v>
      </c>
      <c r="L86" s="7">
        <v>13.20805871</v>
      </c>
      <c r="M86" s="7">
        <v>10.30933783</v>
      </c>
      <c r="N86" s="7">
        <v>57.883108959000012</v>
      </c>
      <c r="O86" s="7">
        <v>9.6800939079999822</v>
      </c>
      <c r="P86" s="7">
        <v>34.434997794500006</v>
      </c>
      <c r="Q86" s="7">
        <v>21.955207567499983</v>
      </c>
      <c r="R86" s="7">
        <v>48.640425231000023</v>
      </c>
      <c r="S86" s="6"/>
      <c r="T86" s="7">
        <v>4.8840000000000001E-2</v>
      </c>
      <c r="U86" s="7">
        <v>2576.1116499999998</v>
      </c>
      <c r="V86" s="7">
        <v>116.44686</v>
      </c>
      <c r="W86" s="7">
        <v>642.08975999999996</v>
      </c>
      <c r="X86" s="7">
        <v>94.146780000000007</v>
      </c>
      <c r="Y86" s="7">
        <v>149.31589</v>
      </c>
      <c r="Z86" s="6">
        <f t="shared" ref="Z86:Z90" si="242">SUM(T86:Y86)</f>
        <v>3578.1597799999995</v>
      </c>
      <c r="AA86" s="7">
        <v>228.38318695500001</v>
      </c>
      <c r="AB86" s="7">
        <v>217.76094349499999</v>
      </c>
      <c r="AC86" s="7">
        <v>1214.594585629</v>
      </c>
      <c r="AD86" s="7">
        <v>202.68152124800028</v>
      </c>
      <c r="AE86" s="7">
        <v>673.86902634149988</v>
      </c>
      <c r="AF86" s="7">
        <v>351.81311696119974</v>
      </c>
      <c r="AG86" s="7">
        <v>689.05739937029966</v>
      </c>
      <c r="AH86" s="6"/>
      <c r="AI86" s="6">
        <f t="shared" si="240"/>
        <v>3578.1597799999995</v>
      </c>
      <c r="AJ86" s="3">
        <f t="shared" si="212"/>
        <v>26.703598856209151</v>
      </c>
      <c r="AK86" s="3">
        <f t="shared" si="216"/>
        <v>1.2180564551088724</v>
      </c>
      <c r="AL86" s="42">
        <f t="shared" si="155"/>
        <v>24.629400282861717</v>
      </c>
      <c r="AN86" s="3">
        <f t="shared" si="149"/>
        <v>45.396118055555554</v>
      </c>
      <c r="AO86" s="44"/>
      <c r="AP86" s="42">
        <f t="shared" si="156"/>
        <v>19.737442632850239</v>
      </c>
      <c r="AQ86" s="44"/>
      <c r="AR86" s="3">
        <f t="shared" ref="AR86:AR91" si="243">AK86/$AS$3*$AR$3</f>
        <v>2.8421317285873688</v>
      </c>
      <c r="AS86" s="42"/>
      <c r="AT86" s="3"/>
      <c r="AU86" s="3">
        <f t="shared" si="157"/>
        <v>30.518398692810461</v>
      </c>
      <c r="AV86" s="3"/>
      <c r="AW86" s="42">
        <f t="shared" si="158"/>
        <v>23.736532316630356</v>
      </c>
      <c r="AX86" s="3"/>
      <c r="AY86" s="3">
        <f t="shared" si="159"/>
        <v>20.524500235718097</v>
      </c>
      <c r="AZ86" s="42"/>
      <c r="BA86" s="48"/>
      <c r="BB86" s="3">
        <f t="shared" si="160"/>
        <v>32.044318627450984</v>
      </c>
      <c r="BC86" s="3"/>
      <c r="BD86" s="3">
        <f>AJ86*BC$63/BD$63</f>
        <v>22.888799019607845</v>
      </c>
    </row>
    <row r="87" spans="1:56" x14ac:dyDescent="0.25">
      <c r="A87" s="4">
        <v>2030</v>
      </c>
      <c r="B87" s="4" t="s">
        <v>47</v>
      </c>
      <c r="C87" s="4" t="s">
        <v>48</v>
      </c>
      <c r="D87" s="4" t="s">
        <v>63</v>
      </c>
      <c r="E87" t="s">
        <v>257</v>
      </c>
      <c r="F87" t="s">
        <v>64</v>
      </c>
      <c r="G87" s="4">
        <v>1</v>
      </c>
      <c r="H87" s="4" t="s">
        <v>32</v>
      </c>
      <c r="I87" s="4" t="s">
        <v>48</v>
      </c>
      <c r="J87" s="9">
        <v>1</v>
      </c>
      <c r="K87" s="6">
        <f t="shared" si="241"/>
        <v>193.45545000000001</v>
      </c>
      <c r="L87" s="7">
        <v>13.014305766</v>
      </c>
      <c r="M87" s="7">
        <v>10.040721818</v>
      </c>
      <c r="N87" s="7">
        <v>56.454993017</v>
      </c>
      <c r="O87" s="7">
        <v>9.4141204279999986</v>
      </c>
      <c r="P87" s="7">
        <v>34.338255376499987</v>
      </c>
      <c r="Q87" s="7">
        <v>21.610257222600026</v>
      </c>
      <c r="R87" s="7">
        <v>48.582796371900002</v>
      </c>
      <c r="S87" s="6"/>
      <c r="T87" s="7">
        <v>4.888E-2</v>
      </c>
      <c r="U87" s="7">
        <v>2545.0936299999998</v>
      </c>
      <c r="V87" s="7">
        <v>114.61763000000001</v>
      </c>
      <c r="W87" s="7">
        <v>547.12072000000001</v>
      </c>
      <c r="X87" s="7">
        <v>93.237610000000004</v>
      </c>
      <c r="Y87" s="7">
        <v>156.19871000000001</v>
      </c>
      <c r="Z87" s="6">
        <f t="shared" si="242"/>
        <v>3456.31718</v>
      </c>
      <c r="AA87" s="7">
        <v>219.58970325599998</v>
      </c>
      <c r="AB87" s="7">
        <v>205.36258001799999</v>
      </c>
      <c r="AC87" s="7">
        <v>1148.6775272140001</v>
      </c>
      <c r="AD87" s="7">
        <v>190.61029002699976</v>
      </c>
      <c r="AE87" s="7">
        <v>669.47785158450074</v>
      </c>
      <c r="AF87" s="7">
        <v>336.15710588559978</v>
      </c>
      <c r="AG87" s="7">
        <v>686.44212201489972</v>
      </c>
      <c r="AH87" s="6"/>
      <c r="AI87" s="6">
        <f t="shared" si="240"/>
        <v>3456.31718</v>
      </c>
      <c r="AJ87" s="3">
        <f t="shared" si="212"/>
        <v>26.341973039215688</v>
      </c>
      <c r="AK87" s="3">
        <f t="shared" si="216"/>
        <v>1.1765795019926963</v>
      </c>
      <c r="AL87" s="42">
        <f t="shared" si="155"/>
        <v>25.497639512834404</v>
      </c>
      <c r="AN87" s="3">
        <f t="shared" si="149"/>
        <v>44.781354166666674</v>
      </c>
      <c r="AO87" s="44"/>
      <c r="AP87" s="42">
        <f t="shared" si="156"/>
        <v>19.470153985507249</v>
      </c>
      <c r="AQ87" s="44"/>
      <c r="AR87" s="3">
        <f t="shared" si="243"/>
        <v>2.7453521713162914</v>
      </c>
      <c r="AS87" s="42"/>
      <c r="AT87" s="3"/>
      <c r="AU87" s="3">
        <f t="shared" si="157"/>
        <v>30.105112044817936</v>
      </c>
      <c r="AV87" s="3"/>
      <c r="AW87" s="42">
        <f t="shared" si="158"/>
        <v>23.415087145969505</v>
      </c>
      <c r="AX87" s="3"/>
      <c r="AY87" s="3">
        <f t="shared" si="159"/>
        <v>21.248032927362004</v>
      </c>
      <c r="AZ87" s="42"/>
      <c r="BA87" s="48"/>
      <c r="BB87" s="3">
        <f t="shared" si="160"/>
        <v>31.610367647058826</v>
      </c>
      <c r="BC87" s="3"/>
      <c r="BD87" s="3">
        <f t="shared" ref="BD87:BD91" si="244">AJ87*BC$63/BD$63</f>
        <v>22.578834033613447</v>
      </c>
    </row>
    <row r="88" spans="1:56" x14ac:dyDescent="0.25">
      <c r="A88" s="4">
        <v>2035</v>
      </c>
      <c r="B88" s="4" t="s">
        <v>47</v>
      </c>
      <c r="C88" s="4" t="s">
        <v>48</v>
      </c>
      <c r="D88" s="4" t="s">
        <v>63</v>
      </c>
      <c r="E88" t="s">
        <v>258</v>
      </c>
      <c r="F88" t="s">
        <v>64</v>
      </c>
      <c r="G88" s="4">
        <v>1</v>
      </c>
      <c r="H88" s="4" t="s">
        <v>32</v>
      </c>
      <c r="I88" s="4" t="s">
        <v>48</v>
      </c>
      <c r="J88" s="9">
        <v>1</v>
      </c>
      <c r="K88" s="10">
        <f t="shared" si="241"/>
        <v>188.73500000000001</v>
      </c>
      <c r="L88" s="7">
        <v>12.673006269</v>
      </c>
      <c r="M88" s="7">
        <v>9.5608668669999997</v>
      </c>
      <c r="N88" s="7">
        <v>53.903800669000006</v>
      </c>
      <c r="O88" s="7">
        <v>8.9455976089999858</v>
      </c>
      <c r="P88" s="7">
        <v>34.167827448500006</v>
      </c>
      <c r="Q88" s="7">
        <v>21.002600755799975</v>
      </c>
      <c r="R88" s="7">
        <v>48.481300381700038</v>
      </c>
      <c r="S88" s="6"/>
      <c r="T88" s="7">
        <v>4.8860000000000001E-2</v>
      </c>
      <c r="U88" s="7">
        <v>2493.2341999999999</v>
      </c>
      <c r="V88" s="7">
        <v>112.27901</v>
      </c>
      <c r="W88" s="7">
        <v>516.96056999999996</v>
      </c>
      <c r="X88" s="7">
        <v>92.627769999999998</v>
      </c>
      <c r="Y88" s="7">
        <v>164.21232000000001</v>
      </c>
      <c r="Z88" s="10">
        <f t="shared" si="242"/>
        <v>3379.3627300000003</v>
      </c>
      <c r="AA88" s="7">
        <v>214.00519509600002</v>
      </c>
      <c r="AB88" s="7">
        <v>197.55593277799997</v>
      </c>
      <c r="AC88" s="7">
        <v>1107.172731484</v>
      </c>
      <c r="AD88" s="7">
        <v>182.94413385699968</v>
      </c>
      <c r="AE88" s="7">
        <v>666.68915981600048</v>
      </c>
      <c r="AF88" s="7">
        <v>326.21438019089965</v>
      </c>
      <c r="AG88" s="7">
        <v>684.78119677810037</v>
      </c>
      <c r="AH88" s="6"/>
      <c r="AI88" s="10">
        <f t="shared" si="240"/>
        <v>3379.3627300000003</v>
      </c>
      <c r="AJ88" s="41">
        <f t="shared" si="212"/>
        <v>25.699210239651418</v>
      </c>
      <c r="AK88" s="41">
        <f t="shared" si="216"/>
        <v>1.1503831132523779</v>
      </c>
      <c r="AL88" s="43">
        <f t="shared" si="155"/>
        <v>26.078268756209066</v>
      </c>
      <c r="AN88" s="41">
        <f t="shared" si="149"/>
        <v>43.688657407407412</v>
      </c>
      <c r="AO88" s="53"/>
      <c r="AP88" s="43">
        <f t="shared" si="156"/>
        <v>18.995068438003223</v>
      </c>
      <c r="AQ88" s="53"/>
      <c r="AR88" s="41">
        <f t="shared" si="243"/>
        <v>2.6842272642555485</v>
      </c>
      <c r="AS88" s="43"/>
      <c r="AT88" s="41"/>
      <c r="AU88" s="41">
        <f t="shared" si="157"/>
        <v>29.37052598817305</v>
      </c>
      <c r="AV88" s="41"/>
      <c r="AW88" s="43">
        <f t="shared" si="158"/>
        <v>22.843742435245705</v>
      </c>
      <c r="AX88" s="41"/>
      <c r="AY88" s="41">
        <f t="shared" si="159"/>
        <v>21.73189063017422</v>
      </c>
      <c r="AZ88" s="43"/>
      <c r="BA88" s="54"/>
      <c r="BB88" s="41">
        <f t="shared" si="160"/>
        <v>30.839052287581701</v>
      </c>
      <c r="BC88" s="41"/>
      <c r="BD88" s="41">
        <f t="shared" si="244"/>
        <v>22.027894491129786</v>
      </c>
    </row>
    <row r="89" spans="1:56" x14ac:dyDescent="0.25">
      <c r="A89" s="4">
        <v>2040</v>
      </c>
      <c r="B89" s="4" t="s">
        <v>47</v>
      </c>
      <c r="C89" s="4" t="s">
        <v>48</v>
      </c>
      <c r="D89" s="4" t="s">
        <v>62</v>
      </c>
      <c r="E89" t="s">
        <v>259</v>
      </c>
      <c r="F89" t="s">
        <v>64</v>
      </c>
      <c r="G89" s="4">
        <v>1</v>
      </c>
      <c r="H89" s="4" t="s">
        <v>32</v>
      </c>
      <c r="I89" s="4" t="s">
        <v>48</v>
      </c>
      <c r="J89" s="9">
        <v>1</v>
      </c>
      <c r="K89" s="6">
        <f t="shared" si="241"/>
        <v>186.24964</v>
      </c>
      <c r="L89" s="7">
        <v>12.493076364999999</v>
      </c>
      <c r="M89" s="7">
        <v>9.3084017750000001</v>
      </c>
      <c r="N89" s="7">
        <v>52.561542962000004</v>
      </c>
      <c r="O89" s="7">
        <v>8.6986029810000094</v>
      </c>
      <c r="P89" s="7">
        <v>34.077973722999985</v>
      </c>
      <c r="Q89" s="7">
        <v>20.682255318999992</v>
      </c>
      <c r="R89" s="7">
        <v>48.42778687500001</v>
      </c>
      <c r="S89" s="6"/>
      <c r="T89" s="7">
        <v>4.8809999999999999E-2</v>
      </c>
      <c r="U89" s="7">
        <v>2476.4509400000002</v>
      </c>
      <c r="V89" s="7">
        <v>109.71138999999999</v>
      </c>
      <c r="W89" s="7">
        <v>489.59237999999999</v>
      </c>
      <c r="X89" s="7">
        <v>91.341530000000006</v>
      </c>
      <c r="Y89" s="7">
        <v>163.10019</v>
      </c>
      <c r="Z89" s="6">
        <f t="shared" si="242"/>
        <v>3330.2452400000002</v>
      </c>
      <c r="AA89" s="7">
        <v>210.44514313899998</v>
      </c>
      <c r="AB89" s="7">
        <v>192.56980499700003</v>
      </c>
      <c r="AC89" s="7">
        <v>1080.6635133989998</v>
      </c>
      <c r="AD89" s="7">
        <v>178.05705701600007</v>
      </c>
      <c r="AE89" s="7">
        <v>664.91134497900021</v>
      </c>
      <c r="AF89" s="7">
        <v>319.87599253559983</v>
      </c>
      <c r="AG89" s="7">
        <v>683.72238393440011</v>
      </c>
      <c r="AH89" s="6"/>
      <c r="AI89" s="6">
        <f t="shared" si="240"/>
        <v>3330.2452399999997</v>
      </c>
      <c r="AJ89" s="3">
        <f t="shared" si="212"/>
        <v>25.360789760348585</v>
      </c>
      <c r="AK89" s="3">
        <f t="shared" si="216"/>
        <v>1.133662821417549</v>
      </c>
      <c r="AL89" s="42">
        <f t="shared" si="155"/>
        <v>26.462894816015531</v>
      </c>
      <c r="AN89" s="3">
        <f t="shared" si="149"/>
        <v>43.113342592592588</v>
      </c>
      <c r="AO89" s="44"/>
      <c r="AP89" s="42">
        <f t="shared" si="156"/>
        <v>18.744931561996779</v>
      </c>
      <c r="AQ89" s="44"/>
      <c r="AR89" s="3">
        <f t="shared" si="243"/>
        <v>2.6452132499742809</v>
      </c>
      <c r="AS89" s="42"/>
      <c r="AT89" s="3"/>
      <c r="AU89" s="3">
        <f t="shared" si="157"/>
        <v>28.98375972611267</v>
      </c>
      <c r="AV89" s="3"/>
      <c r="AW89" s="42">
        <f t="shared" si="158"/>
        <v>22.542924231420965</v>
      </c>
      <c r="AX89" s="3"/>
      <c r="AY89" s="3">
        <f t="shared" si="159"/>
        <v>22.05241234667961</v>
      </c>
      <c r="AZ89" s="42"/>
      <c r="BA89" s="48"/>
      <c r="BB89" s="3">
        <f t="shared" si="160"/>
        <v>30.432947712418304</v>
      </c>
      <c r="BC89" s="3"/>
      <c r="BD89" s="3">
        <f t="shared" si="244"/>
        <v>21.737819794584503</v>
      </c>
    </row>
    <row r="90" spans="1:56" x14ac:dyDescent="0.25">
      <c r="A90" s="4">
        <v>2045</v>
      </c>
      <c r="B90" s="4" t="s">
        <v>47</v>
      </c>
      <c r="C90" s="4" t="s">
        <v>48</v>
      </c>
      <c r="D90" s="4" t="s">
        <v>63</v>
      </c>
      <c r="E90" t="s">
        <v>260</v>
      </c>
      <c r="F90" t="s">
        <v>64</v>
      </c>
      <c r="G90" s="4">
        <v>1</v>
      </c>
      <c r="H90" s="4" t="s">
        <v>32</v>
      </c>
      <c r="I90" s="4" t="s">
        <v>48</v>
      </c>
      <c r="J90" s="9">
        <v>1</v>
      </c>
      <c r="K90" s="6">
        <f t="shared" si="241"/>
        <v>183.84117000000001</v>
      </c>
      <c r="L90" s="7">
        <v>12.319482020999999</v>
      </c>
      <c r="M90" s="7">
        <v>9.0631493829999989</v>
      </c>
      <c r="N90" s="7">
        <v>51.257632825000002</v>
      </c>
      <c r="O90" s="7">
        <v>8.4602946669999923</v>
      </c>
      <c r="P90" s="7">
        <v>33.991286428500004</v>
      </c>
      <c r="Q90" s="7">
        <v>20.373183015799995</v>
      </c>
      <c r="R90" s="7">
        <v>48.376141659700011</v>
      </c>
      <c r="S90" s="6"/>
      <c r="T90" s="7">
        <v>4.8770000000000001E-2</v>
      </c>
      <c r="U90" s="7">
        <v>2458.5765099999999</v>
      </c>
      <c r="V90" s="7">
        <v>106.66818000000001</v>
      </c>
      <c r="W90" s="7">
        <v>472.36644999999999</v>
      </c>
      <c r="X90" s="7">
        <v>90.297020000000003</v>
      </c>
      <c r="Y90" s="7">
        <v>159.37173999999999</v>
      </c>
      <c r="Z90" s="6">
        <f t="shared" si="242"/>
        <v>3287.3286699999999</v>
      </c>
      <c r="AA90" s="7">
        <v>207.345369616</v>
      </c>
      <c r="AB90" s="7">
        <v>188.20465451799998</v>
      </c>
      <c r="AC90" s="7">
        <v>1057.4557816880003</v>
      </c>
      <c r="AD90" s="7">
        <v>173.8018303749995</v>
      </c>
      <c r="AE90" s="7">
        <v>663.36341943700063</v>
      </c>
      <c r="AF90" s="7">
        <v>314.35714495129923</v>
      </c>
      <c r="AG90" s="7">
        <v>682.80046941470027</v>
      </c>
      <c r="AH90" s="6"/>
      <c r="AI90" s="6">
        <f t="shared" si="240"/>
        <v>3287.3286699999999</v>
      </c>
      <c r="AJ90" s="3">
        <f t="shared" si="212"/>
        <v>25.032839052287585</v>
      </c>
      <c r="AK90" s="3">
        <f t="shared" si="216"/>
        <v>1.1190534109010541</v>
      </c>
      <c r="AL90" s="42">
        <f t="shared" si="155"/>
        <v>26.808371886239286</v>
      </c>
      <c r="AN90" s="3">
        <f t="shared" si="149"/>
        <v>42.555826388888896</v>
      </c>
      <c r="AO90" s="44"/>
      <c r="AP90" s="42">
        <f t="shared" si="156"/>
        <v>18.50253321256039</v>
      </c>
      <c r="AQ90" s="44"/>
      <c r="AR90" s="3">
        <f t="shared" si="243"/>
        <v>2.6111246254357932</v>
      </c>
      <c r="AS90" s="42"/>
      <c r="AT90" s="3"/>
      <c r="AU90" s="3">
        <f t="shared" si="157"/>
        <v>28.608958916900104</v>
      </c>
      <c r="AV90" s="3"/>
      <c r="AW90" s="42">
        <f t="shared" si="158"/>
        <v>22.251412490922299</v>
      </c>
      <c r="AX90" s="3"/>
      <c r="AY90" s="3">
        <f t="shared" si="159"/>
        <v>22.340309905199405</v>
      </c>
      <c r="AZ90" s="42"/>
      <c r="BA90" s="48"/>
      <c r="BB90" s="3">
        <f t="shared" si="160"/>
        <v>30.0394068627451</v>
      </c>
      <c r="BC90" s="3"/>
      <c r="BD90" s="3">
        <f t="shared" si="244"/>
        <v>21.45671918767507</v>
      </c>
    </row>
    <row r="91" spans="1:56" x14ac:dyDescent="0.25">
      <c r="A91" s="4">
        <v>2050</v>
      </c>
      <c r="B91" s="4" t="s">
        <v>47</v>
      </c>
      <c r="C91" s="4" t="s">
        <v>48</v>
      </c>
      <c r="D91" s="4" t="s">
        <v>63</v>
      </c>
      <c r="E91" t="s">
        <v>261</v>
      </c>
      <c r="F91" t="s">
        <v>64</v>
      </c>
      <c r="G91" s="4">
        <v>1</v>
      </c>
      <c r="H91" s="4" t="s">
        <v>32</v>
      </c>
      <c r="I91" s="4" t="s">
        <v>48</v>
      </c>
      <c r="J91" s="9">
        <v>1</v>
      </c>
      <c r="K91" s="10">
        <f t="shared" si="241"/>
        <v>182.20392000000001</v>
      </c>
      <c r="L91" s="7">
        <v>12.20200058</v>
      </c>
      <c r="M91" s="7">
        <v>8.8960137599999989</v>
      </c>
      <c r="N91" s="7">
        <v>50.369041634000006</v>
      </c>
      <c r="O91" s="7">
        <v>8.2990279420000075</v>
      </c>
      <c r="P91" s="7">
        <v>33.932612898999977</v>
      </c>
      <c r="Q91" s="7">
        <v>20.164012912600001</v>
      </c>
      <c r="R91" s="7">
        <v>48.341210272400019</v>
      </c>
      <c r="S91" s="6"/>
      <c r="T91" s="7">
        <v>4.8770000000000001E-2</v>
      </c>
      <c r="U91" s="7">
        <v>2443.3075600000002</v>
      </c>
      <c r="V91" s="7">
        <v>103.70668000000001</v>
      </c>
      <c r="W91" s="7">
        <v>448.09649000000002</v>
      </c>
      <c r="X91" s="7">
        <v>89.476950000000002</v>
      </c>
      <c r="Y91" s="7">
        <v>156.92204000000001</v>
      </c>
      <c r="Z91" s="10">
        <f>SUM(T91:Y91)</f>
        <v>3241.5584899999999</v>
      </c>
      <c r="AA91" s="7">
        <v>204.06555099699997</v>
      </c>
      <c r="AB91" s="7">
        <v>183.52882122099999</v>
      </c>
      <c r="AC91" s="7">
        <v>1032.596283718</v>
      </c>
      <c r="AD91" s="7">
        <v>169.29950645700015</v>
      </c>
      <c r="AE91" s="7">
        <v>661.72558204949951</v>
      </c>
      <c r="AF91" s="7">
        <v>308.51773613609976</v>
      </c>
      <c r="AG91" s="7">
        <v>681.82500942140041</v>
      </c>
      <c r="AH91" s="6"/>
      <c r="AI91" s="10">
        <f t="shared" si="240"/>
        <v>3241.5584899999999</v>
      </c>
      <c r="AJ91" s="41">
        <f t="shared" si="212"/>
        <v>24.809901960784316</v>
      </c>
      <c r="AK91" s="41">
        <f t="shared" si="216"/>
        <v>1.1034725909745344</v>
      </c>
      <c r="AL91" s="43">
        <f t="shared" si="155"/>
        <v>27.186900921123403</v>
      </c>
      <c r="AN91" s="41">
        <f t="shared" si="149"/>
        <v>42.176833333333335</v>
      </c>
      <c r="AO91" s="53"/>
      <c r="AP91" s="43">
        <f t="shared" si="156"/>
        <v>18.337753623188409</v>
      </c>
      <c r="AQ91" s="53"/>
      <c r="AR91" s="41">
        <f t="shared" si="243"/>
        <v>2.5747693789405801</v>
      </c>
      <c r="AS91" s="43"/>
      <c r="AT91" s="41"/>
      <c r="AU91" s="41">
        <f t="shared" si="157"/>
        <v>28.354173669467794</v>
      </c>
      <c r="AV91" s="41"/>
      <c r="AW91" s="43">
        <f t="shared" si="158"/>
        <v>22.05324618736384</v>
      </c>
      <c r="AX91" s="41"/>
      <c r="AY91" s="41">
        <f t="shared" si="159"/>
        <v>22.655750767602836</v>
      </c>
      <c r="AZ91" s="43"/>
      <c r="BA91" s="54"/>
      <c r="BB91" s="41">
        <f t="shared" si="160"/>
        <v>29.77188235294118</v>
      </c>
      <c r="BC91" s="41"/>
      <c r="BD91" s="41">
        <f t="shared" si="244"/>
        <v>21.265630252100841</v>
      </c>
    </row>
    <row r="92" spans="1:56" x14ac:dyDescent="0.25">
      <c r="D92" s="4"/>
      <c r="J9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56" x14ac:dyDescent="0.25">
      <c r="F93" s="4" t="s">
        <v>100</v>
      </c>
      <c r="J93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56" x14ac:dyDescent="0.25">
      <c r="F94" s="4" t="s">
        <v>102</v>
      </c>
    </row>
    <row r="95" spans="1:56" x14ac:dyDescent="0.25">
      <c r="F95" s="16" t="s">
        <v>103</v>
      </c>
      <c r="G95" s="16">
        <v>1000</v>
      </c>
      <c r="H95" s="16" t="s">
        <v>105</v>
      </c>
      <c r="I95" s="72" t="s">
        <v>113</v>
      </c>
    </row>
    <row r="96" spans="1:56" x14ac:dyDescent="0.25">
      <c r="F96" s="16" t="s">
        <v>109</v>
      </c>
      <c r="G96" s="17">
        <v>1700</v>
      </c>
      <c r="H96" s="16" t="s">
        <v>105</v>
      </c>
      <c r="I96" s="72" t="s">
        <v>113</v>
      </c>
    </row>
    <row r="97" spans="6:11" x14ac:dyDescent="0.25">
      <c r="F97" s="16" t="s">
        <v>104</v>
      </c>
      <c r="G97" s="16">
        <v>2300</v>
      </c>
      <c r="H97" s="16" t="s">
        <v>105</v>
      </c>
      <c r="I97" s="72" t="s">
        <v>113</v>
      </c>
    </row>
    <row r="98" spans="6:11" x14ac:dyDescent="0.25">
      <c r="F98" s="16" t="s">
        <v>106</v>
      </c>
      <c r="G98" s="71">
        <v>0.3</v>
      </c>
      <c r="H98" s="16"/>
      <c r="I98" s="72" t="s">
        <v>113</v>
      </c>
      <c r="J98" s="72"/>
      <c r="K98" s="16"/>
    </row>
    <row r="99" spans="6:11" x14ac:dyDescent="0.25">
      <c r="F99" s="16"/>
      <c r="G99" s="73">
        <v>0.7</v>
      </c>
      <c r="H99" s="16"/>
      <c r="I99" s="72" t="s">
        <v>139</v>
      </c>
      <c r="J99" s="72"/>
      <c r="K99" s="16"/>
    </row>
    <row r="100" spans="6:11" x14ac:dyDescent="0.25">
      <c r="G100" s="23"/>
    </row>
    <row r="101" spans="6:11" x14ac:dyDescent="0.25">
      <c r="F101" t="s">
        <v>107</v>
      </c>
      <c r="G101" s="27">
        <v>30</v>
      </c>
      <c r="H101" t="s">
        <v>108</v>
      </c>
    </row>
    <row r="102" spans="6:11" x14ac:dyDescent="0.25">
      <c r="F102" t="s">
        <v>110</v>
      </c>
      <c r="G102" s="40">
        <v>0.75</v>
      </c>
      <c r="H102" t="s">
        <v>127</v>
      </c>
      <c r="I102" t="s">
        <v>126</v>
      </c>
    </row>
    <row r="103" spans="6:11" x14ac:dyDescent="0.25">
      <c r="G103" s="27">
        <v>0.8</v>
      </c>
      <c r="H103" t="s">
        <v>128</v>
      </c>
    </row>
    <row r="104" spans="6:11" x14ac:dyDescent="0.25">
      <c r="G104">
        <v>0.9</v>
      </c>
      <c r="H104">
        <v>0.7</v>
      </c>
      <c r="I104" t="s">
        <v>136</v>
      </c>
    </row>
    <row r="105" spans="6:11" ht="33.75" x14ac:dyDescent="0.25">
      <c r="F105" t="s">
        <v>111</v>
      </c>
      <c r="G105" s="71">
        <v>0.14000000000000001</v>
      </c>
      <c r="H105" s="16" t="s">
        <v>26</v>
      </c>
      <c r="I105" s="16">
        <v>2011</v>
      </c>
      <c r="J105" s="75" t="s">
        <v>112</v>
      </c>
    </row>
    <row r="106" spans="6:11" x14ac:dyDescent="0.25">
      <c r="G106" s="71">
        <v>0.13</v>
      </c>
      <c r="H106" s="16" t="s">
        <v>62</v>
      </c>
      <c r="I106" s="16">
        <v>2011</v>
      </c>
      <c r="J106" s="76"/>
    </row>
    <row r="107" spans="6:11" x14ac:dyDescent="0.25">
      <c r="G107" s="71">
        <v>0.11</v>
      </c>
      <c r="H107" s="16" t="s">
        <v>119</v>
      </c>
      <c r="I107" s="16"/>
      <c r="J107" s="76" t="s">
        <v>120</v>
      </c>
    </row>
    <row r="109" spans="6:11" x14ac:dyDescent="0.25">
      <c r="G109" s="29">
        <v>0.17</v>
      </c>
      <c r="H109" t="s">
        <v>26</v>
      </c>
      <c r="I109">
        <v>2015</v>
      </c>
      <c r="J109" s="1" t="s">
        <v>113</v>
      </c>
    </row>
    <row r="110" spans="6:11" x14ac:dyDescent="0.25">
      <c r="G110" s="29">
        <v>0.16</v>
      </c>
      <c r="H110" t="s">
        <v>62</v>
      </c>
      <c r="I110">
        <v>2015</v>
      </c>
      <c r="J110" s="1" t="s">
        <v>114</v>
      </c>
    </row>
    <row r="111" spans="6:11" x14ac:dyDescent="0.25">
      <c r="J111" s="1" t="s">
        <v>115</v>
      </c>
    </row>
    <row r="112" spans="6:11" ht="67.5" x14ac:dyDescent="0.25">
      <c r="G112" s="29">
        <v>0.13</v>
      </c>
      <c r="H112" t="s">
        <v>119</v>
      </c>
      <c r="I112">
        <v>2015</v>
      </c>
      <c r="J112" s="30" t="s">
        <v>123</v>
      </c>
    </row>
    <row r="113" spans="6:11" x14ac:dyDescent="0.25">
      <c r="G113" s="28">
        <v>0.20499999999999999</v>
      </c>
      <c r="H113" t="s">
        <v>26</v>
      </c>
      <c r="I113">
        <v>2020</v>
      </c>
      <c r="J113" s="1" t="s">
        <v>113</v>
      </c>
    </row>
    <row r="114" spans="6:11" x14ac:dyDescent="0.25">
      <c r="G114" s="29">
        <v>0.18</v>
      </c>
      <c r="H114" t="s">
        <v>62</v>
      </c>
      <c r="I114">
        <v>2020</v>
      </c>
      <c r="J114" s="1" t="s">
        <v>114</v>
      </c>
    </row>
    <row r="115" spans="6:11" x14ac:dyDescent="0.25">
      <c r="J115" s="1" t="s">
        <v>115</v>
      </c>
    </row>
    <row r="116" spans="6:11" ht="67.5" x14ac:dyDescent="0.25">
      <c r="G116" s="29">
        <v>0.15</v>
      </c>
      <c r="I116">
        <v>2020</v>
      </c>
      <c r="J116" s="30" t="s">
        <v>123</v>
      </c>
    </row>
    <row r="119" spans="6:11" x14ac:dyDescent="0.25">
      <c r="G119" s="39">
        <v>0.26700000000000002</v>
      </c>
      <c r="H119" s="31" t="s">
        <v>26</v>
      </c>
      <c r="I119" s="31" t="s">
        <v>116</v>
      </c>
      <c r="J119" s="32"/>
      <c r="K119" s="31" t="s">
        <v>117</v>
      </c>
    </row>
    <row r="120" spans="6:11" x14ac:dyDescent="0.25">
      <c r="G120" s="39">
        <v>0.23300000000000001</v>
      </c>
      <c r="H120" s="31" t="s">
        <v>62</v>
      </c>
      <c r="I120" s="31" t="s">
        <v>116</v>
      </c>
      <c r="J120" s="32"/>
      <c r="K120" s="31" t="s">
        <v>117</v>
      </c>
    </row>
    <row r="121" spans="6:11" x14ac:dyDescent="0.25">
      <c r="F121" s="26"/>
      <c r="I121" s="16"/>
    </row>
    <row r="122" spans="6:11" x14ac:dyDescent="0.25">
      <c r="G122" s="37" t="s">
        <v>133</v>
      </c>
      <c r="H122" s="31" t="s">
        <v>26</v>
      </c>
      <c r="I122" s="74" t="s">
        <v>134</v>
      </c>
      <c r="J122" s="32">
        <f>0.9*G119</f>
        <v>0.24030000000000001</v>
      </c>
      <c r="K122" s="31" t="s">
        <v>117</v>
      </c>
    </row>
    <row r="123" spans="6:11" x14ac:dyDescent="0.25">
      <c r="F123" s="26"/>
      <c r="G123" s="38" t="s">
        <v>118</v>
      </c>
      <c r="H123" s="31" t="s">
        <v>62</v>
      </c>
      <c r="I123" s="74" t="s">
        <v>134</v>
      </c>
      <c r="J123" s="32">
        <f>0.9*G120</f>
        <v>0.20970000000000003</v>
      </c>
      <c r="K123" s="31" t="s">
        <v>117</v>
      </c>
    </row>
    <row r="124" spans="6:11" x14ac:dyDescent="0.25">
      <c r="G124" s="31" t="s">
        <v>124</v>
      </c>
      <c r="H124" s="31" t="s">
        <v>125</v>
      </c>
      <c r="I124" s="74" t="s">
        <v>134</v>
      </c>
      <c r="J124" s="32"/>
      <c r="K124" s="31"/>
    </row>
    <row r="128" spans="6:11" x14ac:dyDescent="0.25">
      <c r="G128" s="31" t="s">
        <v>129</v>
      </c>
      <c r="H128" s="31"/>
      <c r="I128" s="31"/>
      <c r="J128" s="32"/>
      <c r="K128" s="31"/>
    </row>
    <row r="129" spans="7:11" x14ac:dyDescent="0.25">
      <c r="G129" s="33">
        <f>G113*(0.995^30)</f>
        <v>0.17637875934251276</v>
      </c>
      <c r="H129" s="74" t="s">
        <v>126</v>
      </c>
      <c r="I129" s="35" t="s">
        <v>132</v>
      </c>
      <c r="J129" s="36" t="s">
        <v>135</v>
      </c>
      <c r="K129" s="31" t="s">
        <v>26</v>
      </c>
    </row>
    <row r="130" spans="7:11" x14ac:dyDescent="0.25">
      <c r="G130" s="33">
        <f t="shared" ref="G130" si="245">G114*(0.995^30)</f>
        <v>0.15486915454464534</v>
      </c>
      <c r="H130" s="74" t="s">
        <v>126</v>
      </c>
      <c r="I130" s="35" t="s">
        <v>132</v>
      </c>
      <c r="J130" s="36" t="s">
        <v>131</v>
      </c>
      <c r="K130" s="31" t="s">
        <v>62</v>
      </c>
    </row>
    <row r="131" spans="7:11" x14ac:dyDescent="0.25">
      <c r="G131" s="33">
        <f>G116*(0.995^30)</f>
        <v>0.12905762878720445</v>
      </c>
      <c r="H131" s="74" t="s">
        <v>126</v>
      </c>
      <c r="I131" s="35" t="s">
        <v>132</v>
      </c>
      <c r="J131" s="36" t="s">
        <v>130</v>
      </c>
      <c r="K131" s="31" t="s">
        <v>125</v>
      </c>
    </row>
    <row r="132" spans="7:11" x14ac:dyDescent="0.25">
      <c r="H132" s="16"/>
    </row>
    <row r="133" spans="7:11" x14ac:dyDescent="0.25">
      <c r="H133" s="16"/>
    </row>
  </sheetData>
  <mergeCells count="5">
    <mergeCell ref="AM1:AP1"/>
    <mergeCell ref="AT1:AW1"/>
    <mergeCell ref="AQ1:AS1"/>
    <mergeCell ref="AX1:AZ1"/>
    <mergeCell ref="BA1:BD1"/>
  </mergeCells>
  <hyperlinks>
    <hyperlink ref="H129" r:id="rId1" location="bib43" xr:uid="{006B88BA-D0E9-4BFC-86CF-25184F84DD81}"/>
    <hyperlink ref="H130" r:id="rId2" location="bib43" display="https://www.sciencedirect.com/science/article/pii/S136403211500146X - bib43" xr:uid="{4259A78D-60BA-4BD9-84B0-8E89ECA41F07}"/>
    <hyperlink ref="H131" r:id="rId3" location="bib43" display="https://www.sciencedirect.com/science/article/pii/S136403211500146X - bib43" xr:uid="{A60166B4-AF91-4CCC-BA58-5B9256CD25D5}"/>
    <hyperlink ref="I122" r:id="rId4" xr:uid="{AEA382F3-8A04-4284-A8E2-F009731B7976}"/>
    <hyperlink ref="I123" r:id="rId5" xr:uid="{A0445E38-FFE9-466B-831A-85C0EF77567F}"/>
    <hyperlink ref="I124" r:id="rId6" xr:uid="{BCEBE04E-1983-43E2-81B2-DDFBC71A9502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E9A4-12D5-429C-803B-379EF2C51C2B}">
  <dimension ref="B1:AE89"/>
  <sheetViews>
    <sheetView zoomScale="70" zoomScaleNormal="70" workbookViewId="0">
      <selection activeCell="U2" sqref="U2:AD87"/>
    </sheetView>
  </sheetViews>
  <sheetFormatPr defaultRowHeight="15" x14ac:dyDescent="0.25"/>
  <cols>
    <col min="1" max="1" width="9.140625" style="64"/>
    <col min="2" max="2" width="58.140625" style="64" customWidth="1"/>
    <col min="3" max="30" width="9.140625" style="64"/>
    <col min="32" max="16384" width="9.140625" style="64"/>
  </cols>
  <sheetData>
    <row r="1" spans="2:31" s="98" customFormat="1" ht="15.75" thickBot="1" x14ac:dyDescent="0.3">
      <c r="AE1" s="99"/>
    </row>
    <row r="2" spans="2:31" ht="15.75" thickTop="1" x14ac:dyDescent="0.25">
      <c r="B2" s="89"/>
      <c r="C2" s="103" t="s">
        <v>274</v>
      </c>
      <c r="D2" s="103" t="s">
        <v>275</v>
      </c>
      <c r="E2" s="103"/>
      <c r="F2" s="103"/>
      <c r="G2" s="103"/>
      <c r="H2" s="103"/>
      <c r="I2" s="103"/>
      <c r="J2" s="103"/>
      <c r="K2" s="103"/>
      <c r="L2" s="89"/>
      <c r="M2" s="103" t="s">
        <v>271</v>
      </c>
      <c r="N2" s="103" t="s">
        <v>272</v>
      </c>
      <c r="O2" s="103"/>
      <c r="P2" s="103"/>
      <c r="Q2" s="103"/>
      <c r="R2" s="103"/>
      <c r="S2" s="103"/>
      <c r="T2" s="86"/>
      <c r="U2" s="89"/>
      <c r="V2" s="103" t="s">
        <v>271</v>
      </c>
      <c r="W2" s="103" t="s">
        <v>273</v>
      </c>
      <c r="X2" s="103"/>
      <c r="Y2" s="103"/>
      <c r="Z2" s="103"/>
      <c r="AA2" s="103"/>
      <c r="AB2" s="103"/>
      <c r="AC2" s="103"/>
      <c r="AD2" s="103"/>
      <c r="AE2" s="64"/>
    </row>
    <row r="3" spans="2:31" x14ac:dyDescent="0.25">
      <c r="B3" s="90" t="s">
        <v>186</v>
      </c>
      <c r="C3" s="104"/>
      <c r="D3" s="90" t="s">
        <v>33</v>
      </c>
      <c r="E3" s="90" t="s">
        <v>34</v>
      </c>
      <c r="F3" s="90" t="s">
        <v>35</v>
      </c>
      <c r="G3" s="90" t="s">
        <v>36</v>
      </c>
      <c r="H3" s="90" t="s">
        <v>37</v>
      </c>
      <c r="I3" s="90" t="s">
        <v>38</v>
      </c>
      <c r="J3" s="90" t="s">
        <v>39</v>
      </c>
      <c r="K3" s="90" t="s">
        <v>40</v>
      </c>
      <c r="L3" s="90" t="s">
        <v>186</v>
      </c>
      <c r="M3" s="104"/>
      <c r="N3" s="90" t="s">
        <v>41</v>
      </c>
      <c r="O3" s="90" t="s">
        <v>42</v>
      </c>
      <c r="P3" s="90" t="s">
        <v>43</v>
      </c>
      <c r="Q3" s="90" t="s">
        <v>44</v>
      </c>
      <c r="R3" s="90" t="s">
        <v>45</v>
      </c>
      <c r="S3" s="90" t="s">
        <v>46</v>
      </c>
      <c r="T3" s="90"/>
      <c r="U3" s="90" t="s">
        <v>186</v>
      </c>
      <c r="V3" s="104"/>
      <c r="W3" s="90" t="s">
        <v>33</v>
      </c>
      <c r="X3" s="90" t="s">
        <v>34</v>
      </c>
      <c r="Y3" s="90" t="s">
        <v>35</v>
      </c>
      <c r="Z3" s="90" t="s">
        <v>36</v>
      </c>
      <c r="AA3" s="90" t="s">
        <v>37</v>
      </c>
      <c r="AB3" s="90" t="s">
        <v>38</v>
      </c>
      <c r="AC3" s="90" t="s">
        <v>39</v>
      </c>
      <c r="AD3" s="90" t="s">
        <v>40</v>
      </c>
      <c r="AE3" s="64"/>
    </row>
    <row r="4" spans="2:31" x14ac:dyDescent="0.25">
      <c r="B4" s="89" t="s">
        <v>187</v>
      </c>
      <c r="C4" s="94">
        <v>395.79079446630004</v>
      </c>
      <c r="D4" s="94">
        <v>19.900874701999999</v>
      </c>
      <c r="E4" s="94">
        <v>20.784450361999998</v>
      </c>
      <c r="F4" s="94">
        <v>113.22357630199998</v>
      </c>
      <c r="G4" s="94">
        <v>109.87642057800005</v>
      </c>
      <c r="H4" s="94">
        <v>39.071338981499991</v>
      </c>
      <c r="I4" s="94">
        <v>38.566519522499959</v>
      </c>
      <c r="J4" s="94">
        <v>51.40326955200004</v>
      </c>
      <c r="K4" s="94">
        <v>2.9643444662999996</v>
      </c>
      <c r="L4" s="89" t="s">
        <v>187</v>
      </c>
      <c r="M4" s="94">
        <v>4739.3035581718132</v>
      </c>
      <c r="N4" s="94">
        <v>5.8409999999999997E-2</v>
      </c>
      <c r="O4" s="94">
        <v>4106.9685134800002</v>
      </c>
      <c r="P4" s="94">
        <v>260.01896738557997</v>
      </c>
      <c r="Q4" s="94">
        <v>213.78842844106001</v>
      </c>
      <c r="R4" s="94">
        <v>128.20138641996999</v>
      </c>
      <c r="S4" s="94">
        <v>30.267852445203001</v>
      </c>
      <c r="T4" s="94"/>
      <c r="U4" s="89" t="s">
        <v>187</v>
      </c>
      <c r="V4" s="94">
        <v>4739.3035581718132</v>
      </c>
      <c r="W4" s="94">
        <v>224.20150132300003</v>
      </c>
      <c r="X4" s="94">
        <v>223.56372481599996</v>
      </c>
      <c r="Y4" s="94">
        <v>1238.9337949229998</v>
      </c>
      <c r="Z4" s="94">
        <v>1232.667692626</v>
      </c>
      <c r="AA4" s="94">
        <v>686.23131030149989</v>
      </c>
      <c r="AB4" s="94">
        <v>396.57372658910026</v>
      </c>
      <c r="AC4" s="94">
        <v>696.51457942140041</v>
      </c>
      <c r="AD4" s="94">
        <v>40.617228171812997</v>
      </c>
      <c r="AE4" s="64"/>
    </row>
    <row r="5" spans="2:31" x14ac:dyDescent="0.25">
      <c r="B5" s="89" t="s">
        <v>188</v>
      </c>
      <c r="C5" s="94">
        <v>293.18981242550001</v>
      </c>
      <c r="D5" s="94">
        <v>14.999002041000001</v>
      </c>
      <c r="E5" s="94">
        <v>14.254108471999999</v>
      </c>
      <c r="F5" s="94">
        <v>78.742366601000001</v>
      </c>
      <c r="G5" s="94">
        <v>72.236114927000003</v>
      </c>
      <c r="H5" s="94">
        <v>33.040273738499991</v>
      </c>
      <c r="I5" s="94">
        <v>28.148309514699974</v>
      </c>
      <c r="J5" s="94">
        <v>49.748384705800049</v>
      </c>
      <c r="K5" s="94">
        <v>2.0212524254999997</v>
      </c>
      <c r="L5" s="89" t="s">
        <v>188</v>
      </c>
      <c r="M5" s="94">
        <v>4880.5133709270049</v>
      </c>
      <c r="N5" s="94">
        <v>4.9950000000000001E-2</v>
      </c>
      <c r="O5" s="94">
        <v>3585.5459698000004</v>
      </c>
      <c r="P5" s="94">
        <v>109.4443545883</v>
      </c>
      <c r="Q5" s="94">
        <v>989.1176637881</v>
      </c>
      <c r="R5" s="94">
        <v>96.217806198450006</v>
      </c>
      <c r="S5" s="94">
        <v>100.137626552155</v>
      </c>
      <c r="T5" s="94"/>
      <c r="U5" s="89" t="s">
        <v>188</v>
      </c>
      <c r="V5" s="94">
        <v>4880.513370927004</v>
      </c>
      <c r="W5" s="94">
        <v>231.18992385000001</v>
      </c>
      <c r="X5" s="94">
        <v>243.02945538</v>
      </c>
      <c r="Y5" s="94">
        <v>1345.8425188740002</v>
      </c>
      <c r="Z5" s="94">
        <v>1282.6300907999998</v>
      </c>
      <c r="AA5" s="94">
        <v>633.95120344950055</v>
      </c>
      <c r="AB5" s="94">
        <v>410.80536496769901</v>
      </c>
      <c r="AC5" s="94">
        <v>705.36976267879982</v>
      </c>
      <c r="AD5" s="94">
        <v>27.695050927005006</v>
      </c>
      <c r="AE5" s="64"/>
    </row>
    <row r="6" spans="2:31" x14ac:dyDescent="0.25">
      <c r="B6" s="89" t="s">
        <v>189</v>
      </c>
      <c r="C6" s="94">
        <v>277.02541263045003</v>
      </c>
      <c r="D6" s="94">
        <v>13.752954067999999</v>
      </c>
      <c r="E6" s="94">
        <v>12.199871677999999</v>
      </c>
      <c r="F6" s="94">
        <v>67.579745395999993</v>
      </c>
      <c r="G6" s="94">
        <v>69.834965906999997</v>
      </c>
      <c r="H6" s="94">
        <v>35.603853046500006</v>
      </c>
      <c r="I6" s="94">
        <v>26.146976315499984</v>
      </c>
      <c r="J6" s="94">
        <v>49.336213589000039</v>
      </c>
      <c r="K6" s="94">
        <v>2.57083263045</v>
      </c>
      <c r="L6" s="89" t="s">
        <v>189</v>
      </c>
      <c r="M6" s="94">
        <v>4927.6139281625292</v>
      </c>
      <c r="N6" s="94">
        <v>6.1339999999999999E-2</v>
      </c>
      <c r="O6" s="94">
        <v>3533.8488228199999</v>
      </c>
      <c r="P6" s="94">
        <v>152.37678118297001</v>
      </c>
      <c r="Q6" s="94">
        <v>1097.08717893379</v>
      </c>
      <c r="R6" s="94">
        <v>116.339052478855</v>
      </c>
      <c r="S6" s="94">
        <v>27.900752746914499</v>
      </c>
      <c r="T6" s="94"/>
      <c r="U6" s="89" t="s">
        <v>189</v>
      </c>
      <c r="V6" s="94">
        <v>4927.6139281625292</v>
      </c>
      <c r="W6" s="94">
        <v>233.49998259199998</v>
      </c>
      <c r="X6" s="94">
        <v>238.93140818800001</v>
      </c>
      <c r="Y6" s="94">
        <v>1320.6434839999997</v>
      </c>
      <c r="Z6" s="94">
        <v>1292.9380586770003</v>
      </c>
      <c r="AA6" s="94">
        <v>691.47543365699994</v>
      </c>
      <c r="AB6" s="94">
        <v>415.25926010699959</v>
      </c>
      <c r="AC6" s="94">
        <v>699.6409427790004</v>
      </c>
      <c r="AD6" s="94">
        <v>35.225358162529503</v>
      </c>
      <c r="AE6" s="64"/>
    </row>
    <row r="7" spans="2:31" x14ac:dyDescent="0.25">
      <c r="B7" s="89" t="s">
        <v>190</v>
      </c>
      <c r="C7" s="94">
        <v>290.18299700000006</v>
      </c>
      <c r="D7" s="94">
        <v>14.638328412000002</v>
      </c>
      <c r="E7" s="94">
        <v>13.121503843999999</v>
      </c>
      <c r="F7" s="94">
        <v>72.479966955999998</v>
      </c>
      <c r="G7" s="94">
        <v>75.581590641000005</v>
      </c>
      <c r="H7" s="94">
        <v>36.10324615799999</v>
      </c>
      <c r="I7" s="94">
        <v>27.928987918099978</v>
      </c>
      <c r="J7" s="94">
        <v>49.633886070900019</v>
      </c>
      <c r="K7" s="94">
        <v>0.69548699999999997</v>
      </c>
      <c r="L7" s="89" t="s">
        <v>190</v>
      </c>
      <c r="M7" s="94">
        <v>4574.7539043741008</v>
      </c>
      <c r="N7" s="94">
        <v>5.4539999999999998E-2</v>
      </c>
      <c r="O7" s="94">
        <v>3965.9993100000002</v>
      </c>
      <c r="P7" s="94">
        <v>219.8752313</v>
      </c>
      <c r="Q7" s="94">
        <v>234.23221150000001</v>
      </c>
      <c r="R7" s="94">
        <v>80.748633080000005</v>
      </c>
      <c r="S7" s="94">
        <v>73.8439784941</v>
      </c>
      <c r="T7" s="94"/>
      <c r="U7" s="89" t="s">
        <v>190</v>
      </c>
      <c r="V7" s="94">
        <v>4574.7539043740999</v>
      </c>
      <c r="W7" s="94">
        <v>218.17765180600003</v>
      </c>
      <c r="X7" s="94">
        <v>212.10760191399993</v>
      </c>
      <c r="Y7" s="94">
        <v>1178.0216047820002</v>
      </c>
      <c r="Z7" s="94">
        <v>1193.4817716979996</v>
      </c>
      <c r="AA7" s="94">
        <v>682.8341776530001</v>
      </c>
      <c r="AB7" s="94">
        <v>384.41913523030007</v>
      </c>
      <c r="AC7" s="94">
        <v>694.48923691670007</v>
      </c>
      <c r="AD7" s="94">
        <v>11.2227243741</v>
      </c>
      <c r="AE7" s="64"/>
    </row>
    <row r="8" spans="2:31" x14ac:dyDescent="0.25">
      <c r="B8" s="89" t="s">
        <v>191</v>
      </c>
      <c r="C8" s="94">
        <v>353.50448997680002</v>
      </c>
      <c r="D8" s="94">
        <v>17.728566615000002</v>
      </c>
      <c r="E8" s="94">
        <v>17.569549623999997</v>
      </c>
      <c r="F8" s="94">
        <v>96.130061574999985</v>
      </c>
      <c r="G8" s="94">
        <v>95.639828176000009</v>
      </c>
      <c r="H8" s="94">
        <v>37.846165290000016</v>
      </c>
      <c r="I8" s="94">
        <v>34.14887693999998</v>
      </c>
      <c r="J8" s="94">
        <v>50.672891780000043</v>
      </c>
      <c r="K8" s="94">
        <v>3.7685499767999997</v>
      </c>
      <c r="L8" s="89" t="s">
        <v>191</v>
      </c>
      <c r="M8" s="94">
        <v>5063.6735424721664</v>
      </c>
      <c r="N8" s="94">
        <v>5.7750000000000003E-2</v>
      </c>
      <c r="O8" s="94">
        <v>4652.0028892799992</v>
      </c>
      <c r="P8" s="94">
        <v>130.30439093487999</v>
      </c>
      <c r="Q8" s="94">
        <v>145.89539385616001</v>
      </c>
      <c r="R8" s="94">
        <v>116.86378877992</v>
      </c>
      <c r="S8" s="94">
        <v>18.549329621207999</v>
      </c>
      <c r="T8" s="94"/>
      <c r="U8" s="89" t="s">
        <v>191</v>
      </c>
      <c r="V8" s="94">
        <v>5063.6735424721664</v>
      </c>
      <c r="W8" s="94">
        <v>240.56454690500001</v>
      </c>
      <c r="X8" s="94">
        <v>246.23738669200003</v>
      </c>
      <c r="Y8" s="94">
        <v>1359.4886529689998</v>
      </c>
      <c r="Z8" s="94">
        <v>1338.7917756419999</v>
      </c>
      <c r="AA8" s="94">
        <v>695.46025128899964</v>
      </c>
      <c r="AB8" s="94">
        <v>429.47835000030045</v>
      </c>
      <c r="AC8" s="94">
        <v>702.01618650269847</v>
      </c>
      <c r="AD8" s="94">
        <v>51.636392472167991</v>
      </c>
      <c r="AE8" s="64"/>
    </row>
    <row r="9" spans="2:31" x14ac:dyDescent="0.25">
      <c r="B9" s="89" t="s">
        <v>192</v>
      </c>
      <c r="C9" s="94">
        <v>346.71775278500002</v>
      </c>
      <c r="D9" s="94">
        <v>17.326727001999998</v>
      </c>
      <c r="E9" s="94">
        <v>17.266237501999999</v>
      </c>
      <c r="F9" s="94">
        <v>94.517401449999994</v>
      </c>
      <c r="G9" s="94">
        <v>93.031638083000018</v>
      </c>
      <c r="H9" s="94">
        <v>37.619483585999973</v>
      </c>
      <c r="I9" s="94">
        <v>33.340066724600035</v>
      </c>
      <c r="J9" s="94">
        <v>50.537785652399975</v>
      </c>
      <c r="K9" s="94">
        <v>3.0784127849999998</v>
      </c>
      <c r="L9" s="89" t="s">
        <v>192</v>
      </c>
      <c r="M9" s="94">
        <v>5092.6073238203508</v>
      </c>
      <c r="N9" s="94">
        <v>5.8599999999999999E-2</v>
      </c>
      <c r="O9" s="94">
        <v>4148.9250160000001</v>
      </c>
      <c r="P9" s="94">
        <v>92.774854981000004</v>
      </c>
      <c r="Q9" s="94">
        <v>748.09213176699996</v>
      </c>
      <c r="R9" s="94">
        <v>79.124675591499994</v>
      </c>
      <c r="S9" s="94">
        <v>23.63204548085</v>
      </c>
      <c r="T9" s="94"/>
      <c r="U9" s="89" t="s">
        <v>192</v>
      </c>
      <c r="V9" s="94">
        <v>5092.6073238203498</v>
      </c>
      <c r="W9" s="94">
        <v>241.29399489499994</v>
      </c>
      <c r="X9" s="94">
        <v>251.11301065000001</v>
      </c>
      <c r="Y9" s="94">
        <v>1385.412771279</v>
      </c>
      <c r="Z9" s="94">
        <v>1343.528030787</v>
      </c>
      <c r="AA9" s="94">
        <v>695.8711895309998</v>
      </c>
      <c r="AB9" s="94">
        <v>430.94669162150012</v>
      </c>
      <c r="AC9" s="94">
        <v>702.26145123649985</v>
      </c>
      <c r="AD9" s="94">
        <v>42.180183820350003</v>
      </c>
      <c r="AE9" s="64"/>
    </row>
    <row r="10" spans="2:31" x14ac:dyDescent="0.25">
      <c r="B10" s="89" t="s">
        <v>268</v>
      </c>
      <c r="C10" s="94">
        <v>347.58052179358708</v>
      </c>
      <c r="D10" s="94">
        <v>17.424836741857192</v>
      </c>
      <c r="E10" s="94">
        <v>17.318445540666328</v>
      </c>
      <c r="F10" s="94">
        <v>94.809645465001594</v>
      </c>
      <c r="G10" s="94">
        <v>93.341200789360684</v>
      </c>
      <c r="H10" s="94">
        <v>37.475441556627374</v>
      </c>
      <c r="I10" s="94">
        <v>33.513229686262846</v>
      </c>
      <c r="J10" s="94">
        <v>50.570359091252492</v>
      </c>
      <c r="K10" s="94">
        <v>3.1273629225585449</v>
      </c>
      <c r="L10" s="89" t="s">
        <v>268</v>
      </c>
      <c r="M10" s="94">
        <v>5000.2459895128177</v>
      </c>
      <c r="N10" s="94">
        <v>5.7870411975305222E-2</v>
      </c>
      <c r="O10" s="94">
        <v>4219.0589540699584</v>
      </c>
      <c r="P10" s="94">
        <v>135.13994080459264</v>
      </c>
      <c r="Q10" s="94">
        <v>516.3606048733626</v>
      </c>
      <c r="R10" s="94">
        <v>100.66161512346446</v>
      </c>
      <c r="S10" s="94">
        <v>28.967004229465111</v>
      </c>
      <c r="T10" s="94"/>
      <c r="U10" s="89" t="s">
        <v>268</v>
      </c>
      <c r="V10" s="94">
        <v>5000.2459895128177</v>
      </c>
      <c r="W10" s="94">
        <v>237.0816344952531</v>
      </c>
      <c r="X10" s="94">
        <v>243.71592082957352</v>
      </c>
      <c r="Y10" s="94">
        <v>1346.2905922534223</v>
      </c>
      <c r="Z10" s="94">
        <v>1316.4841251222563</v>
      </c>
      <c r="AA10" s="94">
        <v>690.06362719242111</v>
      </c>
      <c r="AB10" s="94">
        <v>422.48452934073646</v>
      </c>
      <c r="AC10" s="94">
        <v>701.24228625043406</v>
      </c>
      <c r="AD10" s="94">
        <v>42.883274028720777</v>
      </c>
      <c r="AE10" s="64"/>
    </row>
    <row r="11" spans="2:31" x14ac:dyDescent="0.25">
      <c r="B11" s="89" t="s">
        <v>193</v>
      </c>
      <c r="C11" s="94">
        <v>374.15053446630003</v>
      </c>
      <c r="D11" s="94">
        <v>18.787431636000001</v>
      </c>
      <c r="E11" s="94">
        <v>19.192495321999999</v>
      </c>
      <c r="F11" s="94">
        <v>104.75922158799999</v>
      </c>
      <c r="G11" s="94">
        <v>102.64932573600001</v>
      </c>
      <c r="H11" s="94">
        <v>38.443348541999967</v>
      </c>
      <c r="I11" s="94">
        <v>36.325463169499983</v>
      </c>
      <c r="J11" s="94">
        <v>51.028904006500056</v>
      </c>
      <c r="K11" s="94">
        <v>2.9643444662999996</v>
      </c>
      <c r="L11" s="89" t="s">
        <v>193</v>
      </c>
      <c r="M11" s="94">
        <v>4650.345688171813</v>
      </c>
      <c r="N11" s="94">
        <v>5.8790000000000002E-2</v>
      </c>
      <c r="O11" s="94">
        <v>3920.8993634800004</v>
      </c>
      <c r="P11" s="94">
        <v>281.99506738558</v>
      </c>
      <c r="Q11" s="94">
        <v>255.41528844106</v>
      </c>
      <c r="R11" s="94">
        <v>139.34066641996998</v>
      </c>
      <c r="S11" s="94">
        <v>52.636512445203003</v>
      </c>
      <c r="T11" s="94"/>
      <c r="U11" s="89" t="s">
        <v>193</v>
      </c>
      <c r="V11" s="94">
        <v>4650.345688171813</v>
      </c>
      <c r="W11" s="94">
        <v>219.63631852000003</v>
      </c>
      <c r="X11" s="94">
        <v>217.00000348399996</v>
      </c>
      <c r="Y11" s="94">
        <v>1204.0347592719997</v>
      </c>
      <c r="Z11" s="94">
        <v>1203.0359919080001</v>
      </c>
      <c r="AA11" s="94">
        <v>683.65649554500033</v>
      </c>
      <c r="AB11" s="94">
        <v>387.3852057952995</v>
      </c>
      <c r="AC11" s="94">
        <v>694.97968547570053</v>
      </c>
      <c r="AD11" s="94">
        <v>40.617228171812997</v>
      </c>
      <c r="AE11" s="64"/>
    </row>
    <row r="12" spans="2:31" x14ac:dyDescent="0.25">
      <c r="B12" s="89" t="s">
        <v>194</v>
      </c>
      <c r="C12" s="94">
        <v>316.68811263045001</v>
      </c>
      <c r="D12" s="94">
        <v>15.777627588000001</v>
      </c>
      <c r="E12" s="94">
        <v>15.14408018</v>
      </c>
      <c r="F12" s="94">
        <v>83.233993732000002</v>
      </c>
      <c r="G12" s="94">
        <v>82.976732982000001</v>
      </c>
      <c r="H12" s="94">
        <v>36.745777651499964</v>
      </c>
      <c r="I12" s="94">
        <v>30.222118454999986</v>
      </c>
      <c r="J12" s="94">
        <v>50.016949411500036</v>
      </c>
      <c r="K12" s="94">
        <v>2.57083263045</v>
      </c>
      <c r="L12" s="89" t="s">
        <v>194</v>
      </c>
      <c r="M12" s="94">
        <v>4605.9984681625292</v>
      </c>
      <c r="N12" s="94">
        <v>6.4640000000000003E-2</v>
      </c>
      <c r="O12" s="94">
        <v>4063.2371328199997</v>
      </c>
      <c r="P12" s="94">
        <v>161.74489118297001</v>
      </c>
      <c r="Q12" s="94">
        <v>214.43130893379001</v>
      </c>
      <c r="R12" s="94">
        <v>135.99824247885502</v>
      </c>
      <c r="S12" s="94">
        <v>30.5222527469145</v>
      </c>
      <c r="T12" s="94"/>
      <c r="U12" s="89" t="s">
        <v>194</v>
      </c>
      <c r="V12" s="94">
        <v>4605.9984681625301</v>
      </c>
      <c r="W12" s="94">
        <v>216.86189423200008</v>
      </c>
      <c r="X12" s="94">
        <v>215.42068834999995</v>
      </c>
      <c r="Y12" s="94">
        <v>1195.6379679119996</v>
      </c>
      <c r="Z12" s="94">
        <v>1184.9433008160004</v>
      </c>
      <c r="AA12" s="94">
        <v>682.09140464700022</v>
      </c>
      <c r="AB12" s="94">
        <v>381.77100427979985</v>
      </c>
      <c r="AC12" s="94">
        <v>694.04684976320095</v>
      </c>
      <c r="AD12" s="94">
        <v>35.225358162529503</v>
      </c>
      <c r="AE12" s="64"/>
    </row>
    <row r="13" spans="2:31" x14ac:dyDescent="0.25">
      <c r="B13" s="89" t="s">
        <v>195</v>
      </c>
      <c r="C13" s="94">
        <v>307.34381326969998</v>
      </c>
      <c r="D13" s="94">
        <v>15.329667298</v>
      </c>
      <c r="E13" s="94">
        <v>14.378254146</v>
      </c>
      <c r="F13" s="94">
        <v>79.162108498000009</v>
      </c>
      <c r="G13" s="94">
        <v>80.069065230999996</v>
      </c>
      <c r="H13" s="94">
        <v>36.493132501499986</v>
      </c>
      <c r="I13" s="94">
        <v>29.320496857900025</v>
      </c>
      <c r="J13" s="94">
        <v>49.866335467599981</v>
      </c>
      <c r="K13" s="94">
        <v>2.7247532696999999</v>
      </c>
      <c r="L13" s="89" t="s">
        <v>195</v>
      </c>
      <c r="M13" s="94">
        <v>5244.6321973535478</v>
      </c>
      <c r="N13" s="94">
        <v>5.7500000000000002E-2</v>
      </c>
      <c r="O13" s="94">
        <v>3840.4030521199998</v>
      </c>
      <c r="P13" s="94">
        <v>77.070091432020007</v>
      </c>
      <c r="Q13" s="94">
        <v>1212.8553575221401</v>
      </c>
      <c r="R13" s="94">
        <v>92.53245175843</v>
      </c>
      <c r="S13" s="94">
        <v>21.713744520956997</v>
      </c>
      <c r="T13" s="94"/>
      <c r="U13" s="89" t="s">
        <v>195</v>
      </c>
      <c r="V13" s="94">
        <v>5244.6321973535478</v>
      </c>
      <c r="W13" s="94">
        <v>250.190789395</v>
      </c>
      <c r="X13" s="94">
        <v>261.29376035599995</v>
      </c>
      <c r="Y13" s="94">
        <v>1439.543004915</v>
      </c>
      <c r="Z13" s="94">
        <v>1401.2745630810002</v>
      </c>
      <c r="AA13" s="94">
        <v>700.88935796550049</v>
      </c>
      <c r="AB13" s="94">
        <v>448.85361161150013</v>
      </c>
      <c r="AC13" s="94">
        <v>705.2527426759998</v>
      </c>
      <c r="AD13" s="94">
        <v>37.334367353546995</v>
      </c>
      <c r="AE13" s="64"/>
    </row>
    <row r="14" spans="2:31" x14ac:dyDescent="0.25">
      <c r="B14" s="89" t="s">
        <v>196</v>
      </c>
      <c r="C14" s="94">
        <v>280.55107700000002</v>
      </c>
      <c r="D14" s="94">
        <v>14.138885168000002</v>
      </c>
      <c r="E14" s="94">
        <v>12.419287221999999</v>
      </c>
      <c r="F14" s="94">
        <v>68.746318079999995</v>
      </c>
      <c r="G14" s="94">
        <v>72.339823887000009</v>
      </c>
      <c r="H14" s="94">
        <v>35.821557829499994</v>
      </c>
      <c r="I14" s="94">
        <v>26.923743622099977</v>
      </c>
      <c r="J14" s="94">
        <v>49.465974191400022</v>
      </c>
      <c r="K14" s="94">
        <v>0.69548699999999997</v>
      </c>
      <c r="L14" s="89" t="s">
        <v>196</v>
      </c>
      <c r="M14" s="94">
        <v>4535.8667743741007</v>
      </c>
      <c r="N14" s="94">
        <v>5.4469999999999998E-2</v>
      </c>
      <c r="O14" s="94">
        <v>3880.7853500000001</v>
      </c>
      <c r="P14" s="94">
        <v>182.43306129999999</v>
      </c>
      <c r="Q14" s="94">
        <v>292.50922150000002</v>
      </c>
      <c r="R14" s="94">
        <v>88.241303080000009</v>
      </c>
      <c r="S14" s="94">
        <v>91.843368494099991</v>
      </c>
      <c r="T14" s="94"/>
      <c r="U14" s="89" t="s">
        <v>196</v>
      </c>
      <c r="V14" s="94">
        <v>4535.8667743740998</v>
      </c>
      <c r="W14" s="94">
        <v>216.16593181500002</v>
      </c>
      <c r="X14" s="94">
        <v>209.26484248399998</v>
      </c>
      <c r="Y14" s="94">
        <v>1162.9067778630001</v>
      </c>
      <c r="Z14" s="94">
        <v>1180.4240754309994</v>
      </c>
      <c r="AA14" s="94">
        <v>681.69952470450062</v>
      </c>
      <c r="AB14" s="94">
        <v>380.37005089159948</v>
      </c>
      <c r="AC14" s="94">
        <v>693.81284681090028</v>
      </c>
      <c r="AD14" s="94">
        <v>11.2227243741</v>
      </c>
      <c r="AE14" s="64"/>
    </row>
    <row r="15" spans="2:31" x14ac:dyDescent="0.25">
      <c r="B15" s="89" t="s">
        <v>197</v>
      </c>
      <c r="C15" s="94">
        <v>358.45843997679998</v>
      </c>
      <c r="D15" s="94">
        <v>17.984733159000001</v>
      </c>
      <c r="E15" s="94">
        <v>17.931879431999999</v>
      </c>
      <c r="F15" s="94">
        <v>98.056548743000008</v>
      </c>
      <c r="G15" s="94">
        <v>97.302583086999988</v>
      </c>
      <c r="H15" s="94">
        <v>37.990635967500026</v>
      </c>
      <c r="I15" s="94">
        <v>34.664482070299982</v>
      </c>
      <c r="J15" s="94">
        <v>50.759027541199998</v>
      </c>
      <c r="K15" s="94">
        <v>3.7685499767999997</v>
      </c>
      <c r="L15" s="89" t="s">
        <v>197</v>
      </c>
      <c r="M15" s="94">
        <v>5000.4564824721674</v>
      </c>
      <c r="N15" s="94">
        <v>5.7869999999999998E-2</v>
      </c>
      <c r="O15" s="94">
        <v>4557.4043592799999</v>
      </c>
      <c r="P15" s="94">
        <v>172.79949093488</v>
      </c>
      <c r="Q15" s="94">
        <v>145.77773385616001</v>
      </c>
      <c r="R15" s="94">
        <v>105.83856877992</v>
      </c>
      <c r="S15" s="94">
        <v>18.578459621208001</v>
      </c>
      <c r="T15" s="94"/>
      <c r="U15" s="89" t="s">
        <v>197</v>
      </c>
      <c r="V15" s="94">
        <v>5000.4564824721674</v>
      </c>
      <c r="W15" s="94">
        <v>237.30961929200001</v>
      </c>
      <c r="X15" s="94">
        <v>241.59059342799995</v>
      </c>
      <c r="Y15" s="94">
        <v>1334.7818294839999</v>
      </c>
      <c r="Z15" s="94">
        <v>1317.6647349669995</v>
      </c>
      <c r="AA15" s="94">
        <v>693.62446400250064</v>
      </c>
      <c r="AB15" s="94">
        <v>422.92702028429994</v>
      </c>
      <c r="AC15" s="94">
        <v>700.92182854219936</v>
      </c>
      <c r="AD15" s="94">
        <v>51.636392472167991</v>
      </c>
      <c r="AE15" s="64"/>
    </row>
    <row r="16" spans="2:31" x14ac:dyDescent="0.25">
      <c r="B16" s="89" t="s">
        <v>198</v>
      </c>
      <c r="C16" s="94">
        <v>341.76563278500004</v>
      </c>
      <c r="D16" s="94">
        <v>17.071133623000001</v>
      </c>
      <c r="E16" s="94">
        <v>16.903237925999996</v>
      </c>
      <c r="F16" s="94">
        <v>92.587351415000001</v>
      </c>
      <c r="G16" s="94">
        <v>91.372670117999988</v>
      </c>
      <c r="H16" s="94">
        <v>37.475330189999994</v>
      </c>
      <c r="I16" s="94">
        <v>32.825639230199982</v>
      </c>
      <c r="J16" s="94">
        <v>50.451857497800063</v>
      </c>
      <c r="K16" s="94">
        <v>3.0784127849999998</v>
      </c>
      <c r="L16" s="89" t="s">
        <v>198</v>
      </c>
      <c r="M16" s="94">
        <v>5010.4855938203491</v>
      </c>
      <c r="N16" s="94">
        <v>5.8110000000000002E-2</v>
      </c>
      <c r="O16" s="94">
        <v>4161.5179959999996</v>
      </c>
      <c r="P16" s="94">
        <v>92.369134981000002</v>
      </c>
      <c r="Q16" s="94">
        <v>652.86929176699994</v>
      </c>
      <c r="R16" s="94">
        <v>78.2254755915</v>
      </c>
      <c r="S16" s="94">
        <v>25.445585480850003</v>
      </c>
      <c r="T16" s="94"/>
      <c r="U16" s="89" t="s">
        <v>198</v>
      </c>
      <c r="V16" s="94">
        <v>5010.4855938203491</v>
      </c>
      <c r="W16" s="94">
        <v>237.06025430600002</v>
      </c>
      <c r="X16" s="94">
        <v>245.0856515159999</v>
      </c>
      <c r="Y16" s="94">
        <v>1353.3655377939997</v>
      </c>
      <c r="Z16" s="94">
        <v>1316.0474819490009</v>
      </c>
      <c r="AA16" s="94">
        <v>693.48330241799886</v>
      </c>
      <c r="AB16" s="94">
        <v>422.42519348000087</v>
      </c>
      <c r="AC16" s="94">
        <v>700.83798853699864</v>
      </c>
      <c r="AD16" s="94">
        <v>42.180183820350003</v>
      </c>
      <c r="AE16" s="64"/>
    </row>
    <row r="17" spans="2:31" x14ac:dyDescent="0.25">
      <c r="B17" s="89" t="s">
        <v>269</v>
      </c>
      <c r="C17" s="94">
        <v>352.49278570121163</v>
      </c>
      <c r="D17" s="94">
        <v>17.675697063096219</v>
      </c>
      <c r="E17" s="94">
        <v>17.591975157983679</v>
      </c>
      <c r="F17" s="94">
        <v>96.24931246228617</v>
      </c>
      <c r="G17" s="94">
        <v>95.346198418020037</v>
      </c>
      <c r="H17" s="94">
        <v>37.816326031889645</v>
      </c>
      <c r="I17" s="94">
        <v>34.058905875147858</v>
      </c>
      <c r="J17" s="94">
        <v>50.655120177547595</v>
      </c>
      <c r="K17" s="94">
        <v>3.0992505152404259</v>
      </c>
      <c r="L17" s="89" t="s">
        <v>269</v>
      </c>
      <c r="M17" s="94">
        <v>4833.2736541537261</v>
      </c>
      <c r="N17" s="94">
        <v>5.8471510466807687E-2</v>
      </c>
      <c r="O17" s="94">
        <v>4180.5501448653513</v>
      </c>
      <c r="P17" s="94">
        <v>200.23378162923689</v>
      </c>
      <c r="Q17" s="94">
        <v>299.63408670946745</v>
      </c>
      <c r="R17" s="94">
        <v>116.00639038912654</v>
      </c>
      <c r="S17" s="94">
        <v>36.790779050077255</v>
      </c>
      <c r="T17" s="94"/>
      <c r="U17" s="89" t="s">
        <v>269</v>
      </c>
      <c r="V17" s="94">
        <v>4833.2736541537261</v>
      </c>
      <c r="W17" s="94">
        <v>228.93644238699912</v>
      </c>
      <c r="X17" s="94">
        <v>230.34456083365279</v>
      </c>
      <c r="Y17" s="94">
        <v>1274.9872429950283</v>
      </c>
      <c r="Z17" s="94">
        <v>1263.3470941815938</v>
      </c>
      <c r="AA17" s="94">
        <v>688.90183047428729</v>
      </c>
      <c r="AB17" s="94">
        <v>406.08484305489884</v>
      </c>
      <c r="AC17" s="94">
        <v>698.10658405075912</v>
      </c>
      <c r="AD17" s="94">
        <v>42.565056176506765</v>
      </c>
      <c r="AE17" s="64"/>
    </row>
    <row r="18" spans="2:31" x14ac:dyDescent="0.25">
      <c r="B18" s="89" t="s">
        <v>200</v>
      </c>
      <c r="C18" s="94">
        <v>355.0573144663</v>
      </c>
      <c r="D18" s="94">
        <v>17.806593477</v>
      </c>
      <c r="E18" s="94">
        <v>17.785378422000001</v>
      </c>
      <c r="F18" s="94">
        <v>97.277634820999992</v>
      </c>
      <c r="G18" s="94">
        <v>96.282823084000015</v>
      </c>
      <c r="H18" s="94">
        <v>37.890153200999976</v>
      </c>
      <c r="I18" s="94">
        <v>34.351257112500036</v>
      </c>
      <c r="J18" s="94">
        <v>50.69912988249996</v>
      </c>
      <c r="K18" s="94">
        <v>2.9643444662999996</v>
      </c>
      <c r="L18" s="89" t="s">
        <v>200</v>
      </c>
      <c r="M18" s="94">
        <v>4580.5366981718134</v>
      </c>
      <c r="N18" s="94">
        <v>5.987E-2</v>
      </c>
      <c r="O18" s="94">
        <v>3756.65879348</v>
      </c>
      <c r="P18" s="94">
        <v>259.25464738557997</v>
      </c>
      <c r="Q18" s="94">
        <v>319.41253844105995</v>
      </c>
      <c r="R18" s="94">
        <v>162.14631641996999</v>
      </c>
      <c r="S18" s="94">
        <v>83.004532445202997</v>
      </c>
      <c r="T18" s="94"/>
      <c r="U18" s="89" t="s">
        <v>200</v>
      </c>
      <c r="V18" s="94">
        <v>4580.5366981718125</v>
      </c>
      <c r="W18" s="94">
        <v>216.07548637799999</v>
      </c>
      <c r="X18" s="94">
        <v>211.81354180999998</v>
      </c>
      <c r="Y18" s="94">
        <v>1176.4585185700003</v>
      </c>
      <c r="Z18" s="94">
        <v>1179.9231721769997</v>
      </c>
      <c r="AA18" s="94">
        <v>681.64817794499959</v>
      </c>
      <c r="AB18" s="94">
        <v>380.21811483030024</v>
      </c>
      <c r="AC18" s="94">
        <v>693.78245828970012</v>
      </c>
      <c r="AD18" s="94">
        <v>40.617228171812997</v>
      </c>
      <c r="AE18" s="64"/>
    </row>
    <row r="19" spans="2:31" x14ac:dyDescent="0.25">
      <c r="B19" s="89" t="s">
        <v>199</v>
      </c>
      <c r="C19" s="94">
        <v>298.40498326969998</v>
      </c>
      <c r="D19" s="94">
        <v>14.866397134000001</v>
      </c>
      <c r="E19" s="94">
        <v>13.726181111999999</v>
      </c>
      <c r="F19" s="94">
        <v>75.695060541999993</v>
      </c>
      <c r="G19" s="94">
        <v>77.062108987000002</v>
      </c>
      <c r="H19" s="94">
        <v>36.231847829999992</v>
      </c>
      <c r="I19" s="94">
        <v>28.388059829900016</v>
      </c>
      <c r="J19" s="94">
        <v>49.710574565099989</v>
      </c>
      <c r="K19" s="94">
        <v>2.7247532696999999</v>
      </c>
      <c r="L19" s="89" t="s">
        <v>199</v>
      </c>
      <c r="M19" s="94">
        <v>5127.1222373535475</v>
      </c>
      <c r="N19" s="94">
        <v>5.8279999999999998E-2</v>
      </c>
      <c r="O19" s="94">
        <v>3774.93051212</v>
      </c>
      <c r="P19" s="94">
        <v>77.622021432020006</v>
      </c>
      <c r="Q19" s="94">
        <v>1128.84756752214</v>
      </c>
      <c r="R19" s="94">
        <v>120.10972175843</v>
      </c>
      <c r="S19" s="94">
        <v>25.554134520957</v>
      </c>
      <c r="T19" s="94"/>
      <c r="U19" s="89" t="s">
        <v>199</v>
      </c>
      <c r="V19" s="94">
        <v>5127.1222373535475</v>
      </c>
      <c r="W19" s="94">
        <v>244.08311768099998</v>
      </c>
      <c r="X19" s="94">
        <v>252.750567504</v>
      </c>
      <c r="Y19" s="94">
        <v>1394.1192193449999</v>
      </c>
      <c r="Z19" s="94">
        <v>1361.6307829040004</v>
      </c>
      <c r="AA19" s="94">
        <v>697.44457630799934</v>
      </c>
      <c r="AB19" s="94">
        <v>436.56039075580065</v>
      </c>
      <c r="AC19" s="94">
        <v>703.19921550219988</v>
      </c>
      <c r="AD19" s="94">
        <v>37.334367353546995</v>
      </c>
      <c r="AE19" s="64"/>
    </row>
    <row r="20" spans="2:31" x14ac:dyDescent="0.25">
      <c r="B20" s="89" t="s">
        <v>201</v>
      </c>
      <c r="C20" s="94">
        <v>353.85239997679997</v>
      </c>
      <c r="D20" s="94">
        <v>17.747048002</v>
      </c>
      <c r="E20" s="94">
        <v>17.594186375999996</v>
      </c>
      <c r="F20" s="94">
        <v>96.261050273999999</v>
      </c>
      <c r="G20" s="94">
        <v>95.759797847000002</v>
      </c>
      <c r="H20" s="94">
        <v>37.856589532500038</v>
      </c>
      <c r="I20" s="94">
        <v>34.186067157099956</v>
      </c>
      <c r="J20" s="94">
        <v>50.679110811399994</v>
      </c>
      <c r="K20" s="94">
        <v>3.7685499767999997</v>
      </c>
      <c r="L20" s="89" t="s">
        <v>201</v>
      </c>
      <c r="M20" s="94">
        <v>4899.2775324721679</v>
      </c>
      <c r="N20" s="94">
        <v>5.8729999999999997E-2</v>
      </c>
      <c r="O20" s="94">
        <v>4380.3399392799993</v>
      </c>
      <c r="P20" s="94">
        <v>233.99842093487999</v>
      </c>
      <c r="Q20" s="94">
        <v>145.59638385616</v>
      </c>
      <c r="R20" s="94">
        <v>120.70869877992</v>
      </c>
      <c r="S20" s="94">
        <v>18.575359621208001</v>
      </c>
      <c r="T20" s="94"/>
      <c r="U20" s="89" t="s">
        <v>201</v>
      </c>
      <c r="V20" s="94">
        <v>4899.277532472167</v>
      </c>
      <c r="W20" s="94">
        <v>232.08845551499999</v>
      </c>
      <c r="X20" s="94">
        <v>234.17263714599997</v>
      </c>
      <c r="Y20" s="94">
        <v>1295.3408662510001</v>
      </c>
      <c r="Z20" s="94">
        <v>1283.7750463510004</v>
      </c>
      <c r="AA20" s="94">
        <v>690.67967054999917</v>
      </c>
      <c r="AB20" s="94">
        <v>412.41811992649991</v>
      </c>
      <c r="AC20" s="94">
        <v>699.1663442604995</v>
      </c>
      <c r="AD20" s="94">
        <v>51.636392472167991</v>
      </c>
      <c r="AE20" s="64"/>
    </row>
    <row r="21" spans="2:31" x14ac:dyDescent="0.25">
      <c r="B21" s="89" t="s">
        <v>202</v>
      </c>
      <c r="C21" s="94">
        <v>255.23427094030001</v>
      </c>
      <c r="D21" s="94">
        <v>12.559306113000002</v>
      </c>
      <c r="E21" s="94">
        <v>10.519370030000001</v>
      </c>
      <c r="F21" s="94">
        <v>58.644581041000002</v>
      </c>
      <c r="G21" s="94">
        <v>62.087177519999983</v>
      </c>
      <c r="H21" s="94">
        <v>34.930616911499982</v>
      </c>
      <c r="I21" s="94">
        <v>23.744451336400033</v>
      </c>
      <c r="J21" s="94">
        <v>48.934877048099992</v>
      </c>
      <c r="K21" s="94">
        <v>3.8138909403000003</v>
      </c>
      <c r="L21" s="89" t="s">
        <v>202</v>
      </c>
      <c r="M21" s="94">
        <v>4405.652970993553</v>
      </c>
      <c r="N21" s="94">
        <v>5.2159999999999998E-2</v>
      </c>
      <c r="O21" s="94">
        <v>4100.49175388</v>
      </c>
      <c r="P21" s="94">
        <v>70.014933953980005</v>
      </c>
      <c r="Q21" s="94">
        <v>143.82884157986001</v>
      </c>
      <c r="R21" s="94">
        <v>73.157390040570007</v>
      </c>
      <c r="S21" s="94">
        <v>18.107891539143001</v>
      </c>
      <c r="T21" s="94"/>
      <c r="U21" s="89" t="s">
        <v>202</v>
      </c>
      <c r="V21" s="94">
        <v>4405.652970993553</v>
      </c>
      <c r="W21" s="94">
        <v>205.17410460700003</v>
      </c>
      <c r="X21" s="94">
        <v>200.25813536999996</v>
      </c>
      <c r="Y21" s="94">
        <v>1115.0195379829997</v>
      </c>
      <c r="Z21" s="94">
        <v>1109.0806261710002</v>
      </c>
      <c r="AA21" s="94">
        <v>675.49923273750028</v>
      </c>
      <c r="AB21" s="94">
        <v>358.24651497159994</v>
      </c>
      <c r="AC21" s="94">
        <v>690.11716815989939</v>
      </c>
      <c r="AD21" s="94">
        <v>52.257650993553007</v>
      </c>
      <c r="AE21" s="64"/>
    </row>
    <row r="22" spans="2:31" x14ac:dyDescent="0.25">
      <c r="B22" s="89" t="s">
        <v>203</v>
      </c>
      <c r="C22" s="94">
        <v>304.72749418950002</v>
      </c>
      <c r="D22" s="94">
        <v>15.217441591000002</v>
      </c>
      <c r="E22" s="94">
        <v>14.027586835999996</v>
      </c>
      <c r="F22" s="94">
        <v>77.297597078999985</v>
      </c>
      <c r="G22" s="94">
        <v>79.340551257000016</v>
      </c>
      <c r="H22" s="94">
        <v>36.42985784550001</v>
      </c>
      <c r="I22" s="94">
        <v>29.094603780199975</v>
      </c>
      <c r="J22" s="94">
        <v>49.82860161130003</v>
      </c>
      <c r="K22" s="94">
        <v>3.4912541894999998</v>
      </c>
      <c r="L22" s="89" t="s">
        <v>203</v>
      </c>
      <c r="M22" s="94">
        <v>4419.8655661466446</v>
      </c>
      <c r="N22" s="94">
        <v>5.4989999999999997E-2</v>
      </c>
      <c r="O22" s="94">
        <v>4059.8907742000001</v>
      </c>
      <c r="P22" s="94">
        <v>100.25638247069999</v>
      </c>
      <c r="Q22" s="94">
        <v>148.45841472490002</v>
      </c>
      <c r="R22" s="94">
        <v>74.603307070049993</v>
      </c>
      <c r="S22" s="94">
        <v>36.601697680994995</v>
      </c>
      <c r="T22" s="94"/>
      <c r="U22" s="89" t="s">
        <v>203</v>
      </c>
      <c r="V22" s="94">
        <v>4419.8655661466446</v>
      </c>
      <c r="W22" s="94">
        <v>207.420784037</v>
      </c>
      <c r="X22" s="94">
        <v>199.50798416999999</v>
      </c>
      <c r="Y22" s="94">
        <v>1111.0303758290004</v>
      </c>
      <c r="Z22" s="94">
        <v>1123.6617879289995</v>
      </c>
      <c r="AA22" s="94">
        <v>676.76684181300016</v>
      </c>
      <c r="AB22" s="94">
        <v>362.76835145750056</v>
      </c>
      <c r="AC22" s="94">
        <v>690.87253476449951</v>
      </c>
      <c r="AD22" s="94">
        <v>47.836906146645006</v>
      </c>
      <c r="AE22" s="64"/>
    </row>
    <row r="23" spans="2:31" x14ac:dyDescent="0.25">
      <c r="B23" s="89" t="s">
        <v>204</v>
      </c>
      <c r="C23" s="94">
        <v>297.32741460825002</v>
      </c>
      <c r="D23" s="94">
        <v>14.831421332000001</v>
      </c>
      <c r="E23" s="94">
        <v>13.496601451999998</v>
      </c>
      <c r="F23" s="94">
        <v>74.474369987999992</v>
      </c>
      <c r="G23" s="94">
        <v>76.834991140999989</v>
      </c>
      <c r="H23" s="94">
        <v>36.212138200500021</v>
      </c>
      <c r="I23" s="94">
        <v>28.317654254000018</v>
      </c>
      <c r="J23" s="94">
        <v>49.698813632499991</v>
      </c>
      <c r="K23" s="94">
        <v>3.4614246082499998</v>
      </c>
      <c r="L23" s="89" t="s">
        <v>204</v>
      </c>
      <c r="M23" s="94">
        <v>4238.0401034352071</v>
      </c>
      <c r="N23" s="94">
        <v>5.4469999999999998E-2</v>
      </c>
      <c r="O23" s="94">
        <v>3602.8395216999998</v>
      </c>
      <c r="P23" s="94">
        <v>373.40441048445001</v>
      </c>
      <c r="Q23" s="94">
        <v>143.67621569615</v>
      </c>
      <c r="R23" s="94">
        <v>96.597991240675</v>
      </c>
      <c r="S23" s="94">
        <v>21.467494313932502</v>
      </c>
      <c r="T23" s="94"/>
      <c r="U23" s="89" t="s">
        <v>204</v>
      </c>
      <c r="V23" s="94">
        <v>4238.0401034352071</v>
      </c>
      <c r="W23" s="94">
        <v>198.30572830500003</v>
      </c>
      <c r="X23" s="94">
        <v>185.801144502</v>
      </c>
      <c r="Y23" s="94">
        <v>1038.1515385290002</v>
      </c>
      <c r="Z23" s="94">
        <v>1064.4975584189999</v>
      </c>
      <c r="AA23" s="94">
        <v>671.62600395899926</v>
      </c>
      <c r="AB23" s="94">
        <v>344.42207673810071</v>
      </c>
      <c r="AC23" s="94">
        <v>687.80786954789937</v>
      </c>
      <c r="AD23" s="94">
        <v>47.428183435207501</v>
      </c>
      <c r="AE23" s="64"/>
    </row>
    <row r="24" spans="2:31" x14ac:dyDescent="0.25">
      <c r="B24" s="89" t="s">
        <v>270</v>
      </c>
      <c r="C24" s="94">
        <v>324.29720976070615</v>
      </c>
      <c r="D24" s="94">
        <v>16.218121422252587</v>
      </c>
      <c r="E24" s="94">
        <v>15.474334033590178</v>
      </c>
      <c r="F24" s="94">
        <v>84.989892706448188</v>
      </c>
      <c r="G24" s="94">
        <v>85.844502584482143</v>
      </c>
      <c r="H24" s="94">
        <v>36.994251369567891</v>
      </c>
      <c r="I24" s="94">
        <v>31.111610457053231</v>
      </c>
      <c r="J24" s="94">
        <v>50.165052300960141</v>
      </c>
      <c r="K24" s="94">
        <v>3.4994448863518062</v>
      </c>
      <c r="L24" s="89" t="s">
        <v>270</v>
      </c>
      <c r="M24" s="94">
        <v>4654.717885910919</v>
      </c>
      <c r="N24" s="94">
        <v>5.6952624307305022E-2</v>
      </c>
      <c r="O24" s="94">
        <v>4043.9914079403175</v>
      </c>
      <c r="P24" s="94">
        <v>222.4505879748998</v>
      </c>
      <c r="Q24" s="94">
        <v>252.71439913816624</v>
      </c>
      <c r="R24" s="94">
        <v>108.31240980878283</v>
      </c>
      <c r="S24" s="94">
        <v>27.192128424445798</v>
      </c>
      <c r="T24" s="94"/>
      <c r="U24" s="89" t="s">
        <v>270</v>
      </c>
      <c r="V24" s="94">
        <v>4654.717885910919</v>
      </c>
      <c r="W24" s="94">
        <v>219.56383533847043</v>
      </c>
      <c r="X24" s="94">
        <v>216.6679609835877</v>
      </c>
      <c r="Y24" s="94">
        <v>1202.2692594517991</v>
      </c>
      <c r="Z24" s="94">
        <v>1202.4855849911794</v>
      </c>
      <c r="AA24" s="94">
        <v>683.61565016827683</v>
      </c>
      <c r="AB24" s="94">
        <v>387.21116108443658</v>
      </c>
      <c r="AC24" s="94">
        <v>694.95529942532244</v>
      </c>
      <c r="AD24" s="94">
        <v>47.949134467846548</v>
      </c>
      <c r="AE24" s="64"/>
    </row>
    <row r="25" spans="2:31" x14ac:dyDescent="0.25">
      <c r="B25" s="89" t="s">
        <v>205</v>
      </c>
      <c r="C25" s="94">
        <v>248.50627</v>
      </c>
      <c r="D25" s="94">
        <v>12.471599131</v>
      </c>
      <c r="E25" s="94">
        <v>10.239462998</v>
      </c>
      <c r="F25" s="94">
        <v>57.158756651000004</v>
      </c>
      <c r="G25" s="94">
        <v>61.534347079000014</v>
      </c>
      <c r="H25" s="94">
        <v>34.868165359499983</v>
      </c>
      <c r="I25" s="94">
        <v>23.541583980899986</v>
      </c>
      <c r="J25" s="94">
        <v>48.692354800600015</v>
      </c>
      <c r="K25" s="96"/>
      <c r="L25" s="89" t="s">
        <v>205</v>
      </c>
      <c r="M25" s="94">
        <v>4479.2494999999999</v>
      </c>
      <c r="N25" s="94">
        <v>5.423E-2</v>
      </c>
      <c r="O25" s="94">
        <v>3230.0633200000002</v>
      </c>
      <c r="P25" s="94">
        <v>146.59220999999999</v>
      </c>
      <c r="Q25" s="94">
        <v>882.23969999999997</v>
      </c>
      <c r="R25" s="94">
        <v>101.79944999999999</v>
      </c>
      <c r="S25" s="94">
        <v>118.50059</v>
      </c>
      <c r="T25" s="94"/>
      <c r="U25" s="89" t="s">
        <v>205</v>
      </c>
      <c r="V25" s="94">
        <v>4479.2494999999999</v>
      </c>
      <c r="W25" s="94">
        <v>212.84302683300001</v>
      </c>
      <c r="X25" s="94">
        <v>207.95123217399998</v>
      </c>
      <c r="Y25" s="94">
        <v>1155.9305414249998</v>
      </c>
      <c r="Z25" s="94">
        <v>1158.8707907300002</v>
      </c>
      <c r="AA25" s="94">
        <v>679.7844139244994</v>
      </c>
      <c r="AB25" s="94">
        <v>373.59601251010054</v>
      </c>
      <c r="AC25" s="94">
        <v>690.27348240340007</v>
      </c>
      <c r="AD25" s="94"/>
      <c r="AE25" s="64"/>
    </row>
    <row r="26" spans="2:31" x14ac:dyDescent="0.25">
      <c r="B26" s="89" t="s">
        <v>206</v>
      </c>
      <c r="C26" s="94">
        <v>233.23093</v>
      </c>
      <c r="D26" s="94">
        <v>11.68352273</v>
      </c>
      <c r="E26" s="94">
        <v>9.1192535800000005</v>
      </c>
      <c r="F26" s="94">
        <v>51.202652122000003</v>
      </c>
      <c r="G26" s="94">
        <v>56.419056745999995</v>
      </c>
      <c r="H26" s="94">
        <v>34.423681000499982</v>
      </c>
      <c r="I26" s="94">
        <v>21.955374608200003</v>
      </c>
      <c r="J26" s="94">
        <v>48.427389213300017</v>
      </c>
      <c r="K26" s="94"/>
      <c r="L26" s="89" t="s">
        <v>206</v>
      </c>
      <c r="M26" s="94">
        <v>4269.8269299999993</v>
      </c>
      <c r="N26" s="94">
        <v>5.4100000000000002E-2</v>
      </c>
      <c r="O26" s="94">
        <v>3038.0803799999999</v>
      </c>
      <c r="P26" s="94">
        <v>144.79402999999999</v>
      </c>
      <c r="Q26" s="94">
        <v>800.84028000000001</v>
      </c>
      <c r="R26" s="94">
        <v>100.56522</v>
      </c>
      <c r="S26" s="94">
        <v>185.49292</v>
      </c>
      <c r="T26" s="94"/>
      <c r="U26" s="89" t="s">
        <v>206</v>
      </c>
      <c r="V26" s="94">
        <v>4269.8269299999993</v>
      </c>
      <c r="W26" s="94">
        <v>202.02213016500002</v>
      </c>
      <c r="X26" s="94">
        <v>192.62037786600001</v>
      </c>
      <c r="Y26" s="94">
        <v>1074.4170145969999</v>
      </c>
      <c r="Z26" s="94">
        <v>1088.6344721980001</v>
      </c>
      <c r="AA26" s="94">
        <v>673.68134258399959</v>
      </c>
      <c r="AB26" s="94">
        <v>351.81634795109994</v>
      </c>
      <c r="AC26" s="94">
        <v>686.63524463889962</v>
      </c>
      <c r="AD26" s="94"/>
      <c r="AE26" s="64"/>
    </row>
    <row r="27" spans="2:31" x14ac:dyDescent="0.25">
      <c r="B27" s="89" t="s">
        <v>207</v>
      </c>
      <c r="C27" s="94">
        <v>229.94698</v>
      </c>
      <c r="D27" s="94">
        <v>11.512133658</v>
      </c>
      <c r="E27" s="94">
        <v>8.8816542079999987</v>
      </c>
      <c r="F27" s="94">
        <v>49.939352937999992</v>
      </c>
      <c r="G27" s="94">
        <v>55.306631154000023</v>
      </c>
      <c r="H27" s="94">
        <v>34.327017931499995</v>
      </c>
      <c r="I27" s="94">
        <v>21.610435139299966</v>
      </c>
      <c r="J27" s="94">
        <v>48.369754971200024</v>
      </c>
      <c r="K27" s="94"/>
      <c r="L27" s="89" t="s">
        <v>207</v>
      </c>
      <c r="M27" s="94">
        <v>4119.6247700000004</v>
      </c>
      <c r="N27" s="94">
        <v>5.4149999999999997E-2</v>
      </c>
      <c r="O27" s="94">
        <v>2999.6995299999999</v>
      </c>
      <c r="P27" s="94">
        <v>142.53137000000001</v>
      </c>
      <c r="Q27" s="94">
        <v>683.97472000000005</v>
      </c>
      <c r="R27" s="94">
        <v>99.441580000000002</v>
      </c>
      <c r="S27" s="94">
        <v>193.92341999999999</v>
      </c>
      <c r="T27" s="94"/>
      <c r="U27" s="89" t="s">
        <v>207</v>
      </c>
      <c r="V27" s="94">
        <v>4119.6247700000004</v>
      </c>
      <c r="W27" s="94">
        <v>194.24363152799998</v>
      </c>
      <c r="X27" s="94">
        <v>181.65364083399996</v>
      </c>
      <c r="Y27" s="94">
        <v>1016.1073397839997</v>
      </c>
      <c r="Z27" s="94">
        <v>1038.1457885310001</v>
      </c>
      <c r="AA27" s="94">
        <v>669.29418700199994</v>
      </c>
      <c r="AB27" s="94">
        <v>336.16021719220089</v>
      </c>
      <c r="AC27" s="94">
        <v>684.01996512879987</v>
      </c>
      <c r="AD27" s="94"/>
      <c r="AE27" s="64"/>
    </row>
    <row r="28" spans="2:31" x14ac:dyDescent="0.25">
      <c r="B28" s="89" t="s">
        <v>208</v>
      </c>
      <c r="C28" s="94">
        <v>224.12483</v>
      </c>
      <c r="D28" s="94">
        <v>11.210228547000002</v>
      </c>
      <c r="E28" s="94">
        <v>8.4572075679999994</v>
      </c>
      <c r="F28" s="94">
        <v>47.682589715000006</v>
      </c>
      <c r="G28" s="94">
        <v>53.347034196000017</v>
      </c>
      <c r="H28" s="94">
        <v>34.156738342499992</v>
      </c>
      <c r="I28" s="94">
        <v>21.002774290899993</v>
      </c>
      <c r="J28" s="94">
        <v>48.268257340600002</v>
      </c>
      <c r="K28" s="94"/>
      <c r="L28" s="89" t="s">
        <v>208</v>
      </c>
      <c r="M28" s="94">
        <v>4024.6108500000005</v>
      </c>
      <c r="N28" s="94">
        <v>5.4129999999999998E-2</v>
      </c>
      <c r="O28" s="94">
        <v>2935.69443</v>
      </c>
      <c r="P28" s="94">
        <v>139.64214999999999</v>
      </c>
      <c r="Q28" s="94">
        <v>646.79742999999996</v>
      </c>
      <c r="R28" s="94">
        <v>98.685550000000006</v>
      </c>
      <c r="S28" s="94">
        <v>203.73715999999999</v>
      </c>
      <c r="T28" s="94"/>
      <c r="U28" s="89" t="s">
        <v>208</v>
      </c>
      <c r="V28" s="94">
        <v>4024.6108500000005</v>
      </c>
      <c r="W28" s="94">
        <v>189.30371344800002</v>
      </c>
      <c r="X28" s="94">
        <v>174.74841660199996</v>
      </c>
      <c r="Y28" s="94">
        <v>979.39254922399982</v>
      </c>
      <c r="Z28" s="94">
        <v>1006.0816980470006</v>
      </c>
      <c r="AA28" s="94">
        <v>666.50802311849884</v>
      </c>
      <c r="AB28" s="94">
        <v>326.21740334250035</v>
      </c>
      <c r="AC28" s="94">
        <v>682.35904621800091</v>
      </c>
      <c r="AD28" s="94"/>
      <c r="AE28" s="64"/>
    </row>
    <row r="29" spans="2:31" x14ac:dyDescent="0.25">
      <c r="B29" s="89" t="s">
        <v>209</v>
      </c>
      <c r="C29" s="94">
        <v>221.05829</v>
      </c>
      <c r="D29" s="94">
        <v>11.051066994999999</v>
      </c>
      <c r="E29" s="94">
        <v>8.2338943160000007</v>
      </c>
      <c r="F29" s="94">
        <v>46.495239890999997</v>
      </c>
      <c r="G29" s="94">
        <v>52.313958248999995</v>
      </c>
      <c r="H29" s="94">
        <v>34.066968293999992</v>
      </c>
      <c r="I29" s="94">
        <v>20.682427268099985</v>
      </c>
      <c r="J29" s="94">
        <v>48.214734986900027</v>
      </c>
      <c r="K29" s="94"/>
      <c r="L29" s="89" t="s">
        <v>209</v>
      </c>
      <c r="M29" s="94">
        <v>3963.9875099999999</v>
      </c>
      <c r="N29" s="94">
        <v>5.407E-2</v>
      </c>
      <c r="O29" s="94">
        <v>2914.9080199999999</v>
      </c>
      <c r="P29" s="94">
        <v>136.47765999999999</v>
      </c>
      <c r="Q29" s="94">
        <v>613.10019999999997</v>
      </c>
      <c r="R29" s="94">
        <v>97.100909999999999</v>
      </c>
      <c r="S29" s="94">
        <v>202.34665000000001</v>
      </c>
      <c r="T29" s="94"/>
      <c r="U29" s="89" t="s">
        <v>209</v>
      </c>
      <c r="V29" s="94">
        <v>3963.9875099999999</v>
      </c>
      <c r="W29" s="94">
        <v>186.15457935699999</v>
      </c>
      <c r="X29" s="94">
        <v>170.338030632</v>
      </c>
      <c r="Y29" s="94">
        <v>955.94271924499992</v>
      </c>
      <c r="Z29" s="94">
        <v>985.64111835300025</v>
      </c>
      <c r="AA29" s="94">
        <v>664.73186589449915</v>
      </c>
      <c r="AB29" s="94">
        <v>319.8789669852008</v>
      </c>
      <c r="AC29" s="94">
        <v>681.3002295332999</v>
      </c>
      <c r="AD29" s="94"/>
      <c r="AE29" s="64"/>
    </row>
    <row r="30" spans="2:31" x14ac:dyDescent="0.25">
      <c r="B30" s="89" t="s">
        <v>210</v>
      </c>
      <c r="C30" s="94">
        <v>218.09030999999999</v>
      </c>
      <c r="D30" s="94">
        <v>10.897509723000001</v>
      </c>
      <c r="E30" s="94">
        <v>8.0169609879999992</v>
      </c>
      <c r="F30" s="94">
        <v>45.341811946999997</v>
      </c>
      <c r="G30" s="94">
        <v>51.317219484000013</v>
      </c>
      <c r="H30" s="94">
        <v>33.980358302999988</v>
      </c>
      <c r="I30" s="94">
        <v>20.373339866500004</v>
      </c>
      <c r="J30" s="94">
        <v>48.163109688499986</v>
      </c>
      <c r="K30" s="94"/>
      <c r="L30" s="89" t="s">
        <v>210</v>
      </c>
      <c r="M30" s="94">
        <v>3911.0700499999998</v>
      </c>
      <c r="N30" s="94">
        <v>5.4030000000000002E-2</v>
      </c>
      <c r="O30" s="94">
        <v>2892.8309199999999</v>
      </c>
      <c r="P30" s="94">
        <v>132.73199</v>
      </c>
      <c r="Q30" s="94">
        <v>591.89013</v>
      </c>
      <c r="R30" s="94">
        <v>95.814639999999997</v>
      </c>
      <c r="S30" s="94">
        <v>197.74834000000001</v>
      </c>
      <c r="T30" s="94"/>
      <c r="U30" s="89" t="s">
        <v>210</v>
      </c>
      <c r="V30" s="94">
        <v>3911.0700499999998</v>
      </c>
      <c r="W30" s="94">
        <v>183.41259620800002</v>
      </c>
      <c r="X30" s="94">
        <v>166.47691943799995</v>
      </c>
      <c r="Y30" s="94">
        <v>935.41335537600003</v>
      </c>
      <c r="Z30" s="94">
        <v>967.84343871999999</v>
      </c>
      <c r="AA30" s="94">
        <v>663.18534904799981</v>
      </c>
      <c r="AB30" s="94">
        <v>314.36005774969999</v>
      </c>
      <c r="AC30" s="94">
        <v>680.37833346029993</v>
      </c>
      <c r="AD30" s="94"/>
      <c r="AE30" s="64"/>
    </row>
    <row r="31" spans="2:31" x14ac:dyDescent="0.25">
      <c r="B31" s="89" t="s">
        <v>211</v>
      </c>
      <c r="C31" s="94">
        <v>216.07525000000004</v>
      </c>
      <c r="D31" s="94">
        <v>10.79358854</v>
      </c>
      <c r="E31" s="94">
        <v>7.869124403999999</v>
      </c>
      <c r="F31" s="94">
        <v>44.555771612000001</v>
      </c>
      <c r="G31" s="94">
        <v>50.642674970000016</v>
      </c>
      <c r="H31" s="94">
        <v>33.921755621999992</v>
      </c>
      <c r="I31" s="94">
        <v>20.164172667000003</v>
      </c>
      <c r="J31" s="94">
        <v>48.128162185000008</v>
      </c>
      <c r="K31" s="94"/>
      <c r="L31" s="89" t="s">
        <v>211</v>
      </c>
      <c r="M31" s="94">
        <v>3854.7597700000001</v>
      </c>
      <c r="N31" s="94">
        <v>5.4019999999999999E-2</v>
      </c>
      <c r="O31" s="94">
        <v>2874.02493</v>
      </c>
      <c r="P31" s="94">
        <v>129.09075000000001</v>
      </c>
      <c r="Q31" s="94">
        <v>562.05220999999995</v>
      </c>
      <c r="R31" s="94">
        <v>94.806030000000007</v>
      </c>
      <c r="S31" s="94">
        <v>194.73183</v>
      </c>
      <c r="T31" s="94"/>
      <c r="U31" s="89" t="s">
        <v>211</v>
      </c>
      <c r="V31" s="94">
        <v>3854.7597700000001</v>
      </c>
      <c r="W31" s="94">
        <v>180.51134961099999</v>
      </c>
      <c r="X31" s="94">
        <v>162.341001874</v>
      </c>
      <c r="Y31" s="94">
        <v>913.42285108299984</v>
      </c>
      <c r="Z31" s="94">
        <v>949.01208075300008</v>
      </c>
      <c r="AA31" s="94">
        <v>661.5490231394997</v>
      </c>
      <c r="AB31" s="94">
        <v>308.52060621920054</v>
      </c>
      <c r="AC31" s="94">
        <v>679.40285732029997</v>
      </c>
      <c r="AD31" s="94"/>
      <c r="AE31" s="64"/>
    </row>
    <row r="32" spans="2:31" x14ac:dyDescent="0.25">
      <c r="B32" s="89" t="s">
        <v>212</v>
      </c>
      <c r="C32" s="95">
        <v>248.13619491276</v>
      </c>
      <c r="D32" s="95">
        <v>12.991738489999999</v>
      </c>
      <c r="E32" s="95">
        <v>13.570716934</v>
      </c>
      <c r="F32" s="95">
        <v>73.913186496000009</v>
      </c>
      <c r="G32" s="95"/>
      <c r="H32" s="95">
        <v>56.224241231999983</v>
      </c>
      <c r="I32" s="95">
        <v>38.568300194900019</v>
      </c>
      <c r="J32" s="95">
        <v>51.403276653099994</v>
      </c>
      <c r="K32" s="95">
        <v>1.4647349127599998</v>
      </c>
      <c r="L32" s="89" t="s">
        <v>212</v>
      </c>
      <c r="M32" s="95">
        <v>2885.6507692143077</v>
      </c>
      <c r="N32" s="95">
        <v>3.0509999999999999E-2</v>
      </c>
      <c r="O32" s="95">
        <v>2491.3445288959997</v>
      </c>
      <c r="P32" s="95">
        <v>163.22274682581599</v>
      </c>
      <c r="Q32" s="95">
        <v>125.695266759112</v>
      </c>
      <c r="R32" s="95">
        <v>87.619536231044009</v>
      </c>
      <c r="S32" s="95">
        <v>17.738180502335599</v>
      </c>
      <c r="T32" s="95"/>
      <c r="U32" s="89" t="s">
        <v>212</v>
      </c>
      <c r="V32" s="95">
        <v>2885.6507692143077</v>
      </c>
      <c r="W32" s="95">
        <v>146.36378138500001</v>
      </c>
      <c r="X32" s="95">
        <v>145.97028205099997</v>
      </c>
      <c r="Y32" s="95">
        <v>808.78537420400016</v>
      </c>
      <c r="Z32" s="95"/>
      <c r="AA32" s="95">
        <v>671.35389216999943</v>
      </c>
      <c r="AB32" s="95">
        <v>396.59315343380013</v>
      </c>
      <c r="AC32" s="95">
        <v>696.51459675620026</v>
      </c>
      <c r="AD32" s="95">
        <v>20.069689214307598</v>
      </c>
      <c r="AE32" s="64"/>
    </row>
    <row r="33" spans="2:31" x14ac:dyDescent="0.25">
      <c r="B33" s="89" t="s">
        <v>213</v>
      </c>
      <c r="C33" s="95">
        <v>185.50730649259998</v>
      </c>
      <c r="D33" s="95">
        <v>9.7916857950000011</v>
      </c>
      <c r="E33" s="95">
        <v>9.3068332169999994</v>
      </c>
      <c r="F33" s="95">
        <v>51.403642567999981</v>
      </c>
      <c r="G33" s="95"/>
      <c r="H33" s="95">
        <v>36.108527391999992</v>
      </c>
      <c r="I33" s="95">
        <v>28.149493352899981</v>
      </c>
      <c r="J33" s="95">
        <v>49.74838767510002</v>
      </c>
      <c r="K33" s="95">
        <v>0.99873649259999997</v>
      </c>
      <c r="L33" s="89" t="s">
        <v>213</v>
      </c>
      <c r="M33" s="95">
        <v>3003.601763399226</v>
      </c>
      <c r="N33" s="95">
        <v>2.47E-2</v>
      </c>
      <c r="O33" s="95">
        <v>2190.1225629599999</v>
      </c>
      <c r="P33" s="95">
        <v>71.414428267160005</v>
      </c>
      <c r="Q33" s="95">
        <v>611.85614175412002</v>
      </c>
      <c r="R33" s="95">
        <v>68.483684003939999</v>
      </c>
      <c r="S33" s="95">
        <v>61.700246414005996</v>
      </c>
      <c r="T33" s="95"/>
      <c r="U33" s="89" t="s">
        <v>213</v>
      </c>
      <c r="V33" s="95">
        <v>3003.601763399226</v>
      </c>
      <c r="W33" s="95">
        <v>150.92598075000001</v>
      </c>
      <c r="X33" s="95">
        <v>158.68041105</v>
      </c>
      <c r="Y33" s="95">
        <v>878.5757269799999</v>
      </c>
      <c r="Z33" s="95"/>
      <c r="AA33" s="95">
        <v>685.53901265399941</v>
      </c>
      <c r="AB33" s="95">
        <v>410.82625107440049</v>
      </c>
      <c r="AC33" s="95">
        <v>705.36976749160021</v>
      </c>
      <c r="AD33" s="95">
        <v>13.684613399226</v>
      </c>
      <c r="AE33" s="64"/>
    </row>
    <row r="34" spans="2:31" x14ac:dyDescent="0.25">
      <c r="B34" s="89" t="s">
        <v>214</v>
      </c>
      <c r="C34" s="95">
        <v>175.43367377033999</v>
      </c>
      <c r="D34" s="95">
        <v>8.9782376599999996</v>
      </c>
      <c r="E34" s="95">
        <v>7.9655405560000005</v>
      </c>
      <c r="F34" s="95">
        <v>44.116628423999998</v>
      </c>
      <c r="G34" s="95"/>
      <c r="H34" s="95">
        <v>37.618693679999993</v>
      </c>
      <c r="I34" s="95">
        <v>26.148071654400013</v>
      </c>
      <c r="J34" s="95">
        <v>49.336208025599987</v>
      </c>
      <c r="K34" s="95">
        <v>1.2702937703399999</v>
      </c>
      <c r="L34" s="89" t="s">
        <v>214</v>
      </c>
      <c r="M34" s="95">
        <v>3002.3837110920736</v>
      </c>
      <c r="N34" s="95">
        <v>3.2309999999999998E-2</v>
      </c>
      <c r="O34" s="95">
        <v>2140.759677864</v>
      </c>
      <c r="P34" s="95">
        <v>97.204705878644006</v>
      </c>
      <c r="Q34" s="95">
        <v>667.74860782610801</v>
      </c>
      <c r="R34" s="95">
        <v>80.350157224846001</v>
      </c>
      <c r="S34" s="95">
        <v>16.288252298475399</v>
      </c>
      <c r="T34" s="95"/>
      <c r="U34" s="89" t="s">
        <v>214</v>
      </c>
      <c r="V34" s="95">
        <v>3002.3837110920736</v>
      </c>
      <c r="W34" s="95">
        <v>152.43403903999999</v>
      </c>
      <c r="X34" s="95">
        <v>156.00445278399999</v>
      </c>
      <c r="Y34" s="95">
        <v>862.12586877600029</v>
      </c>
      <c r="Z34" s="95"/>
      <c r="AA34" s="95">
        <v>699.4930699140001</v>
      </c>
      <c r="AB34" s="95">
        <v>415.27988042229958</v>
      </c>
      <c r="AC34" s="95">
        <v>699.64092906370024</v>
      </c>
      <c r="AD34" s="95">
        <v>17.405471092073398</v>
      </c>
      <c r="AE34" s="64"/>
    </row>
    <row r="35" spans="2:31" x14ac:dyDescent="0.25">
      <c r="B35" s="89" t="s">
        <v>215</v>
      </c>
      <c r="C35" s="95">
        <v>183.6449824</v>
      </c>
      <c r="D35" s="95">
        <v>9.5562299400000015</v>
      </c>
      <c r="E35" s="95">
        <v>8.5672984440000004</v>
      </c>
      <c r="F35" s="95">
        <v>47.315530155999994</v>
      </c>
      <c r="G35" s="95"/>
      <c r="H35" s="95">
        <v>40.298225467999998</v>
      </c>
      <c r="I35" s="95">
        <v>27.930160417399989</v>
      </c>
      <c r="J35" s="95">
        <v>49.633885574600015</v>
      </c>
      <c r="K35" s="95">
        <v>0.34365239999999997</v>
      </c>
      <c r="L35" s="89" t="s">
        <v>215</v>
      </c>
      <c r="M35" s="95">
        <v>2787.5403461613196</v>
      </c>
      <c r="N35" s="95">
        <v>2.8139999999999998E-2</v>
      </c>
      <c r="O35" s="95">
        <v>2407.7613879999999</v>
      </c>
      <c r="P35" s="95">
        <v>138.56153676000002</v>
      </c>
      <c r="Q35" s="95">
        <v>138.2231438</v>
      </c>
      <c r="R35" s="95">
        <v>58.508746815999999</v>
      </c>
      <c r="S35" s="95">
        <v>44.457390785319994</v>
      </c>
      <c r="T35" s="95"/>
      <c r="U35" s="89" t="s">
        <v>215</v>
      </c>
      <c r="V35" s="95">
        <v>2787.5403461613196</v>
      </c>
      <c r="W35" s="95">
        <v>142.43127697000003</v>
      </c>
      <c r="X35" s="95">
        <v>138.49009026199997</v>
      </c>
      <c r="Y35" s="95">
        <v>769.02162590799981</v>
      </c>
      <c r="Z35" s="95"/>
      <c r="AA35" s="95">
        <v>653.12507094199941</v>
      </c>
      <c r="AB35" s="95">
        <v>384.43770058360042</v>
      </c>
      <c r="AC35" s="95">
        <v>694.48923533439984</v>
      </c>
      <c r="AD35" s="95">
        <v>5.5453461613200004</v>
      </c>
      <c r="AE35" s="64"/>
    </row>
    <row r="36" spans="2:31" x14ac:dyDescent="0.25">
      <c r="B36" s="89" t="s">
        <v>216</v>
      </c>
      <c r="C36" s="95">
        <v>222.13529704736001</v>
      </c>
      <c r="D36" s="95">
        <v>11.573606925</v>
      </c>
      <c r="E36" s="95">
        <v>11.471589134999999</v>
      </c>
      <c r="F36" s="95">
        <v>62.754445720000007</v>
      </c>
      <c r="G36" s="95"/>
      <c r="H36" s="95">
        <v>49.650244657999991</v>
      </c>
      <c r="I36" s="95">
        <v>34.150401603400013</v>
      </c>
      <c r="J36" s="95">
        <v>50.672901958599994</v>
      </c>
      <c r="K36" s="95">
        <v>1.8621070473599999</v>
      </c>
      <c r="L36" s="89" t="s">
        <v>216</v>
      </c>
      <c r="M36" s="95">
        <v>3083.2089527509538</v>
      </c>
      <c r="N36" s="95">
        <v>3.0110000000000001E-2</v>
      </c>
      <c r="O36" s="95">
        <v>2824.2992250560001</v>
      </c>
      <c r="P36" s="95">
        <v>83.639645050176</v>
      </c>
      <c r="Q36" s="95">
        <v>84.035524493631996</v>
      </c>
      <c r="R36" s="95">
        <v>80.656563514783997</v>
      </c>
      <c r="S36" s="95">
        <v>10.5478846363616</v>
      </c>
      <c r="T36" s="95"/>
      <c r="U36" s="89" t="s">
        <v>216</v>
      </c>
      <c r="V36" s="95">
        <v>3083.2089527509543</v>
      </c>
      <c r="W36" s="95">
        <v>157.04594547500002</v>
      </c>
      <c r="X36" s="95">
        <v>160.77471662500005</v>
      </c>
      <c r="Y36" s="95">
        <v>887.48429092000038</v>
      </c>
      <c r="Z36" s="95"/>
      <c r="AA36" s="95">
        <v>720.87374439200005</v>
      </c>
      <c r="AB36" s="95">
        <v>429.49961460019995</v>
      </c>
      <c r="AC36" s="95">
        <v>702.01618798780009</v>
      </c>
      <c r="AD36" s="95">
        <v>25.514452750953602</v>
      </c>
      <c r="AE36" s="64"/>
    </row>
    <row r="37" spans="2:31" x14ac:dyDescent="0.25">
      <c r="B37" s="89" t="s">
        <v>217</v>
      </c>
      <c r="C37" s="95">
        <v>218.120998082</v>
      </c>
      <c r="D37" s="95">
        <v>11.31127699</v>
      </c>
      <c r="E37" s="95">
        <v>11.273552834</v>
      </c>
      <c r="F37" s="95">
        <v>61.70168475600002</v>
      </c>
      <c r="G37" s="95"/>
      <c r="H37" s="95">
        <v>48.43402395599999</v>
      </c>
      <c r="I37" s="95">
        <v>33.341570574800016</v>
      </c>
      <c r="J37" s="95">
        <v>50.537790889199982</v>
      </c>
      <c r="K37" s="95">
        <v>1.521098082</v>
      </c>
      <c r="L37" s="89" t="s">
        <v>217</v>
      </c>
      <c r="M37" s="95">
        <v>3103.0394531818201</v>
      </c>
      <c r="N37" s="95">
        <v>3.0630000000000001E-2</v>
      </c>
      <c r="O37" s="95">
        <v>2517.5693772</v>
      </c>
      <c r="P37" s="95">
        <v>60.629232461199997</v>
      </c>
      <c r="Q37" s="95">
        <v>453.62907310839995</v>
      </c>
      <c r="R37" s="95">
        <v>57.512631115799998</v>
      </c>
      <c r="S37" s="95">
        <v>13.66850929642</v>
      </c>
      <c r="T37" s="95"/>
      <c r="U37" s="89" t="s">
        <v>217</v>
      </c>
      <c r="V37" s="95">
        <v>3103.0394531818197</v>
      </c>
      <c r="W37" s="95">
        <v>157.52214552499996</v>
      </c>
      <c r="X37" s="95">
        <v>163.958288815</v>
      </c>
      <c r="Y37" s="95">
        <v>904.40760033999982</v>
      </c>
      <c r="Z37" s="95"/>
      <c r="AA37" s="95">
        <v>723.07974067999987</v>
      </c>
      <c r="AB37" s="95">
        <v>430.96823642549998</v>
      </c>
      <c r="AC37" s="95">
        <v>702.26146821450038</v>
      </c>
      <c r="AD37" s="95">
        <v>20.841973181819998</v>
      </c>
      <c r="AE37" s="64"/>
    </row>
    <row r="38" spans="2:31" x14ac:dyDescent="0.25">
      <c r="B38" s="89" t="s">
        <v>267</v>
      </c>
      <c r="C38" s="95">
        <v>218.61441479661272</v>
      </c>
      <c r="D38" s="95">
        <v>11.375325234242172</v>
      </c>
      <c r="E38" s="95">
        <v>11.307639028551261</v>
      </c>
      <c r="F38" s="95">
        <v>61.892465594596985</v>
      </c>
      <c r="G38" s="95"/>
      <c r="H38" s="95">
        <v>48.4086035165639</v>
      </c>
      <c r="I38" s="95">
        <v>33.514731010993096</v>
      </c>
      <c r="J38" s="95">
        <v>50.57036520287167</v>
      </c>
      <c r="K38" s="95">
        <v>1.545285208793634</v>
      </c>
      <c r="L38" s="89" t="s">
        <v>267</v>
      </c>
      <c r="M38" s="95">
        <v>3047.6138376448971</v>
      </c>
      <c r="N38" s="95">
        <v>3.0144248551596985E-2</v>
      </c>
      <c r="O38" s="95">
        <v>2561.1472557708339</v>
      </c>
      <c r="P38" s="95">
        <v>86.648311555920671</v>
      </c>
      <c r="Q38" s="95">
        <v>312.02834101968091</v>
      </c>
      <c r="R38" s="95">
        <v>70.752567413722815</v>
      </c>
      <c r="S38" s="95">
        <v>17.007217636186859</v>
      </c>
      <c r="T38" s="95"/>
      <c r="U38" s="89" t="s">
        <v>267</v>
      </c>
      <c r="V38" s="95">
        <v>3047.6138376448971</v>
      </c>
      <c r="W38" s="95">
        <v>154.77222193829232</v>
      </c>
      <c r="X38" s="95">
        <v>159.12842520215702</v>
      </c>
      <c r="Y38" s="95">
        <v>878.86845495473654</v>
      </c>
      <c r="Z38" s="95"/>
      <c r="AA38" s="95">
        <v>709.90752495297284</v>
      </c>
      <c r="AB38" s="95">
        <v>422.50553228903914</v>
      </c>
      <c r="AC38" s="95">
        <v>701.24229584644922</v>
      </c>
      <c r="AD38" s="95">
        <v>21.189382461250268</v>
      </c>
      <c r="AE38" s="64"/>
    </row>
    <row r="39" spans="2:31" x14ac:dyDescent="0.25">
      <c r="B39" s="89" t="s">
        <v>218</v>
      </c>
      <c r="C39" s="95">
        <v>234.85914491276</v>
      </c>
      <c r="D39" s="95">
        <v>12.26485782</v>
      </c>
      <c r="E39" s="95">
        <v>12.531271931999999</v>
      </c>
      <c r="F39" s="95">
        <v>68.387607567999993</v>
      </c>
      <c r="G39" s="95"/>
      <c r="H39" s="95">
        <v>52.854647822000018</v>
      </c>
      <c r="I39" s="95">
        <v>36.327108624899978</v>
      </c>
      <c r="J39" s="95">
        <v>51.028916233100006</v>
      </c>
      <c r="K39" s="95">
        <v>1.4647349127599998</v>
      </c>
      <c r="L39" s="89" t="s">
        <v>218</v>
      </c>
      <c r="M39" s="95">
        <v>2831.0629492143075</v>
      </c>
      <c r="N39" s="95">
        <v>3.074E-2</v>
      </c>
      <c r="O39" s="95">
        <v>2377.1839488959999</v>
      </c>
      <c r="P39" s="95">
        <v>176.70331682581599</v>
      </c>
      <c r="Q39" s="95">
        <v>151.23159675911199</v>
      </c>
      <c r="R39" s="95">
        <v>94.452786231044001</v>
      </c>
      <c r="S39" s="95">
        <v>31.4605605023356</v>
      </c>
      <c r="T39" s="95"/>
      <c r="U39" s="89" t="s">
        <v>218</v>
      </c>
      <c r="V39" s="95">
        <v>2831.0629492143075</v>
      </c>
      <c r="W39" s="95">
        <v>143.38352740000002</v>
      </c>
      <c r="X39" s="95">
        <v>141.68459011999997</v>
      </c>
      <c r="Y39" s="95">
        <v>786.00308609999934</v>
      </c>
      <c r="Z39" s="95"/>
      <c r="AA39" s="95">
        <v>657.53831603399999</v>
      </c>
      <c r="AB39" s="95">
        <v>387.40407469510023</v>
      </c>
      <c r="AC39" s="95">
        <v>694.97966565090019</v>
      </c>
      <c r="AD39" s="95">
        <v>20.069689214307598</v>
      </c>
      <c r="AE39" s="64"/>
    </row>
    <row r="40" spans="2:31" x14ac:dyDescent="0.25">
      <c r="B40" s="89" t="s">
        <v>219</v>
      </c>
      <c r="C40" s="95">
        <v>199.78035377034001</v>
      </c>
      <c r="D40" s="95">
        <v>10.299990060000001</v>
      </c>
      <c r="E40" s="95">
        <v>9.8879220360000009</v>
      </c>
      <c r="F40" s="95">
        <v>54.335809503999997</v>
      </c>
      <c r="G40" s="95"/>
      <c r="H40" s="95">
        <v>43.745942095999979</v>
      </c>
      <c r="I40" s="95">
        <v>30.223444721100009</v>
      </c>
      <c r="J40" s="95">
        <v>50.01695158290002</v>
      </c>
      <c r="K40" s="95">
        <v>1.2702937703399999</v>
      </c>
      <c r="L40" s="89" t="s">
        <v>219</v>
      </c>
      <c r="M40" s="95">
        <v>2805.1303410920736</v>
      </c>
      <c r="N40" s="95">
        <v>3.4340000000000002E-2</v>
      </c>
      <c r="O40" s="95">
        <v>2465.715787864</v>
      </c>
      <c r="P40" s="95">
        <v>102.957245878644</v>
      </c>
      <c r="Q40" s="95">
        <v>126.10867782610801</v>
      </c>
      <c r="R40" s="95">
        <v>92.416827224846003</v>
      </c>
      <c r="S40" s="95">
        <v>17.8974622984754</v>
      </c>
      <c r="T40" s="95"/>
      <c r="U40" s="89" t="s">
        <v>219</v>
      </c>
      <c r="V40" s="95">
        <v>2805.1303410920732</v>
      </c>
      <c r="W40" s="95">
        <v>141.57232084000006</v>
      </c>
      <c r="X40" s="95">
        <v>140.65346110399994</v>
      </c>
      <c r="Y40" s="95">
        <v>780.52154903599944</v>
      </c>
      <c r="Z40" s="95"/>
      <c r="AA40" s="95">
        <v>649.14100634200008</v>
      </c>
      <c r="AB40" s="95">
        <v>381.78968317240037</v>
      </c>
      <c r="AC40" s="95">
        <v>694.04684950560022</v>
      </c>
      <c r="AD40" s="95">
        <v>17.405471092073398</v>
      </c>
      <c r="AE40" s="64"/>
    </row>
    <row r="41" spans="2:31" x14ac:dyDescent="0.25">
      <c r="B41" s="89" t="s">
        <v>220</v>
      </c>
      <c r="C41" s="95">
        <v>193.99786867444001</v>
      </c>
      <c r="D41" s="95">
        <v>10.007551509999999</v>
      </c>
      <c r="E41" s="95">
        <v>9.3878832259999996</v>
      </c>
      <c r="F41" s="95">
        <v>51.67766300400001</v>
      </c>
      <c r="G41" s="95"/>
      <c r="H41" s="95">
        <v>42.39032212799998</v>
      </c>
      <c r="I41" s="95">
        <v>29.321763576199999</v>
      </c>
      <c r="J41" s="95">
        <v>49.866336555800018</v>
      </c>
      <c r="K41" s="95">
        <v>1.3463486744399999</v>
      </c>
      <c r="L41" s="89" t="s">
        <v>220</v>
      </c>
      <c r="M41" s="95">
        <v>3196.2615497511647</v>
      </c>
      <c r="N41" s="95">
        <v>2.9950000000000001E-2</v>
      </c>
      <c r="O41" s="95">
        <v>2328.3584462240001</v>
      </c>
      <c r="P41" s="95">
        <v>50.990778001704001</v>
      </c>
      <c r="Q41" s="95">
        <v>738.65398748152802</v>
      </c>
      <c r="R41" s="95">
        <v>65.737520280636005</v>
      </c>
      <c r="S41" s="95">
        <v>12.4908677632964</v>
      </c>
      <c r="T41" s="95"/>
      <c r="U41" s="89" t="s">
        <v>220</v>
      </c>
      <c r="V41" s="95">
        <v>3196.2615497511647</v>
      </c>
      <c r="W41" s="95">
        <v>163.33017302499999</v>
      </c>
      <c r="X41" s="95">
        <v>170.60560143499995</v>
      </c>
      <c r="Y41" s="95">
        <v>939.74419285999966</v>
      </c>
      <c r="Z41" s="95"/>
      <c r="AA41" s="95">
        <v>750.00520950400005</v>
      </c>
      <c r="AB41" s="95">
        <v>448.87605274929956</v>
      </c>
      <c r="AC41" s="95">
        <v>705.25275042670137</v>
      </c>
      <c r="AD41" s="95">
        <v>18.447569751164398</v>
      </c>
      <c r="AE41" s="64"/>
    </row>
    <row r="42" spans="2:31" x14ac:dyDescent="0.25">
      <c r="B42" s="89" t="s">
        <v>221</v>
      </c>
      <c r="C42" s="95">
        <v>177.73841239999999</v>
      </c>
      <c r="D42" s="95">
        <v>9.23018216</v>
      </c>
      <c r="E42" s="95">
        <v>8.1087961360000005</v>
      </c>
      <c r="F42" s="95">
        <v>44.878182603999988</v>
      </c>
      <c r="G42" s="95"/>
      <c r="H42" s="95">
        <v>38.786768300000006</v>
      </c>
      <c r="I42" s="95">
        <v>26.924858018899997</v>
      </c>
      <c r="J42" s="95">
        <v>49.465972781099993</v>
      </c>
      <c r="K42" s="95">
        <v>0.34365239999999997</v>
      </c>
      <c r="L42" s="89" t="s">
        <v>221</v>
      </c>
      <c r="M42" s="95">
        <v>2763.6900761613197</v>
      </c>
      <c r="N42" s="95">
        <v>2.81E-2</v>
      </c>
      <c r="O42" s="95">
        <v>2355.5040979999999</v>
      </c>
      <c r="P42" s="95">
        <v>115.60176676</v>
      </c>
      <c r="Q42" s="95">
        <v>173.95838379999998</v>
      </c>
      <c r="R42" s="95">
        <v>63.103226816000003</v>
      </c>
      <c r="S42" s="95">
        <v>55.49450078532</v>
      </c>
      <c r="T42" s="95"/>
      <c r="U42" s="89" t="s">
        <v>221</v>
      </c>
      <c r="V42" s="95">
        <v>2763.6900761613197</v>
      </c>
      <c r="W42" s="95">
        <v>141.11798092500001</v>
      </c>
      <c r="X42" s="95">
        <v>136.63395073499998</v>
      </c>
      <c r="Y42" s="95">
        <v>759.15457997999988</v>
      </c>
      <c r="Z42" s="95"/>
      <c r="AA42" s="95">
        <v>647.03696746800017</v>
      </c>
      <c r="AB42" s="95">
        <v>380.38839119599925</v>
      </c>
      <c r="AC42" s="95">
        <v>693.81285969600049</v>
      </c>
      <c r="AD42" s="95">
        <v>5.5453461613200004</v>
      </c>
      <c r="AE42" s="64"/>
    </row>
    <row r="43" spans="2:31" x14ac:dyDescent="0.25">
      <c r="B43" s="89" t="s">
        <v>222</v>
      </c>
      <c r="C43" s="95">
        <v>225.17373704736002</v>
      </c>
      <c r="D43" s="95">
        <v>11.740838205000001</v>
      </c>
      <c r="E43" s="95">
        <v>11.708167263</v>
      </c>
      <c r="F43" s="95">
        <v>64.01206761200001</v>
      </c>
      <c r="G43" s="95"/>
      <c r="H43" s="95">
        <v>50.42549229399998</v>
      </c>
      <c r="I43" s="95">
        <v>34.666040422700007</v>
      </c>
      <c r="J43" s="95">
        <v>50.759024203300015</v>
      </c>
      <c r="K43" s="95">
        <v>1.8621070473599999</v>
      </c>
      <c r="L43" s="89" t="s">
        <v>222</v>
      </c>
      <c r="M43" s="95">
        <v>3044.4248127509536</v>
      </c>
      <c r="N43" s="95">
        <v>3.0179999999999998E-2</v>
      </c>
      <c r="O43" s="95">
        <v>2766.265315056</v>
      </c>
      <c r="P43" s="95">
        <v>109.706835050176</v>
      </c>
      <c r="Q43" s="95">
        <v>83.963334493632004</v>
      </c>
      <c r="R43" s="95">
        <v>73.893393514783995</v>
      </c>
      <c r="S43" s="95">
        <v>10.5657546363616</v>
      </c>
      <c r="T43" s="95"/>
      <c r="U43" s="89" t="s">
        <v>222</v>
      </c>
      <c r="V43" s="95">
        <v>3044.4248127509541</v>
      </c>
      <c r="W43" s="95">
        <v>154.92105554</v>
      </c>
      <c r="X43" s="95">
        <v>157.74065748399997</v>
      </c>
      <c r="Y43" s="95">
        <v>871.35553575599965</v>
      </c>
      <c r="Z43" s="95"/>
      <c r="AA43" s="95">
        <v>711.02336957399973</v>
      </c>
      <c r="AB43" s="95">
        <v>422.94791920329976</v>
      </c>
      <c r="AC43" s="95">
        <v>700.92182244270089</v>
      </c>
      <c r="AD43" s="95">
        <v>25.514452750953602</v>
      </c>
      <c r="AE43" s="64"/>
    </row>
    <row r="44" spans="2:31" x14ac:dyDescent="0.25">
      <c r="B44" s="89" t="s">
        <v>223</v>
      </c>
      <c r="C44" s="95">
        <v>215.083298082</v>
      </c>
      <c r="D44" s="95">
        <v>11.144419885</v>
      </c>
      <c r="E44" s="95">
        <v>11.036537350999998</v>
      </c>
      <c r="F44" s="95">
        <v>60.441737044000007</v>
      </c>
      <c r="G44" s="95"/>
      <c r="H44" s="95">
        <v>47.660543707999992</v>
      </c>
      <c r="I44" s="95">
        <v>32.827103489400002</v>
      </c>
      <c r="J44" s="95">
        <v>50.451858522599991</v>
      </c>
      <c r="K44" s="95">
        <v>1.521098082</v>
      </c>
      <c r="L44" s="89" t="s">
        <v>223</v>
      </c>
      <c r="M44" s="95">
        <v>3052.6613531818202</v>
      </c>
      <c r="N44" s="95">
        <v>3.0329999999999999E-2</v>
      </c>
      <c r="O44" s="95">
        <v>2525.3162772000001</v>
      </c>
      <c r="P44" s="95">
        <v>60.380412461199995</v>
      </c>
      <c r="Q44" s="95">
        <v>395.19190310839997</v>
      </c>
      <c r="R44" s="95">
        <v>56.960841115799994</v>
      </c>
      <c r="S44" s="95">
        <v>14.78158929642</v>
      </c>
      <c r="T44" s="95"/>
      <c r="U44" s="89" t="s">
        <v>223</v>
      </c>
      <c r="V44" s="95">
        <v>3052.6613531818202</v>
      </c>
      <c r="W44" s="95">
        <v>154.75826447</v>
      </c>
      <c r="X44" s="95">
        <v>160.02280880199996</v>
      </c>
      <c r="Y44" s="95">
        <v>883.48698324799966</v>
      </c>
      <c r="Z44" s="95"/>
      <c r="AA44" s="95">
        <v>710.2670665600001</v>
      </c>
      <c r="AB44" s="95">
        <v>422.44627742839998</v>
      </c>
      <c r="AC44" s="95">
        <v>700.83797949160044</v>
      </c>
      <c r="AD44" s="95">
        <v>20.841973181819998</v>
      </c>
      <c r="AE44" s="64"/>
    </row>
    <row r="45" spans="2:31" x14ac:dyDescent="0.25">
      <c r="B45" s="89" t="s">
        <v>266</v>
      </c>
      <c r="C45" s="95">
        <v>221.59477014490159</v>
      </c>
      <c r="D45" s="95">
        <v>11.539092492709827</v>
      </c>
      <c r="E45" s="95">
        <v>11.486234160688158</v>
      </c>
      <c r="F45" s="95">
        <v>62.832290755369343</v>
      </c>
      <c r="G45" s="95"/>
      <c r="H45" s="95">
        <v>49.490204914388507</v>
      </c>
      <c r="I45" s="95">
        <v>34.060429868707566</v>
      </c>
      <c r="J45" s="95">
        <v>50.655123580801757</v>
      </c>
      <c r="K45" s="95">
        <v>1.5313943722364456</v>
      </c>
      <c r="L45" s="89" t="s">
        <v>266</v>
      </c>
      <c r="M45" s="95">
        <v>2943.1006697148</v>
      </c>
      <c r="N45" s="95">
        <v>3.0548291884983061E-2</v>
      </c>
      <c r="O45" s="95">
        <v>2536.282722212432</v>
      </c>
      <c r="P45" s="95">
        <v>126.54315593825575</v>
      </c>
      <c r="Q45" s="95">
        <v>178.36936977226043</v>
      </c>
      <c r="R45" s="95">
        <v>80.136307291217122</v>
      </c>
      <c r="S45" s="95">
        <v>21.738566208750079</v>
      </c>
      <c r="T45" s="95"/>
      <c r="U45" s="89" t="s">
        <v>266</v>
      </c>
      <c r="V45" s="95">
        <v>2943.1006697148005</v>
      </c>
      <c r="W45" s="95">
        <v>149.45485737990873</v>
      </c>
      <c r="X45" s="95">
        <v>150.39773533514546</v>
      </c>
      <c r="Y45" s="95">
        <v>832.3212699909941</v>
      </c>
      <c r="Z45" s="95"/>
      <c r="AA45" s="95">
        <v>685.68328391720695</v>
      </c>
      <c r="AB45" s="95">
        <v>406.10480267698108</v>
      </c>
      <c r="AC45" s="95">
        <v>698.10657500970194</v>
      </c>
      <c r="AD45" s="95">
        <v>21.032145404862167</v>
      </c>
      <c r="AE45" s="64"/>
    </row>
    <row r="46" spans="2:31" x14ac:dyDescent="0.25">
      <c r="B46" s="89" t="s">
        <v>224</v>
      </c>
      <c r="C46" s="95">
        <v>223.14361491276</v>
      </c>
      <c r="D46" s="95">
        <v>11.624544615</v>
      </c>
      <c r="E46" s="95">
        <v>11.612514309000002</v>
      </c>
      <c r="F46" s="95">
        <v>63.503585275999995</v>
      </c>
      <c r="G46" s="95"/>
      <c r="H46" s="95">
        <v>49.886304663999994</v>
      </c>
      <c r="I46" s="95">
        <v>34.352802475999994</v>
      </c>
      <c r="J46" s="95">
        <v>50.699128660000014</v>
      </c>
      <c r="K46" s="95">
        <v>1.4647349127599998</v>
      </c>
      <c r="L46" s="89" t="s">
        <v>224</v>
      </c>
      <c r="M46" s="95">
        <v>2788.2091192143075</v>
      </c>
      <c r="N46" s="95">
        <v>3.141E-2</v>
      </c>
      <c r="O46" s="95">
        <v>2276.4051888959998</v>
      </c>
      <c r="P46" s="95">
        <v>162.750716825816</v>
      </c>
      <c r="Q46" s="95">
        <v>190.48988675911198</v>
      </c>
      <c r="R46" s="95">
        <v>108.442276231044</v>
      </c>
      <c r="S46" s="95">
        <v>50.089640502335598</v>
      </c>
      <c r="T46" s="95"/>
      <c r="U46" s="89" t="s">
        <v>224</v>
      </c>
      <c r="V46" s="95">
        <v>2788.2091192143075</v>
      </c>
      <c r="W46" s="95">
        <v>141.05893610999999</v>
      </c>
      <c r="X46" s="95">
        <v>138.29815926599997</v>
      </c>
      <c r="Y46" s="95">
        <v>768.00116178400049</v>
      </c>
      <c r="Z46" s="95"/>
      <c r="AA46" s="95">
        <v>646.76214332599943</v>
      </c>
      <c r="AB46" s="95">
        <v>380.23660227650043</v>
      </c>
      <c r="AC46" s="95">
        <v>693.78242723749963</v>
      </c>
      <c r="AD46" s="95">
        <v>20.069689214307598</v>
      </c>
      <c r="AE46" s="64"/>
    </row>
    <row r="47" spans="2:31" x14ac:dyDescent="0.25">
      <c r="B47" s="89" t="s">
        <v>225</v>
      </c>
      <c r="C47" s="95">
        <v>188.51613867444001</v>
      </c>
      <c r="D47" s="95">
        <v>9.7051183300000012</v>
      </c>
      <c r="E47" s="95">
        <v>8.9621214380000005</v>
      </c>
      <c r="F47" s="95">
        <v>49.414354091999996</v>
      </c>
      <c r="G47" s="95"/>
      <c r="H47" s="95">
        <v>40.988342574000001</v>
      </c>
      <c r="I47" s="95">
        <v>28.389274469700013</v>
      </c>
      <c r="J47" s="95">
        <v>49.710579096299995</v>
      </c>
      <c r="K47" s="95">
        <v>1.3463486744399999</v>
      </c>
      <c r="L47" s="89" t="s">
        <v>225</v>
      </c>
      <c r="M47" s="95">
        <v>3124.2120297511638</v>
      </c>
      <c r="N47" s="95">
        <v>3.0429999999999999E-2</v>
      </c>
      <c r="O47" s="95">
        <v>2288.219786224</v>
      </c>
      <c r="P47" s="95">
        <v>51.329538001704002</v>
      </c>
      <c r="Q47" s="95">
        <v>687.12745748152804</v>
      </c>
      <c r="R47" s="95">
        <v>82.657660280635994</v>
      </c>
      <c r="S47" s="95">
        <v>14.8471577632964</v>
      </c>
      <c r="T47" s="95"/>
      <c r="U47" s="89" t="s">
        <v>225</v>
      </c>
      <c r="V47" s="95">
        <v>3124.2120297511642</v>
      </c>
      <c r="W47" s="95">
        <v>159.34294759499997</v>
      </c>
      <c r="X47" s="95">
        <v>165.02744693700001</v>
      </c>
      <c r="Y47" s="95">
        <v>910.09128206800028</v>
      </c>
      <c r="Z47" s="95"/>
      <c r="AA47" s="95">
        <v>731.5214238799997</v>
      </c>
      <c r="AB47" s="95">
        <v>436.5821383655998</v>
      </c>
      <c r="AC47" s="95">
        <v>703.19922115439977</v>
      </c>
      <c r="AD47" s="95">
        <v>18.447569751164398</v>
      </c>
      <c r="AE47" s="64"/>
    </row>
    <row r="48" spans="2:31" x14ac:dyDescent="0.25">
      <c r="B48" s="89" t="s">
        <v>226</v>
      </c>
      <c r="C48" s="95">
        <v>222.34830704736001</v>
      </c>
      <c r="D48" s="95">
        <v>11.58567199</v>
      </c>
      <c r="E48" s="95">
        <v>11.487675313999999</v>
      </c>
      <c r="F48" s="95">
        <v>62.839955935999996</v>
      </c>
      <c r="G48" s="95"/>
      <c r="H48" s="95">
        <v>49.70618301399999</v>
      </c>
      <c r="I48" s="95">
        <v>34.18760100130001</v>
      </c>
      <c r="J48" s="95">
        <v>50.679112744700006</v>
      </c>
      <c r="K48" s="95">
        <v>1.8621070473599999</v>
      </c>
      <c r="L48" s="89" t="s">
        <v>226</v>
      </c>
      <c r="M48" s="95">
        <v>2982.3597127509543</v>
      </c>
      <c r="N48" s="95">
        <v>3.0710000000000001E-2</v>
      </c>
      <c r="O48" s="95">
        <v>2657.6506050560001</v>
      </c>
      <c r="P48" s="95">
        <v>147.24743505017599</v>
      </c>
      <c r="Q48" s="95">
        <v>83.852094493631995</v>
      </c>
      <c r="R48" s="95">
        <v>83.015013514784002</v>
      </c>
      <c r="S48" s="95">
        <v>10.563854636361599</v>
      </c>
      <c r="T48" s="95"/>
      <c r="U48" s="89" t="s">
        <v>226</v>
      </c>
      <c r="V48" s="95">
        <v>2982.3597127509547</v>
      </c>
      <c r="W48" s="95">
        <v>151.512562425</v>
      </c>
      <c r="X48" s="95">
        <v>152.89720687499999</v>
      </c>
      <c r="Y48" s="95">
        <v>845.6082492400003</v>
      </c>
      <c r="Z48" s="95"/>
      <c r="AA48" s="95">
        <v>695.22248529199976</v>
      </c>
      <c r="AB48" s="95">
        <v>412.43840293079984</v>
      </c>
      <c r="AC48" s="95">
        <v>699.16635323720084</v>
      </c>
      <c r="AD48" s="95">
        <v>25.514452750953602</v>
      </c>
      <c r="AE48" s="64"/>
    </row>
    <row r="49" spans="2:31" x14ac:dyDescent="0.25">
      <c r="B49" s="89" t="s">
        <v>227</v>
      </c>
      <c r="C49" s="95">
        <v>161.92209081755999</v>
      </c>
      <c r="D49" s="95">
        <v>8.1989974350000008</v>
      </c>
      <c r="E49" s="95">
        <v>6.868280961</v>
      </c>
      <c r="F49" s="95">
        <v>38.283701584000013</v>
      </c>
      <c r="G49" s="95"/>
      <c r="H49" s="95">
        <v>34.006319995999988</v>
      </c>
      <c r="I49" s="95">
        <v>23.745402864900001</v>
      </c>
      <c r="J49" s="95">
        <v>48.934877159099997</v>
      </c>
      <c r="K49" s="95">
        <v>1.8845108175600001</v>
      </c>
      <c r="L49" s="89" t="s">
        <v>227</v>
      </c>
      <c r="M49" s="95">
        <v>2680.5610375497558</v>
      </c>
      <c r="N49" s="95">
        <v>2.6679999999999999E-2</v>
      </c>
      <c r="O49" s="95">
        <v>2486.9825569760001</v>
      </c>
      <c r="P49" s="95">
        <v>46.657345365495999</v>
      </c>
      <c r="Q49" s="95">
        <v>82.768711368872005</v>
      </c>
      <c r="R49" s="95">
        <v>53.848531314163999</v>
      </c>
      <c r="S49" s="95">
        <v>10.2772125252236</v>
      </c>
      <c r="T49" s="95"/>
      <c r="U49" s="89" t="s">
        <v>227</v>
      </c>
      <c r="V49" s="95">
        <v>2680.5610375497563</v>
      </c>
      <c r="W49" s="95">
        <v>133.94226896500001</v>
      </c>
      <c r="X49" s="95">
        <v>130.75332287899997</v>
      </c>
      <c r="Y49" s="95">
        <v>727.89333775600016</v>
      </c>
      <c r="Z49" s="95"/>
      <c r="AA49" s="95">
        <v>613.76956165399997</v>
      </c>
      <c r="AB49" s="95">
        <v>358.26393386060022</v>
      </c>
      <c r="AC49" s="95">
        <v>690.11718488540009</v>
      </c>
      <c r="AD49" s="95">
        <v>25.821427549755601</v>
      </c>
      <c r="AE49" s="64"/>
    </row>
    <row r="50" spans="2:31" x14ac:dyDescent="0.25">
      <c r="B50" s="89" t="s">
        <v>228</v>
      </c>
      <c r="C50" s="95">
        <v>192.25402030539999</v>
      </c>
      <c r="D50" s="95">
        <v>9.9342880450000006</v>
      </c>
      <c r="E50" s="95">
        <v>9.1589148469999984</v>
      </c>
      <c r="F50" s="95">
        <v>50.460504427999979</v>
      </c>
      <c r="G50" s="95"/>
      <c r="H50" s="95">
        <v>42.050771836000003</v>
      </c>
      <c r="I50" s="95">
        <v>29.09584485229999</v>
      </c>
      <c r="J50" s="95">
        <v>49.828605991700016</v>
      </c>
      <c r="K50" s="95">
        <v>1.7250903053999997</v>
      </c>
      <c r="L50" s="89" t="s">
        <v>228</v>
      </c>
      <c r="M50" s="95">
        <v>2688.827339507754</v>
      </c>
      <c r="N50" s="95">
        <v>2.8420000000000001E-2</v>
      </c>
      <c r="O50" s="95">
        <v>2461.6210278399999</v>
      </c>
      <c r="P50" s="95">
        <v>65.210144279639991</v>
      </c>
      <c r="Q50" s="95">
        <v>85.610739393480003</v>
      </c>
      <c r="R50" s="95">
        <v>54.734330552260005</v>
      </c>
      <c r="S50" s="95">
        <v>21.622677442374002</v>
      </c>
      <c r="T50" s="95"/>
      <c r="U50" s="89" t="s">
        <v>228</v>
      </c>
      <c r="V50" s="95">
        <v>2688.827339507754</v>
      </c>
      <c r="W50" s="95">
        <v>135.40895181499999</v>
      </c>
      <c r="X50" s="95">
        <v>130.263417589</v>
      </c>
      <c r="Y50" s="95">
        <v>725.28929601599975</v>
      </c>
      <c r="Z50" s="95"/>
      <c r="AA50" s="95">
        <v>620.57029196399981</v>
      </c>
      <c r="AB50" s="95">
        <v>362.78578812390015</v>
      </c>
      <c r="AC50" s="95">
        <v>690.87253449210016</v>
      </c>
      <c r="AD50" s="95">
        <v>23.637059507754003</v>
      </c>
      <c r="AE50" s="64"/>
    </row>
    <row r="51" spans="2:31" x14ac:dyDescent="0.25">
      <c r="B51" s="89" t="s">
        <v>229</v>
      </c>
      <c r="C51" s="95">
        <v>187.72256098290001</v>
      </c>
      <c r="D51" s="95">
        <v>9.68228534</v>
      </c>
      <c r="E51" s="95">
        <v>8.8122158439999989</v>
      </c>
      <c r="F51" s="95">
        <v>48.617485155999987</v>
      </c>
      <c r="G51" s="95"/>
      <c r="H51" s="95">
        <v>40.882561333999995</v>
      </c>
      <c r="I51" s="95">
        <v>28.318843228900022</v>
      </c>
      <c r="J51" s="95">
        <v>49.698819097099999</v>
      </c>
      <c r="K51" s="95">
        <v>1.7103509828999999</v>
      </c>
      <c r="L51" s="89" t="s">
        <v>229</v>
      </c>
      <c r="M51" s="95">
        <v>2577.1528724032792</v>
      </c>
      <c r="N51" s="95">
        <v>2.81E-2</v>
      </c>
      <c r="O51" s="95">
        <v>2181.13391684</v>
      </c>
      <c r="P51" s="95">
        <v>232.75060565114001</v>
      </c>
      <c r="Q51" s="95">
        <v>82.677134343980001</v>
      </c>
      <c r="R51" s="95">
        <v>68.224907789509999</v>
      </c>
      <c r="S51" s="95">
        <v>12.338207778649</v>
      </c>
      <c r="T51" s="95"/>
      <c r="U51" s="89" t="s">
        <v>229</v>
      </c>
      <c r="V51" s="95">
        <v>2577.1528724032792</v>
      </c>
      <c r="W51" s="95">
        <v>129.45843847500001</v>
      </c>
      <c r="X51" s="95">
        <v>121.313708625</v>
      </c>
      <c r="Y51" s="95">
        <v>677.71359432000054</v>
      </c>
      <c r="Z51" s="95"/>
      <c r="AA51" s="95">
        <v>592.98570586799974</v>
      </c>
      <c r="AB51" s="95">
        <v>344.43845608510014</v>
      </c>
      <c r="AC51" s="95">
        <v>687.80786662689979</v>
      </c>
      <c r="AD51" s="95">
        <v>23.435102403279004</v>
      </c>
      <c r="AE51" s="64"/>
    </row>
    <row r="52" spans="2:31" x14ac:dyDescent="0.25">
      <c r="B52" s="89" t="s">
        <v>265</v>
      </c>
      <c r="C52" s="95">
        <v>204.25948666863422</v>
      </c>
      <c r="D52" s="95">
        <v>10.587554339799816</v>
      </c>
      <c r="E52" s="95">
        <v>10.103548820970881</v>
      </c>
      <c r="F52" s="95">
        <v>55.482078361962664</v>
      </c>
      <c r="G52" s="95"/>
      <c r="H52" s="95">
        <v>45.079144295177144</v>
      </c>
      <c r="I52" s="95">
        <v>31.112967927419113</v>
      </c>
      <c r="J52" s="95">
        <v>50.165055450048442</v>
      </c>
      <c r="K52" s="95">
        <v>1.7291374732561866</v>
      </c>
      <c r="L52" s="89" t="s">
        <v>265</v>
      </c>
      <c r="M52" s="95">
        <v>2832.8513841629142</v>
      </c>
      <c r="N52" s="95">
        <v>2.9620832893341404E-2</v>
      </c>
      <c r="O52" s="95">
        <v>2451.8204450433959</v>
      </c>
      <c r="P52" s="95">
        <v>140.16309369301337</v>
      </c>
      <c r="Q52" s="95">
        <v>149.57525991338707</v>
      </c>
      <c r="R52" s="95">
        <v>75.412689308611164</v>
      </c>
      <c r="S52" s="95">
        <v>15.85027537161263</v>
      </c>
      <c r="T52" s="95"/>
      <c r="U52" s="89" t="s">
        <v>265</v>
      </c>
      <c r="V52" s="95">
        <v>2832.8513841629142</v>
      </c>
      <c r="W52" s="95">
        <v>143.33620874926447</v>
      </c>
      <c r="X52" s="95">
        <v>141.46778154564475</v>
      </c>
      <c r="Y52" s="95">
        <v>784.85056388122575</v>
      </c>
      <c r="Z52" s="95"/>
      <c r="AA52" s="95">
        <v>657.31899890275122</v>
      </c>
      <c r="AB52" s="95">
        <v>387.23001609960164</v>
      </c>
      <c r="AC52" s="95">
        <v>694.95530148266698</v>
      </c>
      <c r="AD52" s="95">
        <v>23.692513501759475</v>
      </c>
      <c r="AE52" s="64"/>
    </row>
    <row r="53" spans="2:31" x14ac:dyDescent="0.25">
      <c r="B53" s="89" t="s">
        <v>230</v>
      </c>
      <c r="C53" s="95">
        <v>158.32989000000001</v>
      </c>
      <c r="D53" s="95">
        <v>8.1417403450000005</v>
      </c>
      <c r="E53" s="95">
        <v>6.6855154670000001</v>
      </c>
      <c r="F53" s="95">
        <v>37.313751087999989</v>
      </c>
      <c r="G53" s="95"/>
      <c r="H53" s="95">
        <v>33.740967175999998</v>
      </c>
      <c r="I53" s="95">
        <v>23.542521302300003</v>
      </c>
      <c r="J53" s="95">
        <v>48.905394621700012</v>
      </c>
      <c r="K53" s="96"/>
      <c r="L53" s="89" t="s">
        <v>230</v>
      </c>
      <c r="M53" s="95">
        <v>2732.61454</v>
      </c>
      <c r="N53" s="95">
        <v>2.8049999999999999E-2</v>
      </c>
      <c r="O53" s="95">
        <v>1960.1996999999999</v>
      </c>
      <c r="P53" s="95">
        <v>93.814670000000007</v>
      </c>
      <c r="Q53" s="95">
        <v>535.31709000000001</v>
      </c>
      <c r="R53" s="95">
        <v>71.414510000000007</v>
      </c>
      <c r="S53" s="95">
        <v>71.840519999999998</v>
      </c>
      <c r="T53" s="95"/>
      <c r="U53" s="89" t="s">
        <v>230</v>
      </c>
      <c r="V53" s="95">
        <v>2732.6145399999996</v>
      </c>
      <c r="W53" s="95">
        <v>138.94871383500001</v>
      </c>
      <c r="X53" s="95">
        <v>135.77633768099997</v>
      </c>
      <c r="Y53" s="95">
        <v>754.60036112399985</v>
      </c>
      <c r="Z53" s="95"/>
      <c r="AA53" s="95">
        <v>636.97936477199994</v>
      </c>
      <c r="AB53" s="95">
        <v>373.61413752960016</v>
      </c>
      <c r="AC53" s="95">
        <v>692.69562505840008</v>
      </c>
      <c r="AD53" s="95"/>
      <c r="AE53" s="64"/>
    </row>
    <row r="54" spans="2:31" x14ac:dyDescent="0.25">
      <c r="B54" s="89" t="s">
        <v>231</v>
      </c>
      <c r="C54" s="95">
        <v>148.95956000000001</v>
      </c>
      <c r="D54" s="95">
        <v>7.6272663500000002</v>
      </c>
      <c r="E54" s="95">
        <v>5.9540904100000001</v>
      </c>
      <c r="F54" s="95">
        <v>33.425571980000001</v>
      </c>
      <c r="G54" s="95"/>
      <c r="H54" s="95">
        <v>31.355986479999991</v>
      </c>
      <c r="I54" s="95">
        <v>21.956223544300002</v>
      </c>
      <c r="J54" s="95">
        <v>48.640421235700018</v>
      </c>
      <c r="K54" s="95"/>
      <c r="L54" s="89" t="s">
        <v>231</v>
      </c>
      <c r="M54" s="95">
        <v>2604.1613599999996</v>
      </c>
      <c r="N54" s="95">
        <v>2.7980000000000001E-2</v>
      </c>
      <c r="O54" s="95">
        <v>1842.4324799999999</v>
      </c>
      <c r="P54" s="95">
        <v>92.712559999999996</v>
      </c>
      <c r="Q54" s="95">
        <v>485.38589000000002</v>
      </c>
      <c r="R54" s="95">
        <v>70.657769999999999</v>
      </c>
      <c r="S54" s="95">
        <v>112.94468000000001</v>
      </c>
      <c r="T54" s="95"/>
      <c r="U54" s="89" t="s">
        <v>231</v>
      </c>
      <c r="V54" s="95">
        <v>2604.1613600000001</v>
      </c>
      <c r="W54" s="95">
        <v>131.884589175</v>
      </c>
      <c r="X54" s="95">
        <v>125.766272325</v>
      </c>
      <c r="Y54" s="95">
        <v>701.38786316000005</v>
      </c>
      <c r="Z54" s="95"/>
      <c r="AA54" s="95">
        <v>604.23201896799958</v>
      </c>
      <c r="AB54" s="95">
        <v>351.83322323430025</v>
      </c>
      <c r="AC54" s="95">
        <v>689.05739313769982</v>
      </c>
      <c r="AD54" s="95"/>
      <c r="AE54" s="64"/>
    </row>
    <row r="55" spans="2:31" x14ac:dyDescent="0.25">
      <c r="B55" s="89" t="s">
        <v>232</v>
      </c>
      <c r="C55" s="95">
        <v>146.94658999999999</v>
      </c>
      <c r="D55" s="95">
        <v>7.5153797100000004</v>
      </c>
      <c r="E55" s="95">
        <v>5.798953386</v>
      </c>
      <c r="F55" s="95">
        <v>32.600882884000001</v>
      </c>
      <c r="G55" s="95"/>
      <c r="H55" s="95">
        <v>30.837323119999994</v>
      </c>
      <c r="I55" s="95">
        <v>21.611251977400002</v>
      </c>
      <c r="J55" s="95">
        <v>48.582798922599991</v>
      </c>
      <c r="K55" s="95"/>
      <c r="L55" s="89" t="s">
        <v>232</v>
      </c>
      <c r="M55" s="95">
        <v>2512.0454599999998</v>
      </c>
      <c r="N55" s="95">
        <v>2.801E-2</v>
      </c>
      <c r="O55" s="95">
        <v>1818.9086500000001</v>
      </c>
      <c r="P55" s="95">
        <v>91.325680000000006</v>
      </c>
      <c r="Q55" s="95">
        <v>413.69378</v>
      </c>
      <c r="R55" s="95">
        <v>69.968959999999996</v>
      </c>
      <c r="S55" s="95">
        <v>118.12038</v>
      </c>
      <c r="T55" s="95"/>
      <c r="U55" s="89" t="s">
        <v>232</v>
      </c>
      <c r="V55" s="95">
        <v>2512.0454599999998</v>
      </c>
      <c r="W55" s="95">
        <v>126.80661035999999</v>
      </c>
      <c r="X55" s="95">
        <v>118.60569729599999</v>
      </c>
      <c r="Y55" s="95">
        <v>663.32297146399992</v>
      </c>
      <c r="Z55" s="95"/>
      <c r="AA55" s="95">
        <v>580.69187907399987</v>
      </c>
      <c r="AB55" s="95">
        <v>336.17619935560015</v>
      </c>
      <c r="AC55" s="95">
        <v>686.44210245039994</v>
      </c>
      <c r="AD55" s="95"/>
      <c r="AE55" s="64"/>
    </row>
    <row r="56" spans="2:31" x14ac:dyDescent="0.25">
      <c r="B56" s="89" t="s">
        <v>233</v>
      </c>
      <c r="C56" s="95">
        <v>143.37628000000001</v>
      </c>
      <c r="D56" s="95">
        <v>7.3182892650000007</v>
      </c>
      <c r="E56" s="95">
        <v>5.5218170189999993</v>
      </c>
      <c r="F56" s="95">
        <v>31.127654816000003</v>
      </c>
      <c r="G56" s="95"/>
      <c r="H56" s="95">
        <v>29.92366840599999</v>
      </c>
      <c r="I56" s="95">
        <v>21.003563268899995</v>
      </c>
      <c r="J56" s="95">
        <v>48.481287225100019</v>
      </c>
      <c r="K56" s="95"/>
      <c r="L56" s="89" t="s">
        <v>233</v>
      </c>
      <c r="M56" s="95">
        <v>2453.7902100000001</v>
      </c>
      <c r="N56" s="95">
        <v>2.7990000000000001E-2</v>
      </c>
      <c r="O56" s="95">
        <v>1779.66317</v>
      </c>
      <c r="P56" s="95">
        <v>89.554410000000004</v>
      </c>
      <c r="Q56" s="95">
        <v>390.89343000000002</v>
      </c>
      <c r="R56" s="95">
        <v>69.50573</v>
      </c>
      <c r="S56" s="95">
        <v>124.14548000000001</v>
      </c>
      <c r="T56" s="95"/>
      <c r="U56" s="89" t="s">
        <v>233</v>
      </c>
      <c r="V56" s="95">
        <v>2453.7902100000001</v>
      </c>
      <c r="W56" s="95">
        <v>123.58172076000001</v>
      </c>
      <c r="X56" s="95">
        <v>114.09703089599998</v>
      </c>
      <c r="Y56" s="95">
        <v>639.35534302400015</v>
      </c>
      <c r="Z56" s="95"/>
      <c r="AA56" s="95">
        <v>565.74209553999981</v>
      </c>
      <c r="AB56" s="95">
        <v>326.23281742109998</v>
      </c>
      <c r="AC56" s="95">
        <v>684.78120235890037</v>
      </c>
      <c r="AD56" s="95"/>
      <c r="AE56" s="64"/>
    </row>
    <row r="57" spans="2:31" x14ac:dyDescent="0.25">
      <c r="B57" s="89" t="s">
        <v>234</v>
      </c>
      <c r="C57" s="95">
        <v>141.49591000000001</v>
      </c>
      <c r="D57" s="95">
        <v>7.2143850249999995</v>
      </c>
      <c r="E57" s="95">
        <v>5.3760078350000011</v>
      </c>
      <c r="F57" s="95">
        <v>30.352545980000002</v>
      </c>
      <c r="G57" s="95"/>
      <c r="H57" s="95">
        <v>29.441993931999995</v>
      </c>
      <c r="I57" s="95">
        <v>20.683198413999989</v>
      </c>
      <c r="J57" s="95">
        <v>48.427778814000021</v>
      </c>
      <c r="K57" s="95"/>
      <c r="L57" s="89" t="s">
        <v>234</v>
      </c>
      <c r="M57" s="95">
        <v>2416.6185300000002</v>
      </c>
      <c r="N57" s="95">
        <v>2.7959999999999999E-2</v>
      </c>
      <c r="O57" s="95">
        <v>1766.925</v>
      </c>
      <c r="P57" s="95">
        <v>87.613619999999997</v>
      </c>
      <c r="Q57" s="95">
        <v>370.22349000000003</v>
      </c>
      <c r="R57" s="95">
        <v>68.533799999999999</v>
      </c>
      <c r="S57" s="95">
        <v>123.29465999999999</v>
      </c>
      <c r="T57" s="95"/>
      <c r="U57" s="89" t="s">
        <v>234</v>
      </c>
      <c r="V57" s="95">
        <v>2416.6185300000006</v>
      </c>
      <c r="W57" s="95">
        <v>121.52589521499999</v>
      </c>
      <c r="X57" s="95">
        <v>111.217332869</v>
      </c>
      <c r="Y57" s="95">
        <v>624.0471580960002</v>
      </c>
      <c r="Z57" s="95"/>
      <c r="AA57" s="95">
        <v>556.21174222999991</v>
      </c>
      <c r="AB57" s="95">
        <v>319.89401521640002</v>
      </c>
      <c r="AC57" s="95">
        <v>683.72238637360033</v>
      </c>
      <c r="AD57" s="95"/>
      <c r="AE57" s="64"/>
    </row>
    <row r="58" spans="2:31" x14ac:dyDescent="0.25">
      <c r="B58" s="89" t="s">
        <v>235</v>
      </c>
      <c r="C58" s="95">
        <v>139.6756</v>
      </c>
      <c r="D58" s="95">
        <v>7.1141393850000005</v>
      </c>
      <c r="E58" s="95">
        <v>5.2343642909999994</v>
      </c>
      <c r="F58" s="95">
        <v>29.599581584000006</v>
      </c>
      <c r="G58" s="95"/>
      <c r="H58" s="95">
        <v>28.977272457999984</v>
      </c>
      <c r="I58" s="95">
        <v>20.374094263100005</v>
      </c>
      <c r="J58" s="95">
        <v>48.376148018900011</v>
      </c>
      <c r="K58" s="95"/>
      <c r="L58" s="89" t="s">
        <v>235</v>
      </c>
      <c r="M58" s="95">
        <v>2384.1665199999998</v>
      </c>
      <c r="N58" s="95">
        <v>2.793E-2</v>
      </c>
      <c r="O58" s="95">
        <v>1753.3897999999999</v>
      </c>
      <c r="P58" s="95">
        <v>85.315889999999996</v>
      </c>
      <c r="Q58" s="95">
        <v>357.21325999999999</v>
      </c>
      <c r="R58" s="95">
        <v>67.744820000000004</v>
      </c>
      <c r="S58" s="95">
        <v>120.47481999999999</v>
      </c>
      <c r="T58" s="95"/>
      <c r="U58" s="89" t="s">
        <v>235</v>
      </c>
      <c r="V58" s="95">
        <v>2384.1665199999998</v>
      </c>
      <c r="W58" s="95">
        <v>119.73586696000001</v>
      </c>
      <c r="X58" s="95">
        <v>108.69627533599999</v>
      </c>
      <c r="Y58" s="95">
        <v>610.64547094399995</v>
      </c>
      <c r="Z58" s="95"/>
      <c r="AA58" s="95">
        <v>547.91365230399958</v>
      </c>
      <c r="AB58" s="95">
        <v>314.3747812454003</v>
      </c>
      <c r="AC58" s="95">
        <v>682.80047321059988</v>
      </c>
      <c r="AD58" s="95"/>
      <c r="AE58" s="64"/>
    </row>
    <row r="59" spans="2:31" x14ac:dyDescent="0.25">
      <c r="B59" s="89" t="s">
        <v>236</v>
      </c>
      <c r="C59" s="95">
        <v>138.43948</v>
      </c>
      <c r="D59" s="95">
        <v>7.0462973</v>
      </c>
      <c r="E59" s="95">
        <v>5.1378364599999991</v>
      </c>
      <c r="F59" s="95">
        <v>29.08644996000001</v>
      </c>
      <c r="G59" s="95"/>
      <c r="H59" s="95">
        <v>28.662771479999993</v>
      </c>
      <c r="I59" s="95">
        <v>20.164919598599994</v>
      </c>
      <c r="J59" s="95">
        <v>48.341205201400015</v>
      </c>
      <c r="K59" s="95"/>
      <c r="L59" s="89" t="s">
        <v>236</v>
      </c>
      <c r="M59" s="95">
        <v>2349.6212299999997</v>
      </c>
      <c r="N59" s="95">
        <v>2.793E-2</v>
      </c>
      <c r="O59" s="95">
        <v>1741.8547799999999</v>
      </c>
      <c r="P59" s="95">
        <v>83.081829999999997</v>
      </c>
      <c r="Q59" s="95">
        <v>338.90615000000003</v>
      </c>
      <c r="R59" s="95">
        <v>67.12603</v>
      </c>
      <c r="S59" s="95">
        <v>118.62451</v>
      </c>
      <c r="T59" s="95"/>
      <c r="U59" s="89" t="s">
        <v>236</v>
      </c>
      <c r="V59" s="95">
        <v>2349.6212299999997</v>
      </c>
      <c r="W59" s="95">
        <v>117.84186794499999</v>
      </c>
      <c r="X59" s="95">
        <v>105.995785547</v>
      </c>
      <c r="Y59" s="95">
        <v>596.289944268</v>
      </c>
      <c r="Z59" s="95"/>
      <c r="AA59" s="95">
        <v>539.13361662</v>
      </c>
      <c r="AB59" s="95">
        <v>308.5350141045999</v>
      </c>
      <c r="AC59" s="95">
        <v>681.82500151539989</v>
      </c>
      <c r="AD59" s="95"/>
      <c r="AE59" s="64"/>
    </row>
    <row r="60" spans="2:31" x14ac:dyDescent="0.25">
      <c r="B60" s="89" t="s">
        <v>237</v>
      </c>
      <c r="C60" s="94">
        <v>328.44374446630002</v>
      </c>
      <c r="D60" s="94">
        <v>22.497659954</v>
      </c>
      <c r="E60" s="94">
        <v>23.497343791999999</v>
      </c>
      <c r="F60" s="94">
        <v>127.99560225800001</v>
      </c>
      <c r="G60" s="94">
        <v>22.432368753999999</v>
      </c>
      <c r="H60" s="94">
        <v>39.086953807999976</v>
      </c>
      <c r="I60" s="94">
        <v>38.566200667899977</v>
      </c>
      <c r="J60" s="94">
        <v>51.403270766100036</v>
      </c>
      <c r="K60" s="94">
        <v>2.9643444662999996</v>
      </c>
      <c r="L60" s="89" t="s">
        <v>237</v>
      </c>
      <c r="M60" s="94">
        <v>3964.0089581718134</v>
      </c>
      <c r="N60" s="94">
        <v>5.2200000000000003E-2</v>
      </c>
      <c r="O60" s="94">
        <v>3449.0476034800004</v>
      </c>
      <c r="P60" s="94">
        <v>209.87401738557998</v>
      </c>
      <c r="Q60" s="94">
        <v>165.29361844106</v>
      </c>
      <c r="R60" s="94">
        <v>116.62980641997001</v>
      </c>
      <c r="S60" s="94">
        <v>23.111712445203</v>
      </c>
      <c r="T60" s="94"/>
      <c r="U60" s="89" t="s">
        <v>237</v>
      </c>
      <c r="V60" s="94">
        <v>3964.0089581718134</v>
      </c>
      <c r="W60" s="94">
        <v>253.45665522100003</v>
      </c>
      <c r="X60" s="94">
        <v>252.74369932299996</v>
      </c>
      <c r="Y60" s="94">
        <v>1400.5750952420003</v>
      </c>
      <c r="Z60" s="94">
        <v>237.10110098299981</v>
      </c>
      <c r="AA60" s="94">
        <v>686.43044840999983</v>
      </c>
      <c r="AB60" s="94">
        <v>396.57012548560033</v>
      </c>
      <c r="AC60" s="94">
        <v>696.51460533540012</v>
      </c>
      <c r="AD60" s="94">
        <v>40.617228171812997</v>
      </c>
      <c r="AE60" s="64"/>
    </row>
    <row r="61" spans="2:31" x14ac:dyDescent="0.25">
      <c r="B61" s="89" t="s">
        <v>238</v>
      </c>
      <c r="C61" s="94">
        <v>249.6146524255</v>
      </c>
      <c r="D61" s="94">
        <v>16.956161607000002</v>
      </c>
      <c r="E61" s="94">
        <v>16.114533040999998</v>
      </c>
      <c r="F61" s="94">
        <v>89.015776309000017</v>
      </c>
      <c r="G61" s="94">
        <v>14.557118284999977</v>
      </c>
      <c r="H61" s="94">
        <v>33.053318611000009</v>
      </c>
      <c r="I61" s="94">
        <v>28.148111742200001</v>
      </c>
      <c r="J61" s="94">
        <v>49.748380404800002</v>
      </c>
      <c r="K61" s="94">
        <v>2.0212524254999997</v>
      </c>
      <c r="L61" s="89" t="s">
        <v>238</v>
      </c>
      <c r="M61" s="94">
        <v>4083.4220209270056</v>
      </c>
      <c r="N61" s="94">
        <v>4.845E-2</v>
      </c>
      <c r="O61" s="94">
        <v>3066.6130298000003</v>
      </c>
      <c r="P61" s="94">
        <v>87.458444588299997</v>
      </c>
      <c r="Q61" s="94">
        <v>763.0114437881</v>
      </c>
      <c r="R61" s="94">
        <v>89.847646198450008</v>
      </c>
      <c r="S61" s="94">
        <v>76.443006552154998</v>
      </c>
      <c r="T61" s="94"/>
      <c r="U61" s="89" t="s">
        <v>238</v>
      </c>
      <c r="V61" s="94">
        <v>4083.4220209270047</v>
      </c>
      <c r="W61" s="94">
        <v>261.35696895000001</v>
      </c>
      <c r="X61" s="94">
        <v>274.75101675000002</v>
      </c>
      <c r="Y61" s="94">
        <v>1521.4312494330004</v>
      </c>
      <c r="Z61" s="94">
        <v>247.85985932400007</v>
      </c>
      <c r="AA61" s="94">
        <v>634.15643705999946</v>
      </c>
      <c r="AB61" s="94">
        <v>410.80165645039961</v>
      </c>
      <c r="AC61" s="94">
        <v>705.3697820326006</v>
      </c>
      <c r="AD61" s="94">
        <v>27.695050927005006</v>
      </c>
      <c r="AE61" s="64"/>
    </row>
    <row r="62" spans="2:31" x14ac:dyDescent="0.25">
      <c r="B62" s="89" t="s">
        <v>239</v>
      </c>
      <c r="C62" s="94">
        <v>232.29817263045001</v>
      </c>
      <c r="D62" s="94">
        <v>15.547521836</v>
      </c>
      <c r="E62" s="94">
        <v>13.792115978</v>
      </c>
      <c r="F62" s="94">
        <v>76.396836098000009</v>
      </c>
      <c r="G62" s="94">
        <v>12.891590409999996</v>
      </c>
      <c r="H62" s="94">
        <v>35.616287785999987</v>
      </c>
      <c r="I62" s="94">
        <v>26.146772808000009</v>
      </c>
      <c r="J62" s="94">
        <v>49.336215084000003</v>
      </c>
      <c r="K62" s="94">
        <v>2.57083263045</v>
      </c>
      <c r="L62" s="89" t="s">
        <v>239</v>
      </c>
      <c r="M62" s="94">
        <v>4120.363898162529</v>
      </c>
      <c r="N62" s="94">
        <v>5.4600000000000003E-2</v>
      </c>
      <c r="O62" s="94">
        <v>2984.9761028200001</v>
      </c>
      <c r="P62" s="94">
        <v>122.50621118296999</v>
      </c>
      <c r="Q62" s="94">
        <v>884.57225893378995</v>
      </c>
      <c r="R62" s="94">
        <v>107.05323247885499</v>
      </c>
      <c r="S62" s="94">
        <v>21.2014927469145</v>
      </c>
      <c r="T62" s="94"/>
      <c r="U62" s="89" t="s">
        <v>239</v>
      </c>
      <c r="V62" s="94">
        <v>4120.363898162529</v>
      </c>
      <c r="W62" s="94">
        <v>263.96845798399994</v>
      </c>
      <c r="X62" s="94">
        <v>270.11763281199995</v>
      </c>
      <c r="Y62" s="94">
        <v>1492.944959054</v>
      </c>
      <c r="Z62" s="94">
        <v>251.531123949</v>
      </c>
      <c r="AA62" s="94">
        <v>691.67992525600039</v>
      </c>
      <c r="AB62" s="94">
        <v>415.25551456579979</v>
      </c>
      <c r="AC62" s="94">
        <v>699.64092637919975</v>
      </c>
      <c r="AD62" s="94">
        <v>35.225358162529503</v>
      </c>
      <c r="AE62" s="64"/>
    </row>
    <row r="63" spans="2:31" x14ac:dyDescent="0.25">
      <c r="B63" s="89" t="s">
        <v>240</v>
      </c>
      <c r="C63" s="94">
        <v>241.95863700000001</v>
      </c>
      <c r="D63" s="94">
        <v>16.548425124000001</v>
      </c>
      <c r="E63" s="94">
        <v>14.834044112000001</v>
      </c>
      <c r="F63" s="94">
        <v>81.936380021000019</v>
      </c>
      <c r="G63" s="94">
        <v>14.265579615999979</v>
      </c>
      <c r="H63" s="94">
        <v>36.116070578499986</v>
      </c>
      <c r="I63" s="94">
        <v>27.928758064300013</v>
      </c>
      <c r="J63" s="94">
        <v>49.633892484200004</v>
      </c>
      <c r="K63" s="94">
        <v>0.69548699999999997</v>
      </c>
      <c r="L63" s="89" t="s">
        <v>240</v>
      </c>
      <c r="M63" s="94">
        <v>3819.0648243741002</v>
      </c>
      <c r="N63" s="94">
        <v>4.9050000000000003E-2</v>
      </c>
      <c r="O63" s="94">
        <v>3324.0105400000002</v>
      </c>
      <c r="P63" s="94">
        <v>176.9029913</v>
      </c>
      <c r="Q63" s="94">
        <v>181.68154150000001</v>
      </c>
      <c r="R63" s="94">
        <v>78.019093080000005</v>
      </c>
      <c r="S63" s="94">
        <v>58.401608494100003</v>
      </c>
      <c r="T63" s="94"/>
      <c r="U63" s="89" t="s">
        <v>240</v>
      </c>
      <c r="V63" s="94">
        <v>3819.0648243740998</v>
      </c>
      <c r="W63" s="94">
        <v>246.64677776200003</v>
      </c>
      <c r="X63" s="94">
        <v>239.79191641599991</v>
      </c>
      <c r="Y63" s="94">
        <v>1331.7161104410004</v>
      </c>
      <c r="Z63" s="94">
        <v>227.75294795499974</v>
      </c>
      <c r="AA63" s="94">
        <v>683.0294846610002</v>
      </c>
      <c r="AB63" s="94">
        <v>384.41562257770011</v>
      </c>
      <c r="AC63" s="94">
        <v>694.48924018729986</v>
      </c>
      <c r="AD63" s="94">
        <v>11.2227243741</v>
      </c>
      <c r="AE63" s="64"/>
    </row>
    <row r="64" spans="2:31" x14ac:dyDescent="0.25">
      <c r="B64" s="89" t="s">
        <v>241</v>
      </c>
      <c r="C64" s="94">
        <v>294.08852997679998</v>
      </c>
      <c r="D64" s="94">
        <v>20.041896104999999</v>
      </c>
      <c r="E64" s="94">
        <v>19.862753935000001</v>
      </c>
      <c r="F64" s="94">
        <v>108.67198515500002</v>
      </c>
      <c r="G64" s="94">
        <v>19.061245454000002</v>
      </c>
      <c r="H64" s="94">
        <v>37.860612380499987</v>
      </c>
      <c r="I64" s="94">
        <v>34.148592760500009</v>
      </c>
      <c r="J64" s="94">
        <v>50.672894209999981</v>
      </c>
      <c r="K64" s="94">
        <v>3.7685499767999997</v>
      </c>
      <c r="L64" s="89" t="s">
        <v>241</v>
      </c>
      <c r="M64" s="94">
        <v>4228.4795724721689</v>
      </c>
      <c r="N64" s="94">
        <v>5.1659999999999998E-2</v>
      </c>
      <c r="O64" s="94">
        <v>3892.8944292800002</v>
      </c>
      <c r="P64" s="94">
        <v>104.42853093488</v>
      </c>
      <c r="Q64" s="94">
        <v>110.12162385616</v>
      </c>
      <c r="R64" s="94">
        <v>107.39480877992</v>
      </c>
      <c r="S64" s="94">
        <v>13.588519621208</v>
      </c>
      <c r="T64" s="94"/>
      <c r="U64" s="89" t="s">
        <v>241</v>
      </c>
      <c r="V64" s="94">
        <v>4228.479572472168</v>
      </c>
      <c r="W64" s="94">
        <v>271.95484893500003</v>
      </c>
      <c r="X64" s="94">
        <v>278.37722036500008</v>
      </c>
      <c r="Y64" s="94">
        <v>1536.8581843330001</v>
      </c>
      <c r="Z64" s="94">
        <v>262.49447823999952</v>
      </c>
      <c r="AA64" s="94">
        <v>695.66779634500062</v>
      </c>
      <c r="AB64" s="94">
        <v>429.47444829489905</v>
      </c>
      <c r="AC64" s="94">
        <v>702.01620348710048</v>
      </c>
      <c r="AD64" s="94">
        <v>51.636392472167991</v>
      </c>
      <c r="AE64" s="64"/>
    </row>
    <row r="65" spans="2:31" x14ac:dyDescent="0.25">
      <c r="B65" s="89" t="s">
        <v>242</v>
      </c>
      <c r="C65" s="94">
        <v>288.983812785</v>
      </c>
      <c r="D65" s="94">
        <v>19.587622054000001</v>
      </c>
      <c r="E65" s="94">
        <v>19.519859791999998</v>
      </c>
      <c r="F65" s="94">
        <v>106.84891774900002</v>
      </c>
      <c r="G65" s="94">
        <v>18.437631789999987</v>
      </c>
      <c r="H65" s="94">
        <v>37.633781667999983</v>
      </c>
      <c r="I65" s="94">
        <v>33.339799884099989</v>
      </c>
      <c r="J65" s="94">
        <v>50.537787062900009</v>
      </c>
      <c r="K65" s="94">
        <v>3.0784127849999998</v>
      </c>
      <c r="L65" s="89" t="s">
        <v>242</v>
      </c>
      <c r="M65" s="94">
        <v>4257.9241838203498</v>
      </c>
      <c r="N65" s="94">
        <v>5.237E-2</v>
      </c>
      <c r="O65" s="94">
        <v>3488.5735359999999</v>
      </c>
      <c r="P65" s="94">
        <v>73.997524980999998</v>
      </c>
      <c r="Q65" s="94">
        <v>600.80669176699996</v>
      </c>
      <c r="R65" s="94">
        <v>76.763385591499997</v>
      </c>
      <c r="S65" s="94">
        <v>17.73067548085</v>
      </c>
      <c r="T65" s="94"/>
      <c r="U65" s="89" t="s">
        <v>242</v>
      </c>
      <c r="V65" s="94">
        <v>4257.9241838203498</v>
      </c>
      <c r="W65" s="94">
        <v>272.77947966499994</v>
      </c>
      <c r="X65" s="94">
        <v>283.88951294499998</v>
      </c>
      <c r="Y65" s="94">
        <v>1566.1643336080003</v>
      </c>
      <c r="Z65" s="94">
        <v>263.62642360599983</v>
      </c>
      <c r="AA65" s="94">
        <v>696.08000061999974</v>
      </c>
      <c r="AB65" s="94">
        <v>430.94280945000082</v>
      </c>
      <c r="AC65" s="94">
        <v>702.2614401059991</v>
      </c>
      <c r="AD65" s="94">
        <v>42.180183820350003</v>
      </c>
      <c r="AE65" s="64"/>
    </row>
    <row r="66" spans="2:31" x14ac:dyDescent="0.25">
      <c r="B66" s="89" t="s">
        <v>264</v>
      </c>
      <c r="C66" s="94">
        <v>289.73066883508693</v>
      </c>
      <c r="D66" s="94">
        <v>19.698533739970301</v>
      </c>
      <c r="E66" s="94">
        <v>19.578878907388319</v>
      </c>
      <c r="F66" s="94">
        <v>107.17929300118175</v>
      </c>
      <c r="G66" s="94">
        <v>18.57351573544015</v>
      </c>
      <c r="H66" s="94">
        <v>37.489765361880075</v>
      </c>
      <c r="I66" s="94">
        <v>33.51295863959156</v>
      </c>
      <c r="J66" s="94">
        <v>50.570360527076218</v>
      </c>
      <c r="K66" s="94">
        <v>3.1273629225585449</v>
      </c>
      <c r="L66" s="89" t="s">
        <v>264</v>
      </c>
      <c r="M66" s="94">
        <v>4179.4426511645379</v>
      </c>
      <c r="N66" s="94">
        <v>5.1958727069599642E-2</v>
      </c>
      <c r="O66" s="94">
        <v>3545.1120889942295</v>
      </c>
      <c r="P66" s="94">
        <v>108.39213852313654</v>
      </c>
      <c r="Q66" s="94">
        <v>409.83486375169218</v>
      </c>
      <c r="R66" s="94">
        <v>94.204283136136638</v>
      </c>
      <c r="S66" s="94">
        <v>21.847318032272682</v>
      </c>
      <c r="T66" s="94"/>
      <c r="U66" s="89" t="s">
        <v>264</v>
      </c>
      <c r="V66" s="94">
        <v>4179.4426511645379</v>
      </c>
      <c r="W66" s="94">
        <v>268.01746526632246</v>
      </c>
      <c r="X66" s="94">
        <v>275.52671497673362</v>
      </c>
      <c r="Y66" s="94">
        <v>1521.9381321699716</v>
      </c>
      <c r="Z66" s="94">
        <v>257.08413687091195</v>
      </c>
      <c r="AA66" s="94">
        <v>690.26992932763346</v>
      </c>
      <c r="AB66" s="94">
        <v>422.48070782870002</v>
      </c>
      <c r="AC66" s="94">
        <v>701.24229069554281</v>
      </c>
      <c r="AD66" s="94">
        <v>42.883274028720777</v>
      </c>
      <c r="AE66" s="64"/>
    </row>
    <row r="67" spans="2:31" x14ac:dyDescent="0.25">
      <c r="B67" s="89" t="s">
        <v>243</v>
      </c>
      <c r="C67" s="94">
        <v>310.84470446630002</v>
      </c>
      <c r="D67" s="94">
        <v>21.238928171999998</v>
      </c>
      <c r="E67" s="94">
        <v>21.697569686000001</v>
      </c>
      <c r="F67" s="94">
        <v>118.42694472800002</v>
      </c>
      <c r="G67" s="94">
        <v>20.704460176999987</v>
      </c>
      <c r="H67" s="94">
        <v>38.458382831999984</v>
      </c>
      <c r="I67" s="94">
        <v>36.325163309999994</v>
      </c>
      <c r="J67" s="94">
        <v>51.028911095000012</v>
      </c>
      <c r="K67" s="94">
        <v>2.9643444662999996</v>
      </c>
      <c r="L67" s="89" t="s">
        <v>243</v>
      </c>
      <c r="M67" s="94">
        <v>3891.5902281718131</v>
      </c>
      <c r="N67" s="94">
        <v>5.2499999999999998E-2</v>
      </c>
      <c r="O67" s="94">
        <v>3297.7202334800004</v>
      </c>
      <c r="P67" s="94">
        <v>227.72578738557999</v>
      </c>
      <c r="Q67" s="94">
        <v>199.12108844106001</v>
      </c>
      <c r="R67" s="94">
        <v>125.68015641997</v>
      </c>
      <c r="S67" s="94">
        <v>41.290462445203005</v>
      </c>
      <c r="T67" s="94"/>
      <c r="U67" s="89" t="s">
        <v>243</v>
      </c>
      <c r="V67" s="94">
        <v>3891.5902281718131</v>
      </c>
      <c r="W67" s="94">
        <v>248.29578004000001</v>
      </c>
      <c r="X67" s="94">
        <v>245.32312633999999</v>
      </c>
      <c r="Y67" s="94">
        <v>1361.1229552389998</v>
      </c>
      <c r="Z67" s="94">
        <v>230.01655728500003</v>
      </c>
      <c r="AA67" s="94">
        <v>683.85324309899988</v>
      </c>
      <c r="AB67" s="94">
        <v>387.38165910420048</v>
      </c>
      <c r="AC67" s="94">
        <v>694.97967889279971</v>
      </c>
      <c r="AD67" s="94">
        <v>40.617228171812997</v>
      </c>
      <c r="AE67" s="64"/>
    </row>
    <row r="68" spans="2:31" x14ac:dyDescent="0.25">
      <c r="B68" s="89" t="s">
        <v>244</v>
      </c>
      <c r="C68" s="94">
        <v>264.65304263044999</v>
      </c>
      <c r="D68" s="94">
        <v>17.836386875999999</v>
      </c>
      <c r="E68" s="94">
        <v>17.120673608000001</v>
      </c>
      <c r="F68" s="94">
        <v>94.093415300000018</v>
      </c>
      <c r="G68" s="94">
        <v>16.033616995999978</v>
      </c>
      <c r="H68" s="94">
        <v>36.759280767000007</v>
      </c>
      <c r="I68" s="94">
        <v>30.221886902800009</v>
      </c>
      <c r="J68" s="94">
        <v>50.016949550199968</v>
      </c>
      <c r="K68" s="94">
        <v>2.57083263045</v>
      </c>
      <c r="L68" s="89" t="s">
        <v>244</v>
      </c>
      <c r="M68" s="94">
        <v>3859.3655581625294</v>
      </c>
      <c r="N68" s="94">
        <v>5.7290000000000001E-2</v>
      </c>
      <c r="O68" s="94">
        <v>3416.7823828199998</v>
      </c>
      <c r="P68" s="94">
        <v>130.16438118297</v>
      </c>
      <c r="Q68" s="94">
        <v>165.93914893378999</v>
      </c>
      <c r="R68" s="94">
        <v>123.08222247885499</v>
      </c>
      <c r="S68" s="94">
        <v>23.340132746914499</v>
      </c>
      <c r="T68" s="94"/>
      <c r="U68" s="89" t="s">
        <v>244</v>
      </c>
      <c r="V68" s="94">
        <v>3859.3655581625299</v>
      </c>
      <c r="W68" s="94">
        <v>245.15933226400006</v>
      </c>
      <c r="X68" s="94">
        <v>243.53775966199998</v>
      </c>
      <c r="Y68" s="94">
        <v>1351.6305751129998</v>
      </c>
      <c r="Z68" s="94">
        <v>225.71090317600027</v>
      </c>
      <c r="AA68" s="94">
        <v>682.28723768849977</v>
      </c>
      <c r="AB68" s="94">
        <v>381.76753172510053</v>
      </c>
      <c r="AC68" s="94">
        <v>694.04686037139982</v>
      </c>
      <c r="AD68" s="94">
        <v>35.225358162529503</v>
      </c>
      <c r="AE68" s="64"/>
    </row>
    <row r="69" spans="2:31" x14ac:dyDescent="0.25">
      <c r="B69" s="89" t="s">
        <v>245</v>
      </c>
      <c r="C69" s="94">
        <v>256.83130326970002</v>
      </c>
      <c r="D69" s="94">
        <v>17.329974045999997</v>
      </c>
      <c r="E69" s="94">
        <v>16.254867947999998</v>
      </c>
      <c r="F69" s="94">
        <v>89.490296467000022</v>
      </c>
      <c r="G69" s="94">
        <v>15.338438803999971</v>
      </c>
      <c r="H69" s="94">
        <v>36.506384765000007</v>
      </c>
      <c r="I69" s="94">
        <v>29.320252624999995</v>
      </c>
      <c r="J69" s="94">
        <v>49.86633534500001</v>
      </c>
      <c r="K69" s="94">
        <v>2.7247532696999999</v>
      </c>
      <c r="L69" s="89" t="s">
        <v>245</v>
      </c>
      <c r="M69" s="94">
        <v>4375.565227353547</v>
      </c>
      <c r="N69" s="94">
        <v>5.1459999999999999E-2</v>
      </c>
      <c r="O69" s="94">
        <v>3232.7786121199997</v>
      </c>
      <c r="P69" s="94">
        <v>61.183851432019999</v>
      </c>
      <c r="Q69" s="94">
        <v>977.74573752213996</v>
      </c>
      <c r="R69" s="94">
        <v>87.645271758429999</v>
      </c>
      <c r="S69" s="94">
        <v>16.160294520956999</v>
      </c>
      <c r="T69" s="94"/>
      <c r="U69" s="89" t="s">
        <v>245</v>
      </c>
      <c r="V69" s="94">
        <v>4375.565227353547</v>
      </c>
      <c r="W69" s="94">
        <v>282.837181165</v>
      </c>
      <c r="X69" s="94">
        <v>295.39916637499994</v>
      </c>
      <c r="Y69" s="94">
        <v>1627.3567801700001</v>
      </c>
      <c r="Z69" s="94">
        <v>277.4331848319996</v>
      </c>
      <c r="AA69" s="94">
        <v>701.10224785650007</v>
      </c>
      <c r="AB69" s="94">
        <v>448.84954852479996</v>
      </c>
      <c r="AC69" s="94">
        <v>705.25275107669995</v>
      </c>
      <c r="AD69" s="94">
        <v>37.334367353546995</v>
      </c>
      <c r="AE69" s="64"/>
    </row>
    <row r="70" spans="2:31" x14ac:dyDescent="0.25">
      <c r="B70" s="89" t="s">
        <v>246</v>
      </c>
      <c r="C70" s="94">
        <v>234.14920699999999</v>
      </c>
      <c r="D70" s="94">
        <v>15.983811535999999</v>
      </c>
      <c r="E70" s="94">
        <v>14.040158397999999</v>
      </c>
      <c r="F70" s="94">
        <v>77.715619801000003</v>
      </c>
      <c r="G70" s="94">
        <v>13.490509225</v>
      </c>
      <c r="H70" s="94">
        <v>35.834124416499989</v>
      </c>
      <c r="I70" s="94">
        <v>26.923523928899982</v>
      </c>
      <c r="J70" s="94">
        <v>49.465972694600026</v>
      </c>
      <c r="K70" s="94">
        <v>0.69548699999999997</v>
      </c>
      <c r="L70" s="89" t="s">
        <v>246</v>
      </c>
      <c r="M70" s="94">
        <v>3787.5069043740996</v>
      </c>
      <c r="N70" s="94">
        <v>4.8989999999999999E-2</v>
      </c>
      <c r="O70" s="94">
        <v>3254.9075200000002</v>
      </c>
      <c r="P70" s="94">
        <v>146.55241129999999</v>
      </c>
      <c r="Q70" s="94">
        <v>228.91598150000002</v>
      </c>
      <c r="R70" s="94">
        <v>84.092003079999998</v>
      </c>
      <c r="S70" s="94">
        <v>72.989998494099993</v>
      </c>
      <c r="T70" s="94"/>
      <c r="U70" s="89" t="s">
        <v>246</v>
      </c>
      <c r="V70" s="94">
        <v>3787.5069043740996</v>
      </c>
      <c r="W70" s="94">
        <v>244.37255650500001</v>
      </c>
      <c r="X70" s="94">
        <v>236.57805543500001</v>
      </c>
      <c r="Y70" s="94">
        <v>1314.6293248260001</v>
      </c>
      <c r="Z70" s="94">
        <v>224.63100241799981</v>
      </c>
      <c r="AA70" s="94">
        <v>681.89381122150007</v>
      </c>
      <c r="AB70" s="94">
        <v>380.36657831800039</v>
      </c>
      <c r="AC70" s="94">
        <v>693.81285127649926</v>
      </c>
      <c r="AD70" s="94">
        <v>11.2227243741</v>
      </c>
      <c r="AE70" s="64"/>
    </row>
    <row r="71" spans="2:31" x14ac:dyDescent="0.25">
      <c r="B71" s="89" t="s">
        <v>247</v>
      </c>
      <c r="C71" s="94">
        <v>298.10946997679997</v>
      </c>
      <c r="D71" s="94">
        <v>20.331488792999998</v>
      </c>
      <c r="E71" s="94">
        <v>20.272383279000003</v>
      </c>
      <c r="F71" s="94">
        <v>110.84981181400002</v>
      </c>
      <c r="G71" s="94">
        <v>19.45878785899999</v>
      </c>
      <c r="H71" s="94">
        <v>38.005227992999977</v>
      </c>
      <c r="I71" s="94">
        <v>34.664193548399993</v>
      </c>
      <c r="J71" s="94">
        <v>50.759026713600008</v>
      </c>
      <c r="K71" s="94">
        <v>3.7685499767999997</v>
      </c>
      <c r="L71" s="89" t="s">
        <v>247</v>
      </c>
      <c r="M71" s="94">
        <v>4177.0819824721675</v>
      </c>
      <c r="N71" s="94">
        <v>5.176E-2</v>
      </c>
      <c r="O71" s="94">
        <v>3816.0067392800001</v>
      </c>
      <c r="P71" s="94">
        <v>138.94728093487998</v>
      </c>
      <c r="Q71" s="94">
        <v>110.02597385616001</v>
      </c>
      <c r="R71" s="94">
        <v>98.438058779919999</v>
      </c>
      <c r="S71" s="94">
        <v>13.612169621208</v>
      </c>
      <c r="T71" s="94"/>
      <c r="U71" s="89" t="s">
        <v>247</v>
      </c>
      <c r="V71" s="94">
        <v>4177.0819824721684</v>
      </c>
      <c r="W71" s="94">
        <v>268.27519888399996</v>
      </c>
      <c r="X71" s="94">
        <v>273.12381971199994</v>
      </c>
      <c r="Y71" s="94">
        <v>1508.9279825570002</v>
      </c>
      <c r="Z71" s="94">
        <v>257.44329374600028</v>
      </c>
      <c r="AA71" s="94">
        <v>693.83028167449947</v>
      </c>
      <c r="AB71" s="94">
        <v>422.92319745880059</v>
      </c>
      <c r="AC71" s="94">
        <v>700.92181596769979</v>
      </c>
      <c r="AD71" s="94">
        <v>51.636392472167991</v>
      </c>
      <c r="AE71" s="64"/>
    </row>
    <row r="72" spans="2:31" x14ac:dyDescent="0.25">
      <c r="B72" s="89" t="s">
        <v>248</v>
      </c>
      <c r="C72" s="94">
        <v>284.961342785</v>
      </c>
      <c r="D72" s="94">
        <v>19.298677321</v>
      </c>
      <c r="E72" s="94">
        <v>19.109473172999998</v>
      </c>
      <c r="F72" s="94">
        <v>104.66706345600002</v>
      </c>
      <c r="G72" s="94">
        <v>18.040992135999989</v>
      </c>
      <c r="H72" s="94">
        <v>37.489494509499991</v>
      </c>
      <c r="I72" s="94">
        <v>32.8253705626</v>
      </c>
      <c r="J72" s="94">
        <v>50.451858841899991</v>
      </c>
      <c r="K72" s="94">
        <v>3.0784127849999998</v>
      </c>
      <c r="L72" s="89" t="s">
        <v>248</v>
      </c>
      <c r="M72" s="94">
        <v>4191.1902838203496</v>
      </c>
      <c r="N72" s="94">
        <v>5.1970000000000002E-2</v>
      </c>
      <c r="O72" s="94">
        <v>3498.9820359999999</v>
      </c>
      <c r="P72" s="94">
        <v>73.668384981000003</v>
      </c>
      <c r="Q72" s="94">
        <v>523.24770176699997</v>
      </c>
      <c r="R72" s="94">
        <v>76.031345591499999</v>
      </c>
      <c r="S72" s="94">
        <v>19.208845480850002</v>
      </c>
      <c r="T72" s="94"/>
      <c r="U72" s="89" t="s">
        <v>248</v>
      </c>
      <c r="V72" s="94">
        <v>4191.1902838203505</v>
      </c>
      <c r="W72" s="94">
        <v>267.993295262</v>
      </c>
      <c r="X72" s="94">
        <v>277.07532372599991</v>
      </c>
      <c r="Y72" s="94">
        <v>1529.9360537699997</v>
      </c>
      <c r="Z72" s="94">
        <v>257.05615448300028</v>
      </c>
      <c r="AA72" s="94">
        <v>693.68992344649996</v>
      </c>
      <c r="AB72" s="94">
        <v>422.42139318310001</v>
      </c>
      <c r="AC72" s="94">
        <v>700.83795612940048</v>
      </c>
      <c r="AD72" s="94">
        <v>42.180183820350003</v>
      </c>
      <c r="AE72" s="64"/>
    </row>
    <row r="73" spans="2:31" x14ac:dyDescent="0.25">
      <c r="B73" s="89" t="s">
        <v>262</v>
      </c>
      <c r="C73" s="94">
        <v>293.29999707969796</v>
      </c>
      <c r="D73" s="94">
        <v>19.982127817501954</v>
      </c>
      <c r="E73" s="94">
        <v>19.888111794812332</v>
      </c>
      <c r="F73" s="94">
        <v>108.80678998975364</v>
      </c>
      <c r="G73" s="94">
        <v>18.979194079180363</v>
      </c>
      <c r="H73" s="94">
        <v>37.830775114041437</v>
      </c>
      <c r="I73" s="94">
        <v>34.058625303159246</v>
      </c>
      <c r="J73" s="94">
        <v>50.655122466008521</v>
      </c>
      <c r="K73" s="94">
        <v>3.0992505152404259</v>
      </c>
      <c r="L73" s="89" t="s">
        <v>262</v>
      </c>
      <c r="M73" s="94">
        <v>4040.8568200100476</v>
      </c>
      <c r="N73" s="94">
        <v>5.2248880857470217E-2</v>
      </c>
      <c r="O73" s="94">
        <v>3509.2455651966948</v>
      </c>
      <c r="P73" s="94">
        <v>161.26585766515652</v>
      </c>
      <c r="Q73" s="94">
        <v>235.1694682431127</v>
      </c>
      <c r="R73" s="94">
        <v>106.71748015054318</v>
      </c>
      <c r="S73" s="94">
        <v>28.406199873683672</v>
      </c>
      <c r="T73" s="94"/>
      <c r="U73" s="89" t="s">
        <v>262</v>
      </c>
      <c r="V73" s="94">
        <v>4040.8568200100485</v>
      </c>
      <c r="W73" s="94">
        <v>258.80943973701812</v>
      </c>
      <c r="X73" s="94">
        <v>260.40972859991172</v>
      </c>
      <c r="Y73" s="94">
        <v>1441.3322592672175</v>
      </c>
      <c r="Z73" s="94">
        <v>244.44915767546223</v>
      </c>
      <c r="AA73" s="94">
        <v>689.10344904295562</v>
      </c>
      <c r="AB73" s="94">
        <v>406.08115375861792</v>
      </c>
      <c r="AC73" s="94">
        <v>698.10657575235803</v>
      </c>
      <c r="AD73" s="94">
        <v>42.565056176506765</v>
      </c>
      <c r="AE73" s="64"/>
    </row>
    <row r="74" spans="2:31" x14ac:dyDescent="0.25">
      <c r="B74" s="89" t="s">
        <v>249</v>
      </c>
      <c r="C74" s="94">
        <v>295.30757446630003</v>
      </c>
      <c r="D74" s="94">
        <v>20.130104378999999</v>
      </c>
      <c r="E74" s="94">
        <v>20.106762867</v>
      </c>
      <c r="F74" s="94">
        <v>109.969272256</v>
      </c>
      <c r="G74" s="94">
        <v>19.182312683000006</v>
      </c>
      <c r="H74" s="94">
        <v>37.904667007499967</v>
      </c>
      <c r="I74" s="94">
        <v>34.350983687300015</v>
      </c>
      <c r="J74" s="94">
        <v>50.699127120200018</v>
      </c>
      <c r="K74" s="94">
        <v>2.9643444662999996</v>
      </c>
      <c r="L74" s="89" t="s">
        <v>249</v>
      </c>
      <c r="M74" s="94">
        <v>3834.6268381718128</v>
      </c>
      <c r="N74" s="94">
        <v>5.339E-2</v>
      </c>
      <c r="O74" s="94">
        <v>3164.0578934800001</v>
      </c>
      <c r="P74" s="94">
        <v>209.22744738557998</v>
      </c>
      <c r="Q74" s="94">
        <v>251.11670844106001</v>
      </c>
      <c r="R74" s="94">
        <v>144.20622641996999</v>
      </c>
      <c r="S74" s="94">
        <v>65.965172445202995</v>
      </c>
      <c r="T74" s="94"/>
      <c r="U74" s="89" t="s">
        <v>249</v>
      </c>
      <c r="V74" s="94">
        <v>3834.6268381718128</v>
      </c>
      <c r="W74" s="94">
        <v>244.27030920599998</v>
      </c>
      <c r="X74" s="94">
        <v>239.45960214799996</v>
      </c>
      <c r="Y74" s="94">
        <v>1329.9489817760004</v>
      </c>
      <c r="Z74" s="94">
        <v>224.49057237199975</v>
      </c>
      <c r="AA74" s="94">
        <v>681.8430404174992</v>
      </c>
      <c r="AB74" s="94">
        <v>380.21464116530069</v>
      </c>
      <c r="AC74" s="94">
        <v>693.78246291519963</v>
      </c>
      <c r="AD74" s="94">
        <v>40.617228171812997</v>
      </c>
      <c r="AE74" s="64"/>
    </row>
    <row r="75" spans="2:31" x14ac:dyDescent="0.25">
      <c r="B75" s="89" t="s">
        <v>250</v>
      </c>
      <c r="C75" s="94">
        <v>249.58237326969999</v>
      </c>
      <c r="D75" s="94">
        <v>16.806253618</v>
      </c>
      <c r="E75" s="94">
        <v>15.517671654000001</v>
      </c>
      <c r="F75" s="94">
        <v>85.570919347</v>
      </c>
      <c r="G75" s="94">
        <v>14.619512566999983</v>
      </c>
      <c r="H75" s="94">
        <v>36.244853604500008</v>
      </c>
      <c r="I75" s="94">
        <v>28.38783465100002</v>
      </c>
      <c r="J75" s="94">
        <v>49.710574558499985</v>
      </c>
      <c r="K75" s="94">
        <v>2.7247532696999999</v>
      </c>
      <c r="L75" s="89" t="s">
        <v>250</v>
      </c>
      <c r="M75" s="94">
        <v>4280.3791973535472</v>
      </c>
      <c r="N75" s="94">
        <v>5.2089999999999997E-2</v>
      </c>
      <c r="O75" s="94">
        <v>3179.7836321199998</v>
      </c>
      <c r="P75" s="94">
        <v>61.633781432019994</v>
      </c>
      <c r="Q75" s="94">
        <v>909.54860752213995</v>
      </c>
      <c r="R75" s="94">
        <v>110.07692175843</v>
      </c>
      <c r="S75" s="94">
        <v>19.284164520956999</v>
      </c>
      <c r="T75" s="94"/>
      <c r="U75" s="89" t="s">
        <v>250</v>
      </c>
      <c r="V75" s="94">
        <v>4280.3791973535463</v>
      </c>
      <c r="W75" s="94">
        <v>275.93254388699995</v>
      </c>
      <c r="X75" s="94">
        <v>285.740726241</v>
      </c>
      <c r="Y75" s="94">
        <v>1576.0067682620002</v>
      </c>
      <c r="Z75" s="94">
        <v>267.9548164539994</v>
      </c>
      <c r="AA75" s="94">
        <v>697.65431550000039</v>
      </c>
      <c r="AB75" s="94">
        <v>436.55644313099992</v>
      </c>
      <c r="AC75" s="94">
        <v>703.19921652499988</v>
      </c>
      <c r="AD75" s="94">
        <v>37.334367353546995</v>
      </c>
      <c r="AE75" s="64"/>
    </row>
    <row r="76" spans="2:31" x14ac:dyDescent="0.25">
      <c r="B76" s="89" t="s">
        <v>251</v>
      </c>
      <c r="C76" s="94">
        <v>294.36788997679997</v>
      </c>
      <c r="D76" s="94">
        <v>20.062789054</v>
      </c>
      <c r="E76" s="94">
        <v>19.890606762000001</v>
      </c>
      <c r="F76" s="94">
        <v>108.820063382</v>
      </c>
      <c r="G76" s="94">
        <v>19.08993667899998</v>
      </c>
      <c r="H76" s="94">
        <v>37.871036064500004</v>
      </c>
      <c r="I76" s="94">
        <v>34.185794033899981</v>
      </c>
      <c r="J76" s="94">
        <v>50.679114024600011</v>
      </c>
      <c r="K76" s="94">
        <v>3.7685499767999997</v>
      </c>
      <c r="L76" s="89" t="s">
        <v>251</v>
      </c>
      <c r="M76" s="94">
        <v>4094.8921724721677</v>
      </c>
      <c r="N76" s="94">
        <v>5.246E-2</v>
      </c>
      <c r="O76" s="94">
        <v>3672.1735392800001</v>
      </c>
      <c r="P76" s="94">
        <v>188.66048093487998</v>
      </c>
      <c r="Q76" s="94">
        <v>109.87865385616</v>
      </c>
      <c r="R76" s="94">
        <v>110.51737877991999</v>
      </c>
      <c r="S76" s="94">
        <v>13.609659621208001</v>
      </c>
      <c r="T76" s="94"/>
      <c r="U76" s="89" t="s">
        <v>251</v>
      </c>
      <c r="V76" s="94">
        <v>4094.8921724721681</v>
      </c>
      <c r="W76" s="94">
        <v>262.37274640499999</v>
      </c>
      <c r="X76" s="94">
        <v>264.73750124499998</v>
      </c>
      <c r="Y76" s="94">
        <v>1464.3413484470002</v>
      </c>
      <c r="Z76" s="94">
        <v>249.34066481699944</v>
      </c>
      <c r="AA76" s="94">
        <v>690.88280024699998</v>
      </c>
      <c r="AB76" s="94">
        <v>412.41438286950006</v>
      </c>
      <c r="AC76" s="94">
        <v>699.16633596950032</v>
      </c>
      <c r="AD76" s="94">
        <v>51.636392472167991</v>
      </c>
      <c r="AE76" s="64"/>
    </row>
    <row r="77" spans="2:31" x14ac:dyDescent="0.25">
      <c r="B77" s="89" t="s">
        <v>252</v>
      </c>
      <c r="C77" s="94">
        <v>214.8609609403</v>
      </c>
      <c r="D77" s="94">
        <v>14.198119551</v>
      </c>
      <c r="E77" s="94">
        <v>11.892237382999999</v>
      </c>
      <c r="F77" s="94">
        <v>66.295943603000012</v>
      </c>
      <c r="G77" s="94">
        <v>11.039195375999984</v>
      </c>
      <c r="H77" s="94">
        <v>34.942426785500004</v>
      </c>
      <c r="I77" s="94">
        <v>23.744273873899999</v>
      </c>
      <c r="J77" s="94">
        <v>48.934873427599996</v>
      </c>
      <c r="K77" s="94">
        <v>3.8138909403000003</v>
      </c>
      <c r="L77" s="89" t="s">
        <v>252</v>
      </c>
      <c r="M77" s="94">
        <v>3702.716820993553</v>
      </c>
      <c r="N77" s="94">
        <v>4.7120000000000002E-2</v>
      </c>
      <c r="O77" s="94">
        <v>3453.6130538799998</v>
      </c>
      <c r="P77" s="94">
        <v>55.459643953980006</v>
      </c>
      <c r="Q77" s="94">
        <v>108.45418157986001</v>
      </c>
      <c r="R77" s="94">
        <v>71.911400040570001</v>
      </c>
      <c r="S77" s="94">
        <v>13.231421539143</v>
      </c>
      <c r="T77" s="94"/>
      <c r="U77" s="89" t="s">
        <v>252</v>
      </c>
      <c r="V77" s="94">
        <v>3702.7168209935535</v>
      </c>
      <c r="W77" s="94">
        <v>231.94644988900001</v>
      </c>
      <c r="X77" s="94">
        <v>226.39591313700001</v>
      </c>
      <c r="Y77" s="94">
        <v>1260.4941890699999</v>
      </c>
      <c r="Z77" s="94">
        <v>207.5728876310003</v>
      </c>
      <c r="AA77" s="94">
        <v>675.6893037149996</v>
      </c>
      <c r="AB77" s="94">
        <v>358.24325772519978</v>
      </c>
      <c r="AC77" s="94">
        <v>690.11716883280042</v>
      </c>
      <c r="AD77" s="94">
        <v>52.257650993553007</v>
      </c>
      <c r="AE77" s="64"/>
    </row>
    <row r="78" spans="2:31" x14ac:dyDescent="0.25">
      <c r="B78" s="89" t="s">
        <v>253</v>
      </c>
      <c r="C78" s="94">
        <v>254.46557418950002</v>
      </c>
      <c r="D78" s="94">
        <v>17.203104457000002</v>
      </c>
      <c r="E78" s="94">
        <v>15.858414010999997</v>
      </c>
      <c r="F78" s="94">
        <v>87.382539410000007</v>
      </c>
      <c r="G78" s="94">
        <v>15.164282140999994</v>
      </c>
      <c r="H78" s="94">
        <v>36.443005320500021</v>
      </c>
      <c r="I78" s="94">
        <v>29.094368359299949</v>
      </c>
      <c r="J78" s="94">
        <v>49.82860630120004</v>
      </c>
      <c r="K78" s="94">
        <v>3.4912541894999998</v>
      </c>
      <c r="L78" s="89" t="s">
        <v>253</v>
      </c>
      <c r="M78" s="94">
        <v>3705.5098561466452</v>
      </c>
      <c r="N78" s="94">
        <v>4.9419999999999999E-2</v>
      </c>
      <c r="O78" s="94">
        <v>3411.9078942000001</v>
      </c>
      <c r="P78" s="94">
        <v>80.026912470699997</v>
      </c>
      <c r="Q78" s="94">
        <v>112.2016647249</v>
      </c>
      <c r="R78" s="94">
        <v>73.065737070049991</v>
      </c>
      <c r="S78" s="94">
        <v>28.258227680994999</v>
      </c>
      <c r="T78" s="94"/>
      <c r="U78" s="89" t="s">
        <v>253</v>
      </c>
      <c r="V78" s="94">
        <v>3705.5098561466452</v>
      </c>
      <c r="W78" s="94">
        <v>234.48628949899998</v>
      </c>
      <c r="X78" s="94">
        <v>225.54763976700002</v>
      </c>
      <c r="Y78" s="94">
        <v>1255.9847474870005</v>
      </c>
      <c r="Z78" s="94">
        <v>211.05953304799931</v>
      </c>
      <c r="AA78" s="94">
        <v>676.95719558250016</v>
      </c>
      <c r="AB78" s="94">
        <v>362.76500824150025</v>
      </c>
      <c r="AC78" s="94">
        <v>690.87253637499998</v>
      </c>
      <c r="AD78" s="94">
        <v>47.836906146645006</v>
      </c>
      <c r="AE78" s="64"/>
    </row>
    <row r="79" spans="2:31" x14ac:dyDescent="0.25">
      <c r="B79" s="89" t="s">
        <v>254</v>
      </c>
      <c r="C79" s="94">
        <v>248.48379460825001</v>
      </c>
      <c r="D79" s="94">
        <v>16.766713964000001</v>
      </c>
      <c r="E79" s="94">
        <v>15.258113071999999</v>
      </c>
      <c r="F79" s="94">
        <v>84.190978854999997</v>
      </c>
      <c r="G79" s="94">
        <v>14.565232597999998</v>
      </c>
      <c r="H79" s="94">
        <v>36.225096372499991</v>
      </c>
      <c r="I79" s="94">
        <v>28.317414991200025</v>
      </c>
      <c r="J79" s="94">
        <v>49.698820147299983</v>
      </c>
      <c r="K79" s="94">
        <v>3.4614246082499998</v>
      </c>
      <c r="L79" s="89" t="s">
        <v>254</v>
      </c>
      <c r="M79" s="94">
        <v>3556.2116334352077</v>
      </c>
      <c r="N79" s="94">
        <v>4.9000000000000002E-2</v>
      </c>
      <c r="O79" s="94">
        <v>3039.1741117000001</v>
      </c>
      <c r="P79" s="94">
        <v>301.79799048445</v>
      </c>
      <c r="Q79" s="94">
        <v>108.31320569615001</v>
      </c>
      <c r="R79" s="94">
        <v>90.920241240675011</v>
      </c>
      <c r="S79" s="94">
        <v>15.9570843139325</v>
      </c>
      <c r="T79" s="94"/>
      <c r="U79" s="89" t="s">
        <v>254</v>
      </c>
      <c r="V79" s="94">
        <v>3556.2116334352072</v>
      </c>
      <c r="W79" s="94">
        <v>224.18184673500002</v>
      </c>
      <c r="X79" s="94">
        <v>210.05143081499997</v>
      </c>
      <c r="Y79" s="94">
        <v>1173.5977944030003</v>
      </c>
      <c r="Z79" s="94">
        <v>196.91419820299978</v>
      </c>
      <c r="AA79" s="94">
        <v>671.81140807149995</v>
      </c>
      <c r="AB79" s="94">
        <v>344.41891400149962</v>
      </c>
      <c r="AC79" s="94">
        <v>687.80785777100027</v>
      </c>
      <c r="AD79" s="94">
        <v>47.428183435207501</v>
      </c>
      <c r="AE79" s="64"/>
    </row>
    <row r="80" spans="2:31" x14ac:dyDescent="0.25">
      <c r="B80" s="89" t="s">
        <v>263</v>
      </c>
      <c r="C80" s="94">
        <v>270.40779834577364</v>
      </c>
      <c r="D80" s="94">
        <v>18.334358982414617</v>
      </c>
      <c r="E80" s="94">
        <v>17.494025151546012</v>
      </c>
      <c r="F80" s="94">
        <v>96.078410418771909</v>
      </c>
      <c r="G80" s="94">
        <v>16.717222586823418</v>
      </c>
      <c r="H80" s="94">
        <v>37.007921637165225</v>
      </c>
      <c r="I80" s="94">
        <v>31.11135907420746</v>
      </c>
      <c r="J80" s="94">
        <v>50.165055608493219</v>
      </c>
      <c r="K80" s="94">
        <v>3.4994448863518062</v>
      </c>
      <c r="L80" s="89" t="s">
        <v>263</v>
      </c>
      <c r="M80" s="94">
        <v>3896.1171026608827</v>
      </c>
      <c r="N80" s="94">
        <v>5.1015691323015797E-2</v>
      </c>
      <c r="O80" s="94">
        <v>3398.7531811630042</v>
      </c>
      <c r="P80" s="94">
        <v>179.26165625868941</v>
      </c>
      <c r="Q80" s="94">
        <v>196.98759965837431</v>
      </c>
      <c r="R80" s="94">
        <v>100.45212263770819</v>
      </c>
      <c r="S80" s="94">
        <v>20.611527251783045</v>
      </c>
      <c r="T80" s="94"/>
      <c r="U80" s="89" t="s">
        <v>263</v>
      </c>
      <c r="V80" s="94">
        <v>3896.1171026608827</v>
      </c>
      <c r="W80" s="94">
        <v>248.21383881908105</v>
      </c>
      <c r="X80" s="94">
        <v>244.94772667732289</v>
      </c>
      <c r="Y80" s="94">
        <v>1359.1271289478959</v>
      </c>
      <c r="Z80" s="94">
        <v>229.90403843901709</v>
      </c>
      <c r="AA80" s="94">
        <v>683.81230932220751</v>
      </c>
      <c r="AB80" s="94">
        <v>387.20763186118666</v>
      </c>
      <c r="AC80" s="94">
        <v>694.95529412632504</v>
      </c>
      <c r="AD80" s="94">
        <v>47.949134467846548</v>
      </c>
      <c r="AE80" s="64"/>
    </row>
    <row r="81" spans="2:31" x14ac:dyDescent="0.25">
      <c r="B81" s="89" t="s">
        <v>255</v>
      </c>
      <c r="C81" s="94">
        <v>208.52081000000001</v>
      </c>
      <c r="D81" s="94">
        <v>14.098968036999999</v>
      </c>
      <c r="E81" s="94">
        <v>11.575782761000001</v>
      </c>
      <c r="F81" s="94">
        <v>64.616277489000012</v>
      </c>
      <c r="G81" s="94">
        <v>10.903092935999986</v>
      </c>
      <c r="H81" s="94">
        <v>34.879900426499972</v>
      </c>
      <c r="I81" s="94">
        <v>23.541395397200006</v>
      </c>
      <c r="J81" s="94">
        <v>48.905392953300037</v>
      </c>
      <c r="K81" s="96"/>
      <c r="L81" s="89" t="s">
        <v>255</v>
      </c>
      <c r="M81" s="94">
        <v>3748.1920900000005</v>
      </c>
      <c r="N81" s="94">
        <v>4.8930000000000001E-2</v>
      </c>
      <c r="O81" s="94">
        <v>2732.0732200000002</v>
      </c>
      <c r="P81" s="94">
        <v>117.90004999999999</v>
      </c>
      <c r="Q81" s="94">
        <v>708.20600999999999</v>
      </c>
      <c r="R81" s="94">
        <v>95.146420000000006</v>
      </c>
      <c r="S81" s="94">
        <v>94.817459999999997</v>
      </c>
      <c r="T81" s="94"/>
      <c r="U81" s="89" t="s">
        <v>255</v>
      </c>
      <c r="V81" s="94">
        <v>3748.1920900000005</v>
      </c>
      <c r="W81" s="94">
        <v>240.61605899099999</v>
      </c>
      <c r="X81" s="94">
        <v>235.09313122299997</v>
      </c>
      <c r="Y81" s="94">
        <v>1306.7427881459998</v>
      </c>
      <c r="Z81" s="94">
        <v>219.47415188000036</v>
      </c>
      <c r="AA81" s="94">
        <v>679.97774439899945</v>
      </c>
      <c r="AB81" s="94">
        <v>373.59259968200058</v>
      </c>
      <c r="AC81" s="94">
        <v>692.69561567900018</v>
      </c>
      <c r="AD81" s="94"/>
      <c r="AE81" s="64"/>
    </row>
    <row r="82" spans="2:31" x14ac:dyDescent="0.25">
      <c r="B82" s="89" t="s">
        <v>256</v>
      </c>
      <c r="C82" s="94">
        <v>196.11123000000001</v>
      </c>
      <c r="D82" s="94">
        <v>13.20805871</v>
      </c>
      <c r="E82" s="94">
        <v>10.30933783</v>
      </c>
      <c r="F82" s="94">
        <v>57.883108959000012</v>
      </c>
      <c r="G82" s="94">
        <v>9.6800939079999822</v>
      </c>
      <c r="H82" s="94">
        <v>34.434997794500006</v>
      </c>
      <c r="I82" s="94">
        <v>21.955207567499983</v>
      </c>
      <c r="J82" s="94">
        <v>48.640425231000023</v>
      </c>
      <c r="K82" s="94"/>
      <c r="L82" s="89" t="s">
        <v>256</v>
      </c>
      <c r="M82" s="94">
        <v>3578.1597799999995</v>
      </c>
      <c r="N82" s="94">
        <v>4.8840000000000001E-2</v>
      </c>
      <c r="O82" s="94">
        <v>2576.1116499999998</v>
      </c>
      <c r="P82" s="94">
        <v>116.44686</v>
      </c>
      <c r="Q82" s="94">
        <v>642.08975999999996</v>
      </c>
      <c r="R82" s="94">
        <v>94.146780000000007</v>
      </c>
      <c r="S82" s="94">
        <v>149.31589</v>
      </c>
      <c r="T82" s="94"/>
      <c r="U82" s="89" t="s">
        <v>256</v>
      </c>
      <c r="V82" s="94">
        <v>3578.1597799999995</v>
      </c>
      <c r="W82" s="94">
        <v>228.38318695500001</v>
      </c>
      <c r="X82" s="94">
        <v>217.76094349499999</v>
      </c>
      <c r="Y82" s="94">
        <v>1214.594585629</v>
      </c>
      <c r="Z82" s="94">
        <v>202.68152124800028</v>
      </c>
      <c r="AA82" s="94">
        <v>673.86902634149988</v>
      </c>
      <c r="AB82" s="94">
        <v>351.81311696119974</v>
      </c>
      <c r="AC82" s="94">
        <v>689.05739937029966</v>
      </c>
      <c r="AD82" s="94"/>
      <c r="AE82" s="64"/>
    </row>
    <row r="83" spans="2:31" x14ac:dyDescent="0.25">
      <c r="B83" s="89" t="s">
        <v>257</v>
      </c>
      <c r="C83" s="94">
        <v>193.45545000000001</v>
      </c>
      <c r="D83" s="94">
        <v>13.014305766</v>
      </c>
      <c r="E83" s="94">
        <v>10.040721818</v>
      </c>
      <c r="F83" s="94">
        <v>56.454993017</v>
      </c>
      <c r="G83" s="94">
        <v>9.4141204279999986</v>
      </c>
      <c r="H83" s="94">
        <v>34.338255376499987</v>
      </c>
      <c r="I83" s="94">
        <v>21.610257222600026</v>
      </c>
      <c r="J83" s="94">
        <v>48.582796371900002</v>
      </c>
      <c r="K83" s="94"/>
      <c r="L83" s="89" t="s">
        <v>257</v>
      </c>
      <c r="M83" s="94">
        <v>3456.31718</v>
      </c>
      <c r="N83" s="94">
        <v>4.888E-2</v>
      </c>
      <c r="O83" s="94">
        <v>2545.0936299999998</v>
      </c>
      <c r="P83" s="94">
        <v>114.61763000000001</v>
      </c>
      <c r="Q83" s="94">
        <v>547.12072000000001</v>
      </c>
      <c r="R83" s="94">
        <v>93.237610000000004</v>
      </c>
      <c r="S83" s="94">
        <v>156.19871000000001</v>
      </c>
      <c r="T83" s="94"/>
      <c r="U83" s="89" t="s">
        <v>257</v>
      </c>
      <c r="V83" s="94">
        <v>3456.31718</v>
      </c>
      <c r="W83" s="94">
        <v>219.58970325599998</v>
      </c>
      <c r="X83" s="94">
        <v>205.36258001799999</v>
      </c>
      <c r="Y83" s="94">
        <v>1148.6775272140001</v>
      </c>
      <c r="Z83" s="94">
        <v>190.61029002699976</v>
      </c>
      <c r="AA83" s="94">
        <v>669.47785158450074</v>
      </c>
      <c r="AB83" s="94">
        <v>336.15710588559978</v>
      </c>
      <c r="AC83" s="94">
        <v>686.44212201489972</v>
      </c>
      <c r="AD83" s="94"/>
      <c r="AE83" s="64"/>
    </row>
    <row r="84" spans="2:31" x14ac:dyDescent="0.25">
      <c r="B84" s="89" t="s">
        <v>258</v>
      </c>
      <c r="C84" s="94">
        <v>188.73500000000001</v>
      </c>
      <c r="D84" s="94">
        <v>12.673006269</v>
      </c>
      <c r="E84" s="94">
        <v>9.5608668669999997</v>
      </c>
      <c r="F84" s="94">
        <v>53.903800669000006</v>
      </c>
      <c r="G84" s="94">
        <v>8.9455976089999858</v>
      </c>
      <c r="H84" s="94">
        <v>34.167827448500006</v>
      </c>
      <c r="I84" s="94">
        <v>21.002600755799975</v>
      </c>
      <c r="J84" s="94">
        <v>48.481300381700038</v>
      </c>
      <c r="K84" s="94"/>
      <c r="L84" s="89" t="s">
        <v>258</v>
      </c>
      <c r="M84" s="94">
        <v>3379.3627300000003</v>
      </c>
      <c r="N84" s="94">
        <v>4.8860000000000001E-2</v>
      </c>
      <c r="O84" s="94">
        <v>2493.2341999999999</v>
      </c>
      <c r="P84" s="94">
        <v>112.27901</v>
      </c>
      <c r="Q84" s="94">
        <v>516.96056999999996</v>
      </c>
      <c r="R84" s="94">
        <v>92.627769999999998</v>
      </c>
      <c r="S84" s="94">
        <v>164.21232000000001</v>
      </c>
      <c r="T84" s="94"/>
      <c r="U84" s="89" t="s">
        <v>258</v>
      </c>
      <c r="V84" s="94">
        <v>3379.3627300000003</v>
      </c>
      <c r="W84" s="94">
        <v>214.00519509600002</v>
      </c>
      <c r="X84" s="94">
        <v>197.55593277799997</v>
      </c>
      <c r="Y84" s="94">
        <v>1107.172731484</v>
      </c>
      <c r="Z84" s="94">
        <v>182.94413385699968</v>
      </c>
      <c r="AA84" s="94">
        <v>666.68915981600048</v>
      </c>
      <c r="AB84" s="94">
        <v>326.21438019089965</v>
      </c>
      <c r="AC84" s="94">
        <v>684.78119677810037</v>
      </c>
      <c r="AD84" s="94"/>
      <c r="AE84" s="64"/>
    </row>
    <row r="85" spans="2:31" x14ac:dyDescent="0.25">
      <c r="B85" s="89" t="s">
        <v>259</v>
      </c>
      <c r="C85" s="94">
        <v>186.24964</v>
      </c>
      <c r="D85" s="94">
        <v>12.493076364999999</v>
      </c>
      <c r="E85" s="94">
        <v>9.3084017750000001</v>
      </c>
      <c r="F85" s="94">
        <v>52.561542962000004</v>
      </c>
      <c r="G85" s="94">
        <v>8.6986029810000094</v>
      </c>
      <c r="H85" s="94">
        <v>34.077973722999985</v>
      </c>
      <c r="I85" s="94">
        <v>20.682255318999992</v>
      </c>
      <c r="J85" s="94">
        <v>48.42778687500001</v>
      </c>
      <c r="K85" s="94"/>
      <c r="L85" s="89" t="s">
        <v>259</v>
      </c>
      <c r="M85" s="94">
        <v>3330.2452400000002</v>
      </c>
      <c r="N85" s="94">
        <v>4.8809999999999999E-2</v>
      </c>
      <c r="O85" s="94">
        <v>2476.4509400000002</v>
      </c>
      <c r="P85" s="94">
        <v>109.71138999999999</v>
      </c>
      <c r="Q85" s="94">
        <v>489.59237999999999</v>
      </c>
      <c r="R85" s="94">
        <v>91.341530000000006</v>
      </c>
      <c r="S85" s="94">
        <v>163.10019</v>
      </c>
      <c r="T85" s="94"/>
      <c r="U85" s="89" t="s">
        <v>259</v>
      </c>
      <c r="V85" s="94">
        <v>3330.2452399999997</v>
      </c>
      <c r="W85" s="94">
        <v>210.44514313899998</v>
      </c>
      <c r="X85" s="94">
        <v>192.56980499700003</v>
      </c>
      <c r="Y85" s="94">
        <v>1080.6635133989998</v>
      </c>
      <c r="Z85" s="94">
        <v>178.05705701600007</v>
      </c>
      <c r="AA85" s="94">
        <v>664.91134497900021</v>
      </c>
      <c r="AB85" s="94">
        <v>319.87599253559983</v>
      </c>
      <c r="AC85" s="94">
        <v>683.72238393440011</v>
      </c>
      <c r="AD85" s="94"/>
      <c r="AE85" s="64"/>
    </row>
    <row r="86" spans="2:31" x14ac:dyDescent="0.25">
      <c r="B86" s="89" t="s">
        <v>260</v>
      </c>
      <c r="C86" s="94">
        <v>183.84117000000001</v>
      </c>
      <c r="D86" s="94">
        <v>12.319482020999999</v>
      </c>
      <c r="E86" s="94">
        <v>9.0631493829999989</v>
      </c>
      <c r="F86" s="94">
        <v>51.257632825000002</v>
      </c>
      <c r="G86" s="94">
        <v>8.4602946669999923</v>
      </c>
      <c r="H86" s="94">
        <v>33.991286428500004</v>
      </c>
      <c r="I86" s="94">
        <v>20.373183015799995</v>
      </c>
      <c r="J86" s="94">
        <v>48.376141659700011</v>
      </c>
      <c r="K86" s="94"/>
      <c r="L86" s="89" t="s">
        <v>260</v>
      </c>
      <c r="M86" s="94">
        <v>3287.3286699999999</v>
      </c>
      <c r="N86" s="94">
        <v>4.8770000000000001E-2</v>
      </c>
      <c r="O86" s="94">
        <v>2458.5765099999999</v>
      </c>
      <c r="P86" s="94">
        <v>106.66818000000001</v>
      </c>
      <c r="Q86" s="94">
        <v>472.36644999999999</v>
      </c>
      <c r="R86" s="94">
        <v>90.297020000000003</v>
      </c>
      <c r="S86" s="94">
        <v>159.37173999999999</v>
      </c>
      <c r="T86" s="94"/>
      <c r="U86" s="89" t="s">
        <v>260</v>
      </c>
      <c r="V86" s="94">
        <v>3287.3286699999999</v>
      </c>
      <c r="W86" s="94">
        <v>207.345369616</v>
      </c>
      <c r="X86" s="94">
        <v>188.20465451799998</v>
      </c>
      <c r="Y86" s="94">
        <v>1057.4557816880003</v>
      </c>
      <c r="Z86" s="94">
        <v>173.8018303749995</v>
      </c>
      <c r="AA86" s="94">
        <v>663.36341943700063</v>
      </c>
      <c r="AB86" s="94">
        <v>314.35714495129923</v>
      </c>
      <c r="AC86" s="94">
        <v>682.80046941470027</v>
      </c>
      <c r="AD86" s="94"/>
      <c r="AE86" s="64"/>
    </row>
    <row r="87" spans="2:31" x14ac:dyDescent="0.25">
      <c r="B87" s="90" t="s">
        <v>261</v>
      </c>
      <c r="C87" s="97">
        <v>182.20392000000001</v>
      </c>
      <c r="D87" s="97">
        <v>12.20200058</v>
      </c>
      <c r="E87" s="97">
        <v>8.8960137599999989</v>
      </c>
      <c r="F87" s="97">
        <v>50.369041634000006</v>
      </c>
      <c r="G87" s="97">
        <v>8.2990279420000075</v>
      </c>
      <c r="H87" s="97">
        <v>33.932612898999977</v>
      </c>
      <c r="I87" s="97">
        <v>20.164012912600001</v>
      </c>
      <c r="J87" s="97">
        <v>48.341210272400019</v>
      </c>
      <c r="K87" s="97"/>
      <c r="L87" s="90" t="s">
        <v>261</v>
      </c>
      <c r="M87" s="97">
        <v>3241.5584899999999</v>
      </c>
      <c r="N87" s="97">
        <v>4.8770000000000001E-2</v>
      </c>
      <c r="O87" s="97">
        <v>2443.3075600000002</v>
      </c>
      <c r="P87" s="97">
        <v>103.70668000000001</v>
      </c>
      <c r="Q87" s="97">
        <v>448.09649000000002</v>
      </c>
      <c r="R87" s="97">
        <v>89.476950000000002</v>
      </c>
      <c r="S87" s="97">
        <v>156.92204000000001</v>
      </c>
      <c r="T87" s="97"/>
      <c r="U87" s="90" t="s">
        <v>261</v>
      </c>
      <c r="V87" s="97">
        <v>3241.5584899999999</v>
      </c>
      <c r="W87" s="97">
        <v>204.06555099699997</v>
      </c>
      <c r="X87" s="97">
        <v>183.52882122099999</v>
      </c>
      <c r="Y87" s="97">
        <v>1032.596283718</v>
      </c>
      <c r="Z87" s="97">
        <v>169.29950645700015</v>
      </c>
      <c r="AA87" s="97">
        <v>661.72558204949951</v>
      </c>
      <c r="AB87" s="97">
        <v>308.51773613609976</v>
      </c>
      <c r="AC87" s="97">
        <v>681.82500942140041</v>
      </c>
      <c r="AD87" s="97"/>
      <c r="AE87" s="64"/>
    </row>
    <row r="88" spans="2:31" x14ac:dyDescent="0.25">
      <c r="AE88" s="64"/>
    </row>
    <row r="89" spans="2:31" x14ac:dyDescent="0.25">
      <c r="AE89" s="64"/>
    </row>
  </sheetData>
  <mergeCells count="6">
    <mergeCell ref="W2:AD2"/>
    <mergeCell ref="N2:S2"/>
    <mergeCell ref="D2:K2"/>
    <mergeCell ref="C2:C3"/>
    <mergeCell ref="M2:M3"/>
    <mergeCell ref="V2:V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17A6-A2A1-4D44-93D0-1F1DBECE60CE}">
  <dimension ref="C4:AB105"/>
  <sheetViews>
    <sheetView topLeftCell="C1" zoomScale="72" workbookViewId="0">
      <selection activeCell="X50" sqref="X50"/>
    </sheetView>
  </sheetViews>
  <sheetFormatPr defaultRowHeight="15" x14ac:dyDescent="0.25"/>
  <cols>
    <col min="8" max="8" width="19.7109375" customWidth="1"/>
    <col min="9" max="9" width="25.7109375" customWidth="1"/>
    <col min="10" max="10" width="15.28515625" customWidth="1"/>
    <col min="11" max="11" width="14.5703125" customWidth="1"/>
  </cols>
  <sheetData>
    <row r="4" spans="3:28" x14ac:dyDescent="0.25">
      <c r="C4" t="s">
        <v>70</v>
      </c>
      <c r="D4" t="s">
        <v>71</v>
      </c>
      <c r="I4" s="16" t="s">
        <v>75</v>
      </c>
      <c r="Q4" t="s">
        <v>70</v>
      </c>
      <c r="W4" t="s">
        <v>91</v>
      </c>
    </row>
    <row r="5" spans="3:28" x14ac:dyDescent="0.25">
      <c r="C5" t="s">
        <v>65</v>
      </c>
      <c r="D5" t="s">
        <v>66</v>
      </c>
      <c r="E5" t="s">
        <v>67</v>
      </c>
      <c r="F5" t="s">
        <v>6</v>
      </c>
      <c r="G5" t="s">
        <v>68</v>
      </c>
      <c r="H5" t="s">
        <v>6</v>
      </c>
      <c r="I5" t="s">
        <v>69</v>
      </c>
      <c r="J5" t="s">
        <v>6</v>
      </c>
      <c r="N5" s="16" t="s">
        <v>73</v>
      </c>
      <c r="Q5" t="s">
        <v>65</v>
      </c>
      <c r="R5" t="s">
        <v>66</v>
      </c>
      <c r="S5" t="s">
        <v>67</v>
      </c>
      <c r="T5" t="s">
        <v>6</v>
      </c>
      <c r="U5" t="s">
        <v>68</v>
      </c>
      <c r="V5" t="s">
        <v>6</v>
      </c>
      <c r="W5" t="s">
        <v>69</v>
      </c>
      <c r="X5" t="s">
        <v>6</v>
      </c>
    </row>
    <row r="6" spans="3:28" x14ac:dyDescent="0.25">
      <c r="C6" t="s">
        <v>9</v>
      </c>
      <c r="I6">
        <v>3.0509999999999999E-2</v>
      </c>
      <c r="J6" t="s">
        <v>17</v>
      </c>
      <c r="N6">
        <f>I6-L15</f>
        <v>1.4099583999999998E-2</v>
      </c>
      <c r="Q6" t="s">
        <v>8</v>
      </c>
      <c r="W6">
        <v>246.67146</v>
      </c>
      <c r="X6" t="s">
        <v>16</v>
      </c>
      <c r="AA6" s="16" t="s">
        <v>92</v>
      </c>
    </row>
    <row r="7" spans="3:28" x14ac:dyDescent="0.25">
      <c r="C7" t="s">
        <v>13</v>
      </c>
      <c r="I7">
        <v>2471.5169299999998</v>
      </c>
      <c r="J7" t="s">
        <v>17</v>
      </c>
      <c r="N7">
        <f t="shared" ref="N7:N12" si="0">I7-L16</f>
        <v>604.23370791019988</v>
      </c>
      <c r="AA7" s="16">
        <f>W6-Z12</f>
        <v>51.403276653099994</v>
      </c>
    </row>
    <row r="8" spans="3:28" x14ac:dyDescent="0.25">
      <c r="C8" t="s">
        <v>12</v>
      </c>
      <c r="I8">
        <v>163.16127</v>
      </c>
      <c r="J8" t="s">
        <v>17</v>
      </c>
      <c r="N8">
        <f t="shared" si="0"/>
        <v>28.975135215700021</v>
      </c>
    </row>
    <row r="9" spans="3:28" x14ac:dyDescent="0.25">
      <c r="C9" t="s">
        <v>14</v>
      </c>
      <c r="I9">
        <v>125.57452000000001</v>
      </c>
      <c r="J9" t="s">
        <v>17</v>
      </c>
      <c r="N9">
        <f t="shared" si="0"/>
        <v>36.483592993100004</v>
      </c>
    </row>
    <row r="10" spans="3:28" x14ac:dyDescent="0.25">
      <c r="C10" t="s">
        <v>11</v>
      </c>
      <c r="I10">
        <v>87.576530000000005</v>
      </c>
      <c r="J10" t="s">
        <v>17</v>
      </c>
      <c r="N10">
        <f t="shared" si="0"/>
        <v>22.690602953200013</v>
      </c>
    </row>
    <row r="11" spans="3:28" x14ac:dyDescent="0.25">
      <c r="C11" t="s">
        <v>10</v>
      </c>
      <c r="I11">
        <v>17.721319999999999</v>
      </c>
      <c r="J11" t="s">
        <v>17</v>
      </c>
      <c r="N11">
        <f t="shared" si="0"/>
        <v>4.1174580999999986</v>
      </c>
      <c r="Q11" t="s">
        <v>65</v>
      </c>
      <c r="R11" t="s">
        <v>66</v>
      </c>
      <c r="S11" t="s">
        <v>67</v>
      </c>
      <c r="T11" t="s">
        <v>6</v>
      </c>
      <c r="U11" t="s">
        <v>68</v>
      </c>
      <c r="V11" t="s">
        <v>6</v>
      </c>
      <c r="W11" t="s">
        <v>69</v>
      </c>
      <c r="X11" t="s">
        <v>6</v>
      </c>
      <c r="Z11" t="s">
        <v>74</v>
      </c>
      <c r="AB11" s="16" t="s">
        <v>93</v>
      </c>
    </row>
    <row r="12" spans="3:28" x14ac:dyDescent="0.25">
      <c r="I12" s="17">
        <f>SUM(I6:I11)</f>
        <v>2865.5810799999999</v>
      </c>
      <c r="N12" s="16">
        <f t="shared" si="0"/>
        <v>696.51459675619981</v>
      </c>
      <c r="Q12" t="s">
        <v>8</v>
      </c>
      <c r="W12">
        <v>209.42309</v>
      </c>
      <c r="X12" t="s">
        <v>16</v>
      </c>
      <c r="Z12">
        <f>W12*0.93241</f>
        <v>195.2681833469</v>
      </c>
      <c r="AB12" s="16">
        <f>Z12-Z18</f>
        <v>38.56218580484537</v>
      </c>
    </row>
    <row r="13" spans="3:28" x14ac:dyDescent="0.25">
      <c r="C13" t="s">
        <v>72</v>
      </c>
      <c r="D13" t="s">
        <v>71</v>
      </c>
    </row>
    <row r="14" spans="3:28" x14ac:dyDescent="0.25">
      <c r="C14" t="s">
        <v>65</v>
      </c>
      <c r="D14" t="s">
        <v>66</v>
      </c>
      <c r="E14" t="s">
        <v>67</v>
      </c>
      <c r="F14" t="s">
        <v>6</v>
      </c>
      <c r="G14" t="s">
        <v>68</v>
      </c>
      <c r="H14" t="s">
        <v>6</v>
      </c>
      <c r="I14" t="s">
        <v>69</v>
      </c>
      <c r="J14" t="s">
        <v>6</v>
      </c>
      <c r="L14" s="16" t="s">
        <v>74</v>
      </c>
      <c r="N14" s="16" t="s">
        <v>77</v>
      </c>
    </row>
    <row r="15" spans="3:28" x14ac:dyDescent="0.25">
      <c r="C15" t="s">
        <v>9</v>
      </c>
      <c r="I15">
        <v>1.7600000000000001E-2</v>
      </c>
      <c r="J15" t="s">
        <v>17</v>
      </c>
      <c r="L15">
        <f>I15*0.93241</f>
        <v>1.6410416000000001E-2</v>
      </c>
      <c r="N15">
        <f>I6-N6-L23</f>
        <v>2.6542072571360004E-3</v>
      </c>
    </row>
    <row r="16" spans="3:28" x14ac:dyDescent="0.25">
      <c r="C16" t="s">
        <v>13</v>
      </c>
      <c r="I16">
        <v>2002.6417799999999</v>
      </c>
      <c r="J16" t="s">
        <v>17</v>
      </c>
      <c r="L16">
        <f t="shared" ref="L16:L20" si="1">I16*0.93241</f>
        <v>1867.2832220897999</v>
      </c>
      <c r="N16">
        <f>I7-N7-L24</f>
        <v>342.53834740142452</v>
      </c>
    </row>
    <row r="17" spans="3:28" x14ac:dyDescent="0.25">
      <c r="C17" t="s">
        <v>12</v>
      </c>
      <c r="I17">
        <v>143.91323</v>
      </c>
      <c r="J17" t="s">
        <v>17</v>
      </c>
      <c r="L17">
        <f t="shared" si="1"/>
        <v>134.18613478429998</v>
      </c>
      <c r="N17">
        <f t="shared" ref="N17:N21" si="2">I8-N8-L25</f>
        <v>25.264864987560088</v>
      </c>
      <c r="Q17" t="s">
        <v>65</v>
      </c>
      <c r="R17" t="s">
        <v>66</v>
      </c>
      <c r="S17" t="s">
        <v>67</v>
      </c>
      <c r="T17" t="s">
        <v>6</v>
      </c>
      <c r="U17" t="s">
        <v>68</v>
      </c>
      <c r="V17" t="s">
        <v>6</v>
      </c>
      <c r="W17" t="s">
        <v>69</v>
      </c>
      <c r="X17" t="s">
        <v>6</v>
      </c>
      <c r="Z17" t="s">
        <v>76</v>
      </c>
      <c r="AB17" s="16" t="s">
        <v>96</v>
      </c>
    </row>
    <row r="18" spans="3:28" x14ac:dyDescent="0.25">
      <c r="C18" t="s">
        <v>14</v>
      </c>
      <c r="I18">
        <v>95.549090000000007</v>
      </c>
      <c r="J18" t="s">
        <v>17</v>
      </c>
      <c r="L18">
        <f t="shared" si="1"/>
        <v>89.090927006900003</v>
      </c>
      <c r="N18">
        <f t="shared" si="2"/>
        <v>17.988001694878676</v>
      </c>
      <c r="Q18" t="s">
        <v>8</v>
      </c>
      <c r="W18">
        <v>156.29352</v>
      </c>
      <c r="X18" t="s">
        <v>16</v>
      </c>
      <c r="Z18">
        <f>W18*K23*K24</f>
        <v>156.70599754205463</v>
      </c>
      <c r="AB18" s="16">
        <f>Z18-Z23-Z26</f>
        <v>56.236798756714094</v>
      </c>
    </row>
    <row r="19" spans="3:28" x14ac:dyDescent="0.25">
      <c r="C19" t="s">
        <v>11</v>
      </c>
      <c r="I19">
        <v>69.589479999999995</v>
      </c>
      <c r="J19" t="s">
        <v>17</v>
      </c>
      <c r="L19">
        <f t="shared" si="1"/>
        <v>64.885927046799992</v>
      </c>
      <c r="N19">
        <f t="shared" si="2"/>
        <v>8.0542962733767425</v>
      </c>
    </row>
    <row r="20" spans="3:28" x14ac:dyDescent="0.25">
      <c r="C20" t="s">
        <v>10</v>
      </c>
      <c r="I20">
        <v>14.59</v>
      </c>
      <c r="J20" t="s">
        <v>17</v>
      </c>
      <c r="L20">
        <f t="shared" si="1"/>
        <v>13.6038619</v>
      </c>
      <c r="N20">
        <f t="shared" si="2"/>
        <v>2.6758274054784756</v>
      </c>
    </row>
    <row r="21" spans="3:28" x14ac:dyDescent="0.25">
      <c r="C21" t="s">
        <v>78</v>
      </c>
      <c r="D21" t="s">
        <v>71</v>
      </c>
      <c r="L21" s="16">
        <f>SUM(L15:L20)</f>
        <v>2169.0664832438001</v>
      </c>
      <c r="N21" s="16">
        <f t="shared" si="2"/>
        <v>396.52399196997567</v>
      </c>
      <c r="Q21" t="s">
        <v>94</v>
      </c>
    </row>
    <row r="22" spans="3:28" x14ac:dyDescent="0.25">
      <c r="C22" t="s">
        <v>65</v>
      </c>
      <c r="D22" t="s">
        <v>66</v>
      </c>
      <c r="E22" t="s">
        <v>67</v>
      </c>
      <c r="F22" t="s">
        <v>6</v>
      </c>
      <c r="G22" t="s">
        <v>68</v>
      </c>
      <c r="H22" t="s">
        <v>6</v>
      </c>
      <c r="I22" t="s">
        <v>69</v>
      </c>
      <c r="J22" t="s">
        <v>6</v>
      </c>
      <c r="L22" s="16" t="s">
        <v>76</v>
      </c>
      <c r="Q22" t="s">
        <v>65</v>
      </c>
      <c r="R22" t="s">
        <v>66</v>
      </c>
      <c r="S22" t="s">
        <v>67</v>
      </c>
      <c r="T22" t="s">
        <v>6</v>
      </c>
      <c r="U22" t="s">
        <v>68</v>
      </c>
      <c r="V22" t="s">
        <v>6</v>
      </c>
      <c r="W22" t="s">
        <v>69</v>
      </c>
      <c r="X22" t="s">
        <v>6</v>
      </c>
      <c r="AB22" t="s">
        <v>98</v>
      </c>
    </row>
    <row r="23" spans="3:28" x14ac:dyDescent="0.25">
      <c r="C23" t="s">
        <v>9</v>
      </c>
      <c r="I23">
        <v>1.372E-2</v>
      </c>
      <c r="J23" t="s">
        <v>17</v>
      </c>
      <c r="K23">
        <v>0.93240999999999996</v>
      </c>
      <c r="L23">
        <f>I23*0.93241*1.07532</f>
        <v>1.3756208742864E-2</v>
      </c>
      <c r="N23" s="16" t="s">
        <v>82</v>
      </c>
      <c r="Q23" t="s">
        <v>8</v>
      </c>
      <c r="W23">
        <v>142.30641</v>
      </c>
      <c r="X23" t="s">
        <v>16</v>
      </c>
      <c r="Z23">
        <f>W23*K23*K24*K30</f>
        <v>15.366848585101849</v>
      </c>
      <c r="AB23">
        <f>Z23-Z29</f>
        <v>13.569006980396589</v>
      </c>
    </row>
    <row r="24" spans="3:28" x14ac:dyDescent="0.25">
      <c r="C24" t="s">
        <v>13</v>
      </c>
      <c r="I24">
        <v>1520.7314799999999</v>
      </c>
      <c r="J24" t="s">
        <v>17</v>
      </c>
      <c r="K24">
        <v>1.0753200000000001</v>
      </c>
      <c r="L24">
        <f t="shared" ref="L24:L28" si="3">I24*0.93241*1.07532</f>
        <v>1524.7448746883754</v>
      </c>
      <c r="N24">
        <f>L23-L32-L41</f>
        <v>8.6678743584821492E-3</v>
      </c>
      <c r="Q24" t="s">
        <v>95</v>
      </c>
    </row>
    <row r="25" spans="3:28" x14ac:dyDescent="0.25">
      <c r="C25" t="s">
        <v>12</v>
      </c>
      <c r="I25">
        <v>108.63457</v>
      </c>
      <c r="J25" t="s">
        <v>17</v>
      </c>
      <c r="L25">
        <f t="shared" si="3"/>
        <v>108.92126979673989</v>
      </c>
      <c r="N25">
        <f t="shared" ref="N25:N29" si="4">L24-L33-L42</f>
        <v>559.25675494674908</v>
      </c>
      <c r="Q25" t="s">
        <v>65</v>
      </c>
      <c r="R25" t="s">
        <v>66</v>
      </c>
      <c r="S25" t="s">
        <v>67</v>
      </c>
      <c r="T25" t="s">
        <v>6</v>
      </c>
      <c r="U25" t="s">
        <v>68</v>
      </c>
      <c r="V25" t="s">
        <v>6</v>
      </c>
      <c r="W25" t="s">
        <v>69</v>
      </c>
      <c r="X25" t="s">
        <v>6</v>
      </c>
      <c r="AB25" t="s">
        <v>90</v>
      </c>
    </row>
    <row r="26" spans="3:28" x14ac:dyDescent="0.25">
      <c r="C26" t="s">
        <v>14</v>
      </c>
      <c r="I26">
        <v>70.915769999999995</v>
      </c>
      <c r="J26" t="s">
        <v>17</v>
      </c>
      <c r="L26">
        <f t="shared" si="3"/>
        <v>71.102925312021327</v>
      </c>
      <c r="N26">
        <f t="shared" si="4"/>
        <v>42.931771030048424</v>
      </c>
      <c r="Q26" t="s">
        <v>8</v>
      </c>
      <c r="W26">
        <v>134.23746</v>
      </c>
      <c r="X26" t="s">
        <v>16</v>
      </c>
      <c r="Z26">
        <f>W26*K23*K24*K39</f>
        <v>85.102350200238689</v>
      </c>
      <c r="AB26">
        <f>Z26-Z30</f>
        <v>73.909226900163787</v>
      </c>
    </row>
    <row r="27" spans="3:28" x14ac:dyDescent="0.25">
      <c r="C27" t="s">
        <v>11</v>
      </c>
      <c r="I27">
        <v>56.682040000000001</v>
      </c>
      <c r="J27" t="s">
        <v>17</v>
      </c>
      <c r="L27">
        <f t="shared" si="3"/>
        <v>56.83163077342325</v>
      </c>
      <c r="N27">
        <f t="shared" si="4"/>
        <v>43.668449437219728</v>
      </c>
      <c r="Q27" t="s">
        <v>85</v>
      </c>
    </row>
    <row r="28" spans="3:28" x14ac:dyDescent="0.25">
      <c r="C28" t="s">
        <v>10</v>
      </c>
      <c r="I28">
        <v>10.89927</v>
      </c>
      <c r="J28" t="s">
        <v>17</v>
      </c>
      <c r="L28">
        <f t="shared" si="3"/>
        <v>10.928034494521524</v>
      </c>
      <c r="N28">
        <f t="shared" si="4"/>
        <v>19.3278752287133</v>
      </c>
      <c r="Q28" t="s">
        <v>65</v>
      </c>
      <c r="R28" t="s">
        <v>66</v>
      </c>
      <c r="S28" t="s">
        <v>67</v>
      </c>
      <c r="T28" t="s">
        <v>6</v>
      </c>
      <c r="U28" t="s">
        <v>68</v>
      </c>
      <c r="V28" t="s">
        <v>6</v>
      </c>
      <c r="W28" t="s">
        <v>69</v>
      </c>
      <c r="X28" t="s">
        <v>6</v>
      </c>
      <c r="Z28" t="s">
        <v>97</v>
      </c>
    </row>
    <row r="29" spans="3:28" x14ac:dyDescent="0.25">
      <c r="I29">
        <f>SUM(I23:I28)</f>
        <v>1767.8768499999996</v>
      </c>
      <c r="L29" s="16">
        <f>SUM(L23:L28)</f>
        <v>1772.5424912738245</v>
      </c>
      <c r="N29">
        <f t="shared" si="4"/>
        <v>6.2999332230367671</v>
      </c>
      <c r="Q29" t="s">
        <v>8</v>
      </c>
      <c r="W29">
        <v>15.624459999999999</v>
      </c>
      <c r="X29" t="s">
        <v>16</v>
      </c>
      <c r="Z29">
        <f>W29*K23*K24*K30*K51</f>
        <v>1.7978416047052599</v>
      </c>
    </row>
    <row r="30" spans="3:28" x14ac:dyDescent="0.25">
      <c r="C30" t="s">
        <v>79</v>
      </c>
      <c r="D30" t="s">
        <v>80</v>
      </c>
      <c r="K30">
        <v>0.1077</v>
      </c>
      <c r="N30" s="16">
        <f>L29-L38-L47</f>
        <v>671.49345174012592</v>
      </c>
      <c r="Z30">
        <f>W29*P51*K39*K24*K23</f>
        <v>11.193123300074895</v>
      </c>
    </row>
    <row r="31" spans="3:28" x14ac:dyDescent="0.25">
      <c r="C31" t="s">
        <v>65</v>
      </c>
      <c r="D31" t="s">
        <v>66</v>
      </c>
      <c r="E31" t="s">
        <v>67</v>
      </c>
      <c r="F31" t="s">
        <v>6</v>
      </c>
      <c r="G31" t="s">
        <v>68</v>
      </c>
      <c r="H31" t="s">
        <v>6</v>
      </c>
      <c r="I31" t="s">
        <v>69</v>
      </c>
      <c r="J31" t="s">
        <v>6</v>
      </c>
      <c r="K31" t="s">
        <v>88</v>
      </c>
      <c r="L31" s="16" t="s">
        <v>83</v>
      </c>
      <c r="Q31" s="16" t="s">
        <v>89</v>
      </c>
      <c r="Z31">
        <f>SUM(Z29:Z30)</f>
        <v>12.990964904780155</v>
      </c>
    </row>
    <row r="32" spans="3:28" x14ac:dyDescent="0.25">
      <c r="C32" t="s">
        <v>9</v>
      </c>
      <c r="I32">
        <v>7.1399999999999996E-3</v>
      </c>
      <c r="J32" t="s">
        <v>17</v>
      </c>
      <c r="L32">
        <f>I32*$K$23*$K$24*0.1077</f>
        <v>7.7100742614213361E-4</v>
      </c>
      <c r="Q32">
        <f>L32-L51</f>
        <v>4.7413756055064628E-4</v>
      </c>
    </row>
    <row r="33" spans="3:17" x14ac:dyDescent="0.25">
      <c r="C33" t="s">
        <v>13</v>
      </c>
      <c r="I33">
        <v>1344.83482</v>
      </c>
      <c r="J33" t="s">
        <v>17</v>
      </c>
      <c r="L33">
        <f t="shared" ref="L33:L37" si="5">I33*$K$23*$K$24*0.1077</f>
        <v>145.22095702444253</v>
      </c>
      <c r="Q33">
        <f t="shared" ref="Q33:Q38" si="6">L33-L52</f>
        <v>128.8674811998728</v>
      </c>
    </row>
    <row r="34" spans="3:17" x14ac:dyDescent="0.25">
      <c r="C34" t="s">
        <v>12</v>
      </c>
      <c r="I34">
        <v>95.758160000000004</v>
      </c>
      <c r="J34" t="s">
        <v>17</v>
      </c>
      <c r="L34">
        <f t="shared" si="5"/>
        <v>10.340371494916893</v>
      </c>
      <c r="Q34">
        <f t="shared" si="6"/>
        <v>9.4303284285301263</v>
      </c>
    </row>
    <row r="35" spans="3:17" x14ac:dyDescent="0.25">
      <c r="C35" t="s">
        <v>14</v>
      </c>
      <c r="I35">
        <v>40.119459999999997</v>
      </c>
      <c r="J35" t="s">
        <v>17</v>
      </c>
      <c r="L35">
        <f t="shared" si="5"/>
        <v>4.3322691306459777</v>
      </c>
      <c r="Q35">
        <f t="shared" si="6"/>
        <v>3.9593223346922937</v>
      </c>
    </row>
    <row r="36" spans="3:17" x14ac:dyDescent="0.25">
      <c r="C36" t="s">
        <v>11</v>
      </c>
      <c r="I36">
        <v>51.701459999999997</v>
      </c>
      <c r="J36" t="s">
        <v>17</v>
      </c>
      <c r="L36">
        <f t="shared" si="5"/>
        <v>5.5829425213432042</v>
      </c>
      <c r="Q36">
        <f t="shared" si="6"/>
        <v>3.0282242903620848</v>
      </c>
    </row>
    <row r="37" spans="3:17" x14ac:dyDescent="0.25">
      <c r="C37" t="s">
        <v>10</v>
      </c>
      <c r="I37">
        <v>6.7513699999999996</v>
      </c>
      <c r="J37" t="s">
        <v>17</v>
      </c>
      <c r="L37">
        <f t="shared" si="5"/>
        <v>0.72904151353406388</v>
      </c>
      <c r="Q37">
        <f t="shared" si="6"/>
        <v>0.66619715470016982</v>
      </c>
    </row>
    <row r="38" spans="3:17" x14ac:dyDescent="0.25">
      <c r="I38">
        <f>SUM(I32:I37)</f>
        <v>1539.1724099999999</v>
      </c>
      <c r="L38" s="16">
        <f>SUM(L32:L37)</f>
        <v>166.20635269230883</v>
      </c>
      <c r="Q38" s="16">
        <f t="shared" si="6"/>
        <v>145.95202754571807</v>
      </c>
    </row>
    <row r="39" spans="3:17" x14ac:dyDescent="0.25">
      <c r="C39" t="s">
        <v>81</v>
      </c>
      <c r="D39" t="s">
        <v>80</v>
      </c>
      <c r="K39">
        <v>0.63229999999999997</v>
      </c>
    </row>
    <row r="40" spans="3:17" x14ac:dyDescent="0.25">
      <c r="C40" t="s">
        <v>65</v>
      </c>
      <c r="D40" t="s">
        <v>66</v>
      </c>
      <c r="E40" t="s">
        <v>67</v>
      </c>
      <c r="F40" t="s">
        <v>6</v>
      </c>
      <c r="G40" t="s">
        <v>68</v>
      </c>
      <c r="H40" t="s">
        <v>6</v>
      </c>
      <c r="I40" t="s">
        <v>69</v>
      </c>
      <c r="J40" t="s">
        <v>6</v>
      </c>
      <c r="K40" t="s">
        <v>88</v>
      </c>
      <c r="L40" s="16" t="s">
        <v>84</v>
      </c>
      <c r="Q40" s="16" t="s">
        <v>90</v>
      </c>
    </row>
    <row r="41" spans="3:17" x14ac:dyDescent="0.25">
      <c r="C41" t="s">
        <v>9</v>
      </c>
      <c r="I41">
        <v>6.8100000000000001E-3</v>
      </c>
      <c r="J41" t="s">
        <v>17</v>
      </c>
      <c r="L41">
        <f>I41*$K$23*$K$24*0.6323</f>
        <v>4.3173269582397157E-3</v>
      </c>
      <c r="Q41">
        <f>L41-Q51</f>
        <v>2.4690545626373569E-3</v>
      </c>
    </row>
    <row r="42" spans="3:17" x14ac:dyDescent="0.25">
      <c r="C42" t="s">
        <v>13</v>
      </c>
      <c r="I42">
        <v>1293.8606299999999</v>
      </c>
      <c r="J42" t="s">
        <v>17</v>
      </c>
      <c r="L42">
        <f t="shared" ref="L42:L46" si="7">I42*$K$23*$K$24*0.6323</f>
        <v>820.26716271718385</v>
      </c>
      <c r="Q42">
        <f t="shared" ref="Q42:Q47" si="8">L42-Q52</f>
        <v>718.45259195069434</v>
      </c>
    </row>
    <row r="43" spans="3:17" x14ac:dyDescent="0.25">
      <c r="C43" t="s">
        <v>12</v>
      </c>
      <c r="I43">
        <v>87.778980000000004</v>
      </c>
      <c r="J43" t="s">
        <v>17</v>
      </c>
      <c r="L43">
        <f t="shared" si="7"/>
        <v>55.649127271774574</v>
      </c>
      <c r="Q43">
        <f t="shared" si="8"/>
        <v>49.983319881520487</v>
      </c>
    </row>
    <row r="44" spans="3:17" x14ac:dyDescent="0.25">
      <c r="C44" t="s">
        <v>14</v>
      </c>
      <c r="I44">
        <v>36.44061</v>
      </c>
      <c r="J44" t="s">
        <v>17</v>
      </c>
      <c r="L44">
        <f t="shared" si="7"/>
        <v>23.102206744155616</v>
      </c>
      <c r="Q44">
        <f t="shared" si="8"/>
        <v>20.780289473717421</v>
      </c>
    </row>
    <row r="45" spans="3:17" x14ac:dyDescent="0.25">
      <c r="C45" t="s">
        <v>11</v>
      </c>
      <c r="I45">
        <v>50.350769999999997</v>
      </c>
      <c r="J45" t="s">
        <v>17</v>
      </c>
      <c r="L45">
        <f t="shared" si="7"/>
        <v>31.920813023366744</v>
      </c>
      <c r="Q45">
        <f t="shared" si="8"/>
        <v>16.015476267624663</v>
      </c>
    </row>
    <row r="46" spans="3:17" x14ac:dyDescent="0.25">
      <c r="C46" t="s">
        <v>10</v>
      </c>
      <c r="I46">
        <v>6.1502400000000002</v>
      </c>
      <c r="J46" t="s">
        <v>17</v>
      </c>
      <c r="L46">
        <f t="shared" si="7"/>
        <v>3.899059757950694</v>
      </c>
      <c r="Q46">
        <f t="shared" si="8"/>
        <v>3.5077991178025605</v>
      </c>
    </row>
    <row r="47" spans="3:17" x14ac:dyDescent="0.25">
      <c r="I47">
        <f>SUM(I41:I46)</f>
        <v>1474.5880400000001</v>
      </c>
      <c r="L47" s="16">
        <f>SUM(L41:L46)</f>
        <v>934.84268684138965</v>
      </c>
      <c r="Q47" s="16">
        <f t="shared" si="8"/>
        <v>808.74194574592195</v>
      </c>
    </row>
    <row r="49" spans="3:19" x14ac:dyDescent="0.25">
      <c r="C49" t="s">
        <v>85</v>
      </c>
      <c r="D49" t="s">
        <v>80</v>
      </c>
    </row>
    <row r="50" spans="3:19" x14ac:dyDescent="0.25">
      <c r="C50" t="s">
        <v>65</v>
      </c>
      <c r="D50" t="s">
        <v>66</v>
      </c>
      <c r="E50" t="s">
        <v>67</v>
      </c>
      <c r="F50" t="s">
        <v>6</v>
      </c>
      <c r="G50" t="s">
        <v>68</v>
      </c>
      <c r="H50" t="s">
        <v>6</v>
      </c>
      <c r="I50" t="s">
        <v>69</v>
      </c>
      <c r="J50" t="s">
        <v>6</v>
      </c>
      <c r="L50" t="s">
        <v>86</v>
      </c>
      <c r="Q50" t="s">
        <v>87</v>
      </c>
    </row>
    <row r="51" spans="3:19" x14ac:dyDescent="0.25">
      <c r="C51" t="s">
        <v>9</v>
      </c>
      <c r="I51">
        <v>2.5799999999999998E-3</v>
      </c>
      <c r="J51" t="s">
        <v>17</v>
      </c>
      <c r="K51">
        <v>1.06558</v>
      </c>
      <c r="L51">
        <f>I51*$K$51*$K$30*$K$23*$K$24</f>
        <v>2.9686986559148733E-4</v>
      </c>
      <c r="P51">
        <v>1.1299999999999999</v>
      </c>
      <c r="Q51">
        <f>I51*$P$51*$K$39*$K$23*$K$24</f>
        <v>1.848272395602359E-3</v>
      </c>
    </row>
    <row r="52" spans="3:19" x14ac:dyDescent="0.25">
      <c r="C52" t="s">
        <v>13</v>
      </c>
      <c r="I52">
        <v>142.12277</v>
      </c>
      <c r="J52" t="s">
        <v>17</v>
      </c>
      <c r="K52" t="s">
        <v>88</v>
      </c>
      <c r="L52">
        <f t="shared" ref="L52:L57" si="9">I52*$K$51*$K$30*$K$23*$K$24</f>
        <v>16.353475824569717</v>
      </c>
      <c r="P52" t="s">
        <v>88</v>
      </c>
      <c r="Q52">
        <f t="shared" ref="Q52:Q57" si="10">I52*$P$51*$K$39*$K$23*$K$24</f>
        <v>101.81457076648957</v>
      </c>
    </row>
    <row r="53" spans="3:19" x14ac:dyDescent="0.25">
      <c r="C53" t="s">
        <v>12</v>
      </c>
      <c r="I53">
        <v>7.9088900000000004</v>
      </c>
      <c r="J53" t="s">
        <v>17</v>
      </c>
      <c r="L53">
        <f t="shared" si="9"/>
        <v>0.9100430663867668</v>
      </c>
      <c r="Q53">
        <f t="shared" si="10"/>
        <v>5.6658073902540851</v>
      </c>
    </row>
    <row r="54" spans="3:19" x14ac:dyDescent="0.25">
      <c r="C54" t="s">
        <v>14</v>
      </c>
      <c r="I54">
        <v>3.2411599999999998</v>
      </c>
      <c r="J54" t="s">
        <v>17</v>
      </c>
      <c r="L54">
        <f t="shared" si="9"/>
        <v>0.37294679595368418</v>
      </c>
      <c r="Q54">
        <f t="shared" si="10"/>
        <v>2.3219172704381945</v>
      </c>
    </row>
    <row r="55" spans="3:19" x14ac:dyDescent="0.25">
      <c r="C55" t="s">
        <v>11</v>
      </c>
      <c r="I55">
        <v>22.20223</v>
      </c>
      <c r="J55" t="s">
        <v>17</v>
      </c>
      <c r="L55">
        <f t="shared" si="9"/>
        <v>2.5547182309811194</v>
      </c>
      <c r="Q55">
        <f t="shared" si="10"/>
        <v>15.905336755742079</v>
      </c>
    </row>
    <row r="56" spans="3:19" x14ac:dyDescent="0.25">
      <c r="C56" t="s">
        <v>10</v>
      </c>
      <c r="I56">
        <v>0.54615999999999998</v>
      </c>
      <c r="J56" t="s">
        <v>17</v>
      </c>
      <c r="L56">
        <f t="shared" si="9"/>
        <v>6.2844358833894082E-2</v>
      </c>
      <c r="Q56">
        <f t="shared" si="10"/>
        <v>0.3912606401481335</v>
      </c>
    </row>
    <row r="57" spans="3:19" x14ac:dyDescent="0.25">
      <c r="I57">
        <f>SUM(I51:I56)</f>
        <v>176.02379000000002</v>
      </c>
      <c r="L57" s="16">
        <f t="shared" si="9"/>
        <v>20.254325146590773</v>
      </c>
      <c r="Q57" s="16">
        <f t="shared" si="10"/>
        <v>126.10074109546767</v>
      </c>
      <c r="S57">
        <f>SUM(L57,Q57)</f>
        <v>146.35506624205846</v>
      </c>
    </row>
    <row r="69" spans="4:20" x14ac:dyDescent="0.25">
      <c r="H69" t="s">
        <v>100</v>
      </c>
    </row>
    <row r="70" spans="4:20" x14ac:dyDescent="0.25">
      <c r="H70">
        <v>0.93240999999999996</v>
      </c>
      <c r="I70">
        <v>0.93240999999999996</v>
      </c>
    </row>
    <row r="71" spans="4:20" x14ac:dyDescent="0.25">
      <c r="H71">
        <v>1.0753200000000001</v>
      </c>
      <c r="I71">
        <v>1.0753200000000001</v>
      </c>
    </row>
    <row r="72" spans="4:20" x14ac:dyDescent="0.25">
      <c r="H72">
        <v>0.63229999999999997</v>
      </c>
      <c r="I72">
        <v>0.63229999999999997</v>
      </c>
    </row>
    <row r="73" spans="4:20" x14ac:dyDescent="0.25">
      <c r="I73">
        <v>1.1299999999999999</v>
      </c>
    </row>
    <row r="77" spans="4:20" x14ac:dyDescent="0.25">
      <c r="D77" s="11" t="s">
        <v>0</v>
      </c>
      <c r="E77" s="4" t="s">
        <v>1</v>
      </c>
      <c r="F77" s="4" t="s">
        <v>2</v>
      </c>
      <c r="G77" s="4" t="s">
        <v>25</v>
      </c>
      <c r="H77" s="4" t="s">
        <v>81</v>
      </c>
      <c r="I77" s="4" t="s">
        <v>99</v>
      </c>
      <c r="J77" s="4" t="s">
        <v>90</v>
      </c>
      <c r="K77" s="4" t="s">
        <v>101</v>
      </c>
      <c r="M77" t="s">
        <v>65</v>
      </c>
      <c r="N77" t="s">
        <v>66</v>
      </c>
      <c r="O77" t="s">
        <v>67</v>
      </c>
      <c r="P77" t="s">
        <v>6</v>
      </c>
      <c r="Q77" t="s">
        <v>68</v>
      </c>
      <c r="R77" t="s">
        <v>6</v>
      </c>
      <c r="S77" t="s">
        <v>69</v>
      </c>
      <c r="T77" t="s">
        <v>6</v>
      </c>
    </row>
    <row r="78" spans="4:20" x14ac:dyDescent="0.25">
      <c r="D78" s="11">
        <v>2010</v>
      </c>
      <c r="E78" s="4" t="s">
        <v>18</v>
      </c>
      <c r="F78" s="4" t="s">
        <v>19</v>
      </c>
      <c r="G78" s="4" t="s">
        <v>60</v>
      </c>
      <c r="H78">
        <v>134.23746</v>
      </c>
      <c r="I78">
        <v>15.624459999999999</v>
      </c>
      <c r="J78">
        <f>H78*$H$70*$H$71*$H$72-K78</f>
        <v>73.909226900163787</v>
      </c>
      <c r="K78">
        <f>I78*$I$70*$I$71*$I$72*$I$73</f>
        <v>11.193123300074896</v>
      </c>
      <c r="M78" t="s">
        <v>8</v>
      </c>
      <c r="S78">
        <v>81.785579999999996</v>
      </c>
      <c r="T78" t="s">
        <v>16</v>
      </c>
    </row>
    <row r="79" spans="4:20" x14ac:dyDescent="0.25">
      <c r="D79" s="11">
        <v>2010</v>
      </c>
      <c r="E79" s="4" t="s">
        <v>18</v>
      </c>
      <c r="F79" s="4" t="s">
        <v>20</v>
      </c>
      <c r="G79" s="4" t="s">
        <v>60</v>
      </c>
      <c r="H79">
        <v>81.785579999999996</v>
      </c>
    </row>
    <row r="80" spans="4:20" x14ac:dyDescent="0.25">
      <c r="D80" s="11">
        <v>2010</v>
      </c>
      <c r="E80" s="4" t="s">
        <v>18</v>
      </c>
      <c r="F80" s="4" t="s">
        <v>21</v>
      </c>
      <c r="G80" s="4" t="s">
        <v>60</v>
      </c>
      <c r="M80" t="s">
        <v>65</v>
      </c>
      <c r="N80" t="s">
        <v>66</v>
      </c>
      <c r="O80" t="s">
        <v>67</v>
      </c>
      <c r="P80" t="s">
        <v>6</v>
      </c>
      <c r="Q80" t="s">
        <v>68</v>
      </c>
      <c r="R80" t="s">
        <v>6</v>
      </c>
      <c r="S80" t="s">
        <v>69</v>
      </c>
      <c r="T80" t="s">
        <v>6</v>
      </c>
    </row>
    <row r="81" spans="4:20" x14ac:dyDescent="0.25">
      <c r="D81" s="11">
        <v>2010</v>
      </c>
      <c r="E81" s="4" t="s">
        <v>18</v>
      </c>
      <c r="F81" s="4" t="s">
        <v>22</v>
      </c>
      <c r="G81" s="4" t="s">
        <v>60</v>
      </c>
      <c r="M81" t="s">
        <v>8</v>
      </c>
      <c r="S81">
        <v>15.624459999999999</v>
      </c>
      <c r="T81" t="s">
        <v>16</v>
      </c>
    </row>
    <row r="82" spans="4:20" x14ac:dyDescent="0.25">
      <c r="D82" s="11">
        <v>2010</v>
      </c>
      <c r="E82" s="4" t="s">
        <v>18</v>
      </c>
      <c r="F82" s="4" t="s">
        <v>23</v>
      </c>
      <c r="G82" s="4" t="s">
        <v>60</v>
      </c>
    </row>
    <row r="83" spans="4:20" x14ac:dyDescent="0.25">
      <c r="D83" s="11">
        <v>2010</v>
      </c>
      <c r="E83" s="4" t="s">
        <v>18</v>
      </c>
      <c r="F83" s="4" t="s">
        <v>24</v>
      </c>
      <c r="G83" s="4" t="s">
        <v>60</v>
      </c>
    </row>
    <row r="84" spans="4:20" x14ac:dyDescent="0.25">
      <c r="D84" s="11">
        <v>2010</v>
      </c>
      <c r="E84" s="4" t="s">
        <v>18</v>
      </c>
      <c r="F84" s="4"/>
    </row>
    <row r="85" spans="4:20" x14ac:dyDescent="0.25">
      <c r="D85" s="11">
        <v>2015</v>
      </c>
      <c r="E85" s="4" t="s">
        <v>18</v>
      </c>
      <c r="F85" s="4" t="s">
        <v>19</v>
      </c>
      <c r="G85" s="4" t="s">
        <v>60</v>
      </c>
    </row>
    <row r="86" spans="4:20" x14ac:dyDescent="0.25">
      <c r="D86" s="11">
        <v>2015</v>
      </c>
      <c r="E86" s="4" t="s">
        <v>18</v>
      </c>
      <c r="F86" s="4" t="s">
        <v>21</v>
      </c>
      <c r="G86" s="4" t="s">
        <v>60</v>
      </c>
    </row>
    <row r="87" spans="4:20" x14ac:dyDescent="0.25">
      <c r="D87" s="11">
        <v>2015</v>
      </c>
      <c r="E87" s="4" t="s">
        <v>18</v>
      </c>
      <c r="F87" s="4" t="s">
        <v>27</v>
      </c>
      <c r="G87" s="4" t="s">
        <v>60</v>
      </c>
    </row>
    <row r="88" spans="4:20" x14ac:dyDescent="0.25">
      <c r="D88" s="11">
        <v>2015</v>
      </c>
      <c r="E88" s="4" t="s">
        <v>18</v>
      </c>
      <c r="F88" s="4" t="s">
        <v>22</v>
      </c>
      <c r="G88" s="4" t="s">
        <v>60</v>
      </c>
    </row>
    <row r="89" spans="4:20" x14ac:dyDescent="0.25">
      <c r="D89" s="11">
        <v>2015</v>
      </c>
      <c r="E89" s="4" t="s">
        <v>18</v>
      </c>
      <c r="F89" s="4" t="s">
        <v>23</v>
      </c>
      <c r="G89" s="4" t="s">
        <v>60</v>
      </c>
    </row>
    <row r="90" spans="4:20" x14ac:dyDescent="0.25">
      <c r="D90" s="11">
        <v>2015</v>
      </c>
      <c r="E90" s="4" t="s">
        <v>18</v>
      </c>
      <c r="F90" s="4" t="s">
        <v>24</v>
      </c>
      <c r="G90" s="4" t="s">
        <v>60</v>
      </c>
    </row>
    <row r="91" spans="4:20" x14ac:dyDescent="0.25">
      <c r="D91" s="11">
        <v>2015</v>
      </c>
      <c r="E91" s="4" t="s">
        <v>18</v>
      </c>
      <c r="F91" s="4"/>
    </row>
    <row r="92" spans="4:20" x14ac:dyDescent="0.25">
      <c r="D92" s="11">
        <v>2020</v>
      </c>
      <c r="E92" s="4" t="s">
        <v>18</v>
      </c>
      <c r="F92" s="4" t="s">
        <v>19</v>
      </c>
      <c r="G92" s="4" t="s">
        <v>60</v>
      </c>
    </row>
    <row r="93" spans="4:20" x14ac:dyDescent="0.25">
      <c r="D93" s="11">
        <v>2020</v>
      </c>
      <c r="E93" s="4" t="s">
        <v>18</v>
      </c>
      <c r="F93" s="4" t="s">
        <v>27</v>
      </c>
      <c r="G93" s="4" t="s">
        <v>60</v>
      </c>
    </row>
    <row r="94" spans="4:20" x14ac:dyDescent="0.25">
      <c r="D94" s="11">
        <v>2020</v>
      </c>
      <c r="E94" s="4" t="s">
        <v>18</v>
      </c>
      <c r="F94" s="4" t="s">
        <v>23</v>
      </c>
      <c r="G94" s="4" t="s">
        <v>60</v>
      </c>
    </row>
    <row r="95" spans="4:20" x14ac:dyDescent="0.25">
      <c r="D95" s="11">
        <v>2020</v>
      </c>
      <c r="E95" s="4" t="s">
        <v>18</v>
      </c>
      <c r="F95" s="4" t="s">
        <v>28</v>
      </c>
      <c r="G95" s="4" t="s">
        <v>60</v>
      </c>
    </row>
    <row r="96" spans="4:20" x14ac:dyDescent="0.25">
      <c r="D96" s="11">
        <v>2020</v>
      </c>
      <c r="E96" s="4" t="s">
        <v>18</v>
      </c>
      <c r="F96" s="4" t="s">
        <v>29</v>
      </c>
      <c r="G96" s="4" t="s">
        <v>60</v>
      </c>
    </row>
    <row r="97" spans="4:7" x14ac:dyDescent="0.25">
      <c r="D97" s="11">
        <v>2020</v>
      </c>
      <c r="E97" s="4" t="s">
        <v>18</v>
      </c>
      <c r="F97" s="4" t="s">
        <v>30</v>
      </c>
      <c r="G97" s="4" t="s">
        <v>60</v>
      </c>
    </row>
    <row r="98" spans="4:7" x14ac:dyDescent="0.25">
      <c r="D98" s="11">
        <v>2020</v>
      </c>
      <c r="E98" s="4" t="s">
        <v>18</v>
      </c>
      <c r="F98" s="4"/>
    </row>
    <row r="99" spans="4:7" x14ac:dyDescent="0.25">
      <c r="D99" s="11">
        <v>2020</v>
      </c>
      <c r="E99" s="4" t="s">
        <v>47</v>
      </c>
      <c r="F99" s="4" t="s">
        <v>48</v>
      </c>
      <c r="G99" s="4" t="s">
        <v>60</v>
      </c>
    </row>
    <row r="100" spans="4:7" x14ac:dyDescent="0.25">
      <c r="D100" s="11">
        <v>2025</v>
      </c>
      <c r="E100" s="4" t="s">
        <v>47</v>
      </c>
      <c r="F100" s="4" t="s">
        <v>48</v>
      </c>
      <c r="G100" s="4" t="s">
        <v>60</v>
      </c>
    </row>
    <row r="101" spans="4:7" x14ac:dyDescent="0.25">
      <c r="D101" s="11">
        <v>2030</v>
      </c>
      <c r="E101" s="4" t="s">
        <v>47</v>
      </c>
      <c r="F101" s="4" t="s">
        <v>48</v>
      </c>
      <c r="G101" s="4" t="s">
        <v>60</v>
      </c>
    </row>
    <row r="102" spans="4:7" x14ac:dyDescent="0.25">
      <c r="D102" s="11">
        <v>2035</v>
      </c>
      <c r="E102" s="4" t="s">
        <v>47</v>
      </c>
      <c r="F102" s="4" t="s">
        <v>48</v>
      </c>
      <c r="G102" s="4" t="s">
        <v>60</v>
      </c>
    </row>
    <row r="103" spans="4:7" x14ac:dyDescent="0.25">
      <c r="D103" s="11">
        <v>2040</v>
      </c>
      <c r="E103" s="4" t="s">
        <v>47</v>
      </c>
      <c r="F103" s="4" t="s">
        <v>48</v>
      </c>
      <c r="G103" s="4" t="s">
        <v>60</v>
      </c>
    </row>
    <row r="104" spans="4:7" x14ac:dyDescent="0.25">
      <c r="D104" s="11">
        <v>2045</v>
      </c>
      <c r="E104" s="4" t="s">
        <v>47</v>
      </c>
      <c r="F104" s="4" t="s">
        <v>48</v>
      </c>
      <c r="G104" s="4" t="s">
        <v>60</v>
      </c>
    </row>
    <row r="105" spans="4:7" x14ac:dyDescent="0.25">
      <c r="D105" s="14">
        <v>2050</v>
      </c>
      <c r="E105" s="15" t="s">
        <v>47</v>
      </c>
      <c r="F105" s="15" t="s">
        <v>48</v>
      </c>
      <c r="G105" s="15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E6E93-5635-4600-B292-A5D33165A1F5}">
  <dimension ref="B1:L127"/>
  <sheetViews>
    <sheetView zoomScale="85" zoomScaleNormal="85" workbookViewId="0">
      <selection activeCell="G3" sqref="G3:K87"/>
    </sheetView>
  </sheetViews>
  <sheetFormatPr defaultRowHeight="15" x14ac:dyDescent="0.25"/>
  <cols>
    <col min="2" max="2" width="31.140625" customWidth="1"/>
    <col min="3" max="3" width="20.42578125" customWidth="1"/>
    <col min="4" max="6" width="43.7109375" customWidth="1"/>
    <col min="7" max="7" width="15" style="55" customWidth="1"/>
    <col min="8" max="8" width="20.28515625" customWidth="1"/>
  </cols>
  <sheetData>
    <row r="1" spans="2:12" x14ac:dyDescent="0.25">
      <c r="I1" s="55"/>
    </row>
    <row r="2" spans="2:12" ht="15.75" thickBot="1" x14ac:dyDescent="0.3">
      <c r="B2" s="4"/>
      <c r="C2" s="4"/>
      <c r="D2" s="4"/>
      <c r="E2" s="4"/>
      <c r="G2" s="80"/>
      <c r="H2" s="79"/>
      <c r="I2" s="77"/>
      <c r="J2" s="78"/>
      <c r="K2" s="79"/>
    </row>
    <row r="3" spans="2:12" ht="15.75" thickTop="1" x14ac:dyDescent="0.25">
      <c r="B3" s="4" t="s">
        <v>183</v>
      </c>
      <c r="C3" s="4" t="s">
        <v>25</v>
      </c>
      <c r="D3" s="6" t="s">
        <v>150</v>
      </c>
      <c r="E3" s="6" t="s">
        <v>179</v>
      </c>
      <c r="G3" s="82" t="s">
        <v>183</v>
      </c>
      <c r="H3" s="82" t="s">
        <v>25</v>
      </c>
      <c r="I3" s="83" t="s">
        <v>184</v>
      </c>
      <c r="J3" s="84" t="s">
        <v>137</v>
      </c>
      <c r="K3" s="84" t="s">
        <v>185</v>
      </c>
      <c r="L3" s="81"/>
    </row>
    <row r="4" spans="2:12" x14ac:dyDescent="0.25">
      <c r="B4" s="65" t="s">
        <v>151</v>
      </c>
      <c r="C4" s="4" t="s">
        <v>26</v>
      </c>
      <c r="D4" s="57">
        <v>1.785853233860619</v>
      </c>
      <c r="E4" s="57">
        <f t="shared" ref="E4:E31" si="0">I4/$I$24</f>
        <v>1.4908947579615466</v>
      </c>
      <c r="G4" s="85" t="s">
        <v>151</v>
      </c>
      <c r="H4" s="86" t="s">
        <v>26</v>
      </c>
      <c r="I4" s="87">
        <v>2.0742766761268645</v>
      </c>
      <c r="J4" s="88">
        <v>14.46287293555104</v>
      </c>
      <c r="K4" s="88">
        <v>69.291105473792015</v>
      </c>
      <c r="L4" s="81"/>
    </row>
    <row r="5" spans="2:12" x14ac:dyDescent="0.25">
      <c r="B5" s="65" t="s">
        <v>152</v>
      </c>
      <c r="C5" s="4" t="s">
        <v>26</v>
      </c>
      <c r="D5" s="57">
        <v>1.3229058936580431</v>
      </c>
      <c r="E5" s="57">
        <f t="shared" si="0"/>
        <v>1.5353166792470987</v>
      </c>
      <c r="G5" s="85" t="s">
        <v>152</v>
      </c>
      <c r="H5" s="86" t="s">
        <v>26</v>
      </c>
      <c r="I5" s="87">
        <v>2.1360807402563466</v>
      </c>
      <c r="J5" s="88">
        <v>14.044412944989974</v>
      </c>
      <c r="K5" s="88">
        <v>51.328748673932068</v>
      </c>
      <c r="L5" s="81"/>
    </row>
    <row r="6" spans="2:12" x14ac:dyDescent="0.25">
      <c r="B6" s="65" t="s">
        <v>153</v>
      </c>
      <c r="C6" s="4" t="s">
        <v>26</v>
      </c>
      <c r="D6" s="57">
        <v>1.2499702770368135</v>
      </c>
      <c r="E6" s="57">
        <f t="shared" si="0"/>
        <v>1.550133618701933</v>
      </c>
      <c r="G6" s="85" t="s">
        <v>153</v>
      </c>
      <c r="H6" s="86" t="s">
        <v>26</v>
      </c>
      <c r="I6" s="87">
        <v>2.1566954964345553</v>
      </c>
      <c r="J6" s="88">
        <v>13.910169539277074</v>
      </c>
      <c r="K6" s="88">
        <v>48.49884674902836</v>
      </c>
      <c r="L6" s="81"/>
    </row>
    <row r="7" spans="2:12" x14ac:dyDescent="0.25">
      <c r="B7" s="65" t="s">
        <v>154</v>
      </c>
      <c r="C7" s="4" t="s">
        <v>26</v>
      </c>
      <c r="D7" s="57">
        <v>1.3093387993083831</v>
      </c>
      <c r="E7" s="57">
        <f t="shared" si="0"/>
        <v>1.43913056660723</v>
      </c>
      <c r="G7" s="85" t="s">
        <v>154</v>
      </c>
      <c r="H7" s="86" t="s">
        <v>26</v>
      </c>
      <c r="I7" s="87">
        <v>2.0022573372624399</v>
      </c>
      <c r="J7" s="88">
        <v>14.983089057382157</v>
      </c>
      <c r="K7" s="88">
        <v>50.802345413165263</v>
      </c>
      <c r="L7" s="81"/>
    </row>
    <row r="8" spans="2:12" x14ac:dyDescent="0.25">
      <c r="B8" s="65" t="s">
        <v>155</v>
      </c>
      <c r="C8" s="4" t="s">
        <v>26</v>
      </c>
      <c r="D8" s="57">
        <v>1.5950526021217764</v>
      </c>
      <c r="E8" s="57">
        <f t="shared" si="0"/>
        <v>1.5929353855131643</v>
      </c>
      <c r="G8" s="85" t="s">
        <v>155</v>
      </c>
      <c r="H8" s="86" t="s">
        <v>26</v>
      </c>
      <c r="I8" s="87">
        <v>2.216245445295431</v>
      </c>
      <c r="J8" s="88">
        <v>13.536406837826993</v>
      </c>
      <c r="K8" s="88">
        <v>61.888040962324915</v>
      </c>
      <c r="L8" s="81"/>
    </row>
    <row r="9" spans="2:12" x14ac:dyDescent="0.25">
      <c r="B9" s="65" t="s">
        <v>156</v>
      </c>
      <c r="C9" s="4" t="s">
        <v>26</v>
      </c>
      <c r="D9" s="57">
        <v>1.5644300693827788</v>
      </c>
      <c r="E9" s="57">
        <f t="shared" si="0"/>
        <v>1.6020374028054798</v>
      </c>
      <c r="G9" s="85" t="s">
        <v>156</v>
      </c>
      <c r="H9" s="86" t="s">
        <v>26</v>
      </c>
      <c r="I9" s="87">
        <v>2.2289090502040483</v>
      </c>
      <c r="J9" s="88">
        <v>13.459499389288052</v>
      </c>
      <c r="K9" s="88">
        <v>60.699886692051813</v>
      </c>
      <c r="L9" s="81"/>
    </row>
    <row r="10" spans="2:12" x14ac:dyDescent="0.25">
      <c r="B10" s="65" t="s">
        <v>157</v>
      </c>
      <c r="C10" s="4" t="s">
        <v>26</v>
      </c>
      <c r="D10" s="57">
        <v>1.568322981612174</v>
      </c>
      <c r="E10" s="57">
        <f t="shared" si="0"/>
        <v>1.5729822837426797</v>
      </c>
      <c r="G10" s="85" t="s">
        <v>157</v>
      </c>
      <c r="H10" s="86" t="s">
        <v>26</v>
      </c>
      <c r="I10" s="87">
        <v>2.1884847644037158</v>
      </c>
      <c r="J10" s="88">
        <v>13.708114622481245</v>
      </c>
      <c r="K10" s="88">
        <v>60.85093168655235</v>
      </c>
      <c r="L10" s="81"/>
    </row>
    <row r="11" spans="2:12" x14ac:dyDescent="0.25">
      <c r="B11" s="65" t="s">
        <v>158</v>
      </c>
      <c r="C11" s="4" t="s">
        <v>26</v>
      </c>
      <c r="D11" s="57">
        <v>1.3902905149968341</v>
      </c>
      <c r="E11" s="57">
        <f t="shared" si="0"/>
        <v>1.2047496621473657</v>
      </c>
      <c r="G11" s="85" t="s">
        <v>158</v>
      </c>
      <c r="H11" s="86" t="s">
        <v>26</v>
      </c>
      <c r="I11" s="87">
        <v>1.6761640024684124</v>
      </c>
      <c r="J11" s="88">
        <v>17.89800995357276</v>
      </c>
      <c r="K11" s="88">
        <v>53.94327198187716</v>
      </c>
      <c r="L11" s="81"/>
    </row>
    <row r="12" spans="2:12" x14ac:dyDescent="0.25">
      <c r="B12" s="65" t="s">
        <v>159</v>
      </c>
      <c r="C12" s="4" t="s">
        <v>26</v>
      </c>
      <c r="D12" s="57">
        <v>1.1767682754493587</v>
      </c>
      <c r="E12" s="57">
        <f t="shared" si="0"/>
        <v>1.1932607746740644</v>
      </c>
      <c r="G12" s="85" t="s">
        <v>159</v>
      </c>
      <c r="H12" s="86" t="s">
        <v>26</v>
      </c>
      <c r="I12" s="87">
        <v>1.6601795534030077</v>
      </c>
      <c r="J12" s="88">
        <v>18.070334584296326</v>
      </c>
      <c r="K12" s="88">
        <v>45.658609087435117</v>
      </c>
      <c r="L12" s="81"/>
    </row>
    <row r="13" spans="2:12" x14ac:dyDescent="0.25">
      <c r="B13" s="65" t="s">
        <v>160</v>
      </c>
      <c r="C13" s="4" t="s">
        <v>26</v>
      </c>
      <c r="D13" s="57">
        <v>1.1420461794644554</v>
      </c>
      <c r="E13" s="57">
        <f t="shared" si="0"/>
        <v>1.358709500654963</v>
      </c>
      <c r="G13" s="85" t="s">
        <v>160</v>
      </c>
      <c r="H13" s="86" t="s">
        <v>26</v>
      </c>
      <c r="I13" s="87">
        <v>1.8903677887324488</v>
      </c>
      <c r="J13" s="88">
        <v>15.869927629329711</v>
      </c>
      <c r="K13" s="88">
        <v>44.311391763220868</v>
      </c>
      <c r="L13" s="81"/>
    </row>
    <row r="14" spans="2:12" x14ac:dyDescent="0.25">
      <c r="B14" s="65" t="s">
        <v>161</v>
      </c>
      <c r="C14" s="4" t="s">
        <v>26</v>
      </c>
      <c r="D14" s="57">
        <v>1.0424881575583538</v>
      </c>
      <c r="E14" s="57">
        <f t="shared" si="0"/>
        <v>1.1750919889400622</v>
      </c>
      <c r="G14" s="85" t="s">
        <v>161</v>
      </c>
      <c r="H14" s="86" t="s">
        <v>26</v>
      </c>
      <c r="I14" s="87">
        <v>1.6349013851886962</v>
      </c>
      <c r="J14" s="88">
        <v>18.349730614814714</v>
      </c>
      <c r="K14" s="88">
        <v>40.448540513264128</v>
      </c>
      <c r="L14" s="81"/>
    </row>
    <row r="15" spans="2:12" x14ac:dyDescent="0.25">
      <c r="B15" s="65" t="s">
        <v>162</v>
      </c>
      <c r="C15" s="4" t="s">
        <v>26</v>
      </c>
      <c r="D15" s="57">
        <v>1.3319809093181845</v>
      </c>
      <c r="E15" s="57">
        <f t="shared" si="0"/>
        <v>1.29545170656104</v>
      </c>
      <c r="G15" s="85" t="s">
        <v>162</v>
      </c>
      <c r="H15" s="86" t="s">
        <v>26</v>
      </c>
      <c r="I15" s="87">
        <v>1.8023574404690577</v>
      </c>
      <c r="J15" s="88">
        <v>16.644867064877317</v>
      </c>
      <c r="K15" s="88">
        <v>51.680859281545551</v>
      </c>
      <c r="L15" s="81"/>
    </row>
    <row r="16" spans="2:12" x14ac:dyDescent="0.25">
      <c r="B16" s="65" t="s">
        <v>163</v>
      </c>
      <c r="C16" s="4" t="s">
        <v>26</v>
      </c>
      <c r="D16" s="57">
        <v>1.2699527966481468</v>
      </c>
      <c r="E16" s="57">
        <f t="shared" si="0"/>
        <v>1.2980499152359548</v>
      </c>
      <c r="G16" s="85" t="s">
        <v>163</v>
      </c>
      <c r="H16" s="86" t="s">
        <v>26</v>
      </c>
      <c r="I16" s="87">
        <v>1.8059723191352453</v>
      </c>
      <c r="J16" s="88">
        <v>16.611550289079137</v>
      </c>
      <c r="K16" s="88">
        <v>49.27416850994809</v>
      </c>
      <c r="L16" s="81"/>
    </row>
    <row r="17" spans="2:12" x14ac:dyDescent="0.25">
      <c r="B17" s="65" t="s">
        <v>164</v>
      </c>
      <c r="C17" s="4" t="s">
        <v>26</v>
      </c>
      <c r="D17" s="57">
        <v>1.3098133810345978</v>
      </c>
      <c r="E17" s="57">
        <f t="shared" si="0"/>
        <v>1.2521402046987635</v>
      </c>
      <c r="G17" s="85" t="s">
        <v>164</v>
      </c>
      <c r="H17" s="86" t="s">
        <v>26</v>
      </c>
      <c r="I17" s="87">
        <v>1.7420982990097498</v>
      </c>
      <c r="J17" s="88">
        <v>17.22061264685966</v>
      </c>
      <c r="K17" s="88">
        <v>50.820759184142389</v>
      </c>
      <c r="L17" s="81"/>
    </row>
    <row r="18" spans="2:12" x14ac:dyDescent="0.25">
      <c r="B18" s="65" t="s">
        <v>165</v>
      </c>
      <c r="C18" s="4" t="s">
        <v>26</v>
      </c>
      <c r="D18" s="57">
        <v>1.0940891574664</v>
      </c>
      <c r="E18" s="57">
        <f t="shared" si="0"/>
        <v>0.98406322583724348</v>
      </c>
      <c r="G18" s="85" t="s">
        <v>165</v>
      </c>
      <c r="H18" s="86" t="s">
        <v>26</v>
      </c>
      <c r="I18" s="87">
        <v>1.3691237334412876</v>
      </c>
      <c r="J18" s="88">
        <v>21.911825255263896</v>
      </c>
      <c r="K18" s="88">
        <v>42.45065930969632</v>
      </c>
      <c r="L18" s="81"/>
    </row>
    <row r="19" spans="2:12" x14ac:dyDescent="0.25">
      <c r="B19" s="65" t="s">
        <v>166</v>
      </c>
      <c r="C19" s="4" t="s">
        <v>26</v>
      </c>
      <c r="D19" s="57">
        <v>0.91951818319830436</v>
      </c>
      <c r="E19" s="57">
        <f t="shared" si="0"/>
        <v>1.1014893626255031</v>
      </c>
      <c r="G19" s="85" t="s">
        <v>166</v>
      </c>
      <c r="H19" s="86" t="s">
        <v>26</v>
      </c>
      <c r="I19" s="87">
        <v>1.5324983079421739</v>
      </c>
      <c r="J19" s="88">
        <v>19.575878057760306</v>
      </c>
      <c r="K19" s="88">
        <v>35.677305508094207</v>
      </c>
      <c r="L19" s="81"/>
    </row>
    <row r="20" spans="2:12" x14ac:dyDescent="0.25">
      <c r="B20" s="65" t="s">
        <v>167</v>
      </c>
      <c r="C20" s="4" t="s">
        <v>26</v>
      </c>
      <c r="D20" s="57">
        <v>1.0903762811928392</v>
      </c>
      <c r="E20" s="57">
        <f t="shared" si="0"/>
        <v>1.0525401651733803</v>
      </c>
      <c r="G20" s="85" t="s">
        <v>167</v>
      </c>
      <c r="H20" s="86" t="s">
        <v>26</v>
      </c>
      <c r="I20" s="87">
        <v>1.4643954602744478</v>
      </c>
      <c r="J20" s="88">
        <v>20.486269463289368</v>
      </c>
      <c r="K20" s="88">
        <v>42.306599710282157</v>
      </c>
      <c r="L20" s="81"/>
    </row>
    <row r="21" spans="2:12" x14ac:dyDescent="0.25">
      <c r="B21" s="65" t="s">
        <v>168</v>
      </c>
      <c r="C21" s="4" t="s">
        <v>26</v>
      </c>
      <c r="D21" s="57">
        <v>0.78649005969465369</v>
      </c>
      <c r="E21" s="57">
        <f t="shared" si="0"/>
        <v>0.94649194193460251</v>
      </c>
      <c r="G21" s="85" t="s">
        <v>168</v>
      </c>
      <c r="H21" s="86" t="s">
        <v>26</v>
      </c>
      <c r="I21" s="87">
        <v>1.3168509372058614</v>
      </c>
      <c r="J21" s="88">
        <v>22.781621786027664</v>
      </c>
      <c r="K21" s="88">
        <v>30.515814316152561</v>
      </c>
      <c r="L21" s="81"/>
    </row>
    <row r="22" spans="2:12" x14ac:dyDescent="0.25">
      <c r="B22" s="65" t="s">
        <v>169</v>
      </c>
      <c r="C22" s="4" t="s">
        <v>26</v>
      </c>
      <c r="D22" s="57">
        <v>0.93900064522197502</v>
      </c>
      <c r="E22" s="57">
        <f t="shared" si="0"/>
        <v>0.94954531605983394</v>
      </c>
      <c r="G22" s="85" t="s">
        <v>169</v>
      </c>
      <c r="H22" s="86" t="s">
        <v>26</v>
      </c>
      <c r="I22" s="87">
        <v>1.3210990859753402</v>
      </c>
      <c r="J22" s="88">
        <v>22.708364814174114</v>
      </c>
      <c r="K22" s="88">
        <v>36.433225034612626</v>
      </c>
      <c r="L22" s="81"/>
    </row>
    <row r="23" spans="2:12" x14ac:dyDescent="0.25">
      <c r="B23" s="65" t="s">
        <v>170</v>
      </c>
      <c r="C23" s="4" t="s">
        <v>26</v>
      </c>
      <c r="D23" s="57">
        <v>0.91619771593602561</v>
      </c>
      <c r="E23" s="57">
        <f t="shared" si="0"/>
        <v>0.91048269891137157</v>
      </c>
      <c r="G23" s="85" t="s">
        <v>170</v>
      </c>
      <c r="H23" s="86" t="s">
        <v>26</v>
      </c>
      <c r="I23" s="87">
        <v>1.2667514029971574</v>
      </c>
      <c r="J23" s="88">
        <v>23.682626227229306</v>
      </c>
      <c r="K23" s="88">
        <v>35.548471378317792</v>
      </c>
      <c r="L23" s="81"/>
    </row>
    <row r="24" spans="2:12" x14ac:dyDescent="0.25">
      <c r="B24" s="65" t="s">
        <v>171</v>
      </c>
      <c r="C24" s="4" t="s">
        <v>26</v>
      </c>
      <c r="D24" s="57">
        <v>0.99930362378007553</v>
      </c>
      <c r="E24" s="57">
        <f t="shared" si="0"/>
        <v>1</v>
      </c>
      <c r="G24" s="85" t="s">
        <v>171</v>
      </c>
      <c r="H24" s="86" t="s">
        <v>26</v>
      </c>
      <c r="I24" s="87">
        <v>1.3912965117423564</v>
      </c>
      <c r="J24" s="88">
        <v>21.562621444676971</v>
      </c>
      <c r="K24" s="88">
        <v>38.772980602666927</v>
      </c>
      <c r="L24" s="81"/>
    </row>
    <row r="25" spans="2:12" x14ac:dyDescent="0.25">
      <c r="B25" s="64" t="s">
        <v>172</v>
      </c>
      <c r="C25" s="4" t="s">
        <v>26</v>
      </c>
      <c r="D25" s="57">
        <v>0.76575810296459546</v>
      </c>
      <c r="E25" s="57">
        <f t="shared" si="0"/>
        <v>0.96230311047592543</v>
      </c>
      <c r="G25" s="89" t="s">
        <v>172</v>
      </c>
      <c r="H25" s="86" t="s">
        <v>26</v>
      </c>
      <c r="I25" s="87">
        <v>1.3388489608439744</v>
      </c>
      <c r="J25" s="88">
        <v>22.407307229852726</v>
      </c>
      <c r="K25" s="88">
        <v>29.711414395026303</v>
      </c>
      <c r="L25" s="81"/>
    </row>
    <row r="26" spans="2:12" x14ac:dyDescent="0.25">
      <c r="B26" s="64" t="s">
        <v>173</v>
      </c>
      <c r="C26" s="4" t="s">
        <v>26</v>
      </c>
      <c r="D26" s="57">
        <v>0.71868800135090494</v>
      </c>
      <c r="E26" s="57">
        <f t="shared" si="0"/>
        <v>0.91731164694730016</v>
      </c>
      <c r="G26" s="89" t="s">
        <v>173</v>
      </c>
      <c r="H26" s="86" t="s">
        <v>26</v>
      </c>
      <c r="I26" s="87">
        <v>1.2762524945784146</v>
      </c>
      <c r="J26" s="88">
        <v>23.506320361716451</v>
      </c>
      <c r="K26" s="88">
        <v>27.88509445241511</v>
      </c>
      <c r="L26" s="81"/>
    </row>
    <row r="27" spans="2:12" x14ac:dyDescent="0.25">
      <c r="B27" s="64" t="s">
        <v>174</v>
      </c>
      <c r="C27" s="4" t="s">
        <v>26</v>
      </c>
      <c r="D27" s="57">
        <v>0.70856869401016631</v>
      </c>
      <c r="E27" s="57">
        <f t="shared" si="0"/>
        <v>0.88504284705834513</v>
      </c>
      <c r="G27" s="89" t="s">
        <v>174</v>
      </c>
      <c r="H27" s="86" t="s">
        <v>26</v>
      </c>
      <c r="I27" s="87">
        <v>1.2313570258547994</v>
      </c>
      <c r="J27" s="88">
        <v>24.363364458958774</v>
      </c>
      <c r="K27" s="88">
        <v>27.492465327594452</v>
      </c>
      <c r="L27" s="81"/>
    </row>
    <row r="28" spans="2:12" x14ac:dyDescent="0.25">
      <c r="B28" s="64" t="s">
        <v>175</v>
      </c>
      <c r="C28" s="4" t="s">
        <v>26</v>
      </c>
      <c r="D28" s="57">
        <v>0.69062806603657312</v>
      </c>
      <c r="E28" s="57">
        <f t="shared" si="0"/>
        <v>0.86463045637671176</v>
      </c>
      <c r="G28" s="89" t="s">
        <v>175</v>
      </c>
      <c r="H28" s="86" t="s">
        <v>26</v>
      </c>
      <c r="I28" s="87">
        <v>1.2029573379031206</v>
      </c>
      <c r="J28" s="88">
        <v>24.938540258038667</v>
      </c>
      <c r="K28" s="88">
        <v>26.796368962219034</v>
      </c>
      <c r="L28" s="81"/>
    </row>
    <row r="29" spans="2:12" x14ac:dyDescent="0.25">
      <c r="B29" s="64" t="s">
        <v>176</v>
      </c>
      <c r="C29" s="4" t="s">
        <v>26</v>
      </c>
      <c r="D29" s="57">
        <v>0.68117869539065312</v>
      </c>
      <c r="E29" s="57">
        <f t="shared" si="0"/>
        <v>0.85160639316044284</v>
      </c>
      <c r="G29" s="89" t="s">
        <v>176</v>
      </c>
      <c r="H29" s="86" t="s">
        <v>26</v>
      </c>
      <c r="I29" s="87">
        <v>1.1848370041816139</v>
      </c>
      <c r="J29" s="88">
        <v>25.319938433828277</v>
      </c>
      <c r="K29" s="88">
        <v>26.429733381157341</v>
      </c>
      <c r="L29" s="81"/>
    </row>
    <row r="30" spans="2:12" x14ac:dyDescent="0.25">
      <c r="B30" s="64" t="s">
        <v>177</v>
      </c>
      <c r="C30" s="4" t="s">
        <v>26</v>
      </c>
      <c r="D30" s="57">
        <v>0.67203303184487273</v>
      </c>
      <c r="E30" s="57">
        <f t="shared" si="0"/>
        <v>0.84023782877114406</v>
      </c>
      <c r="G30" s="89" t="s">
        <v>177</v>
      </c>
      <c r="H30" s="86" t="s">
        <v>26</v>
      </c>
      <c r="I30" s="87">
        <v>1.169019960203264</v>
      </c>
      <c r="J30" s="88">
        <v>25.662521617495507</v>
      </c>
      <c r="K30" s="88">
        <v>26.074881635581061</v>
      </c>
      <c r="L30" s="81"/>
    </row>
    <row r="31" spans="2:12" x14ac:dyDescent="0.25">
      <c r="B31" s="64" t="s">
        <v>178</v>
      </c>
      <c r="C31" s="4" t="s">
        <v>26</v>
      </c>
      <c r="D31" s="57">
        <v>0.66582373771736514</v>
      </c>
      <c r="E31" s="57">
        <f t="shared" si="0"/>
        <v>0.82814036521262369</v>
      </c>
      <c r="G31" s="89" t="s">
        <v>178</v>
      </c>
      <c r="H31" s="86" t="s">
        <v>26</v>
      </c>
      <c r="I31" s="87">
        <v>1.1521888013533643</v>
      </c>
      <c r="J31" s="88">
        <v>26.037399395621545</v>
      </c>
      <c r="K31" s="88">
        <v>25.833961023433766</v>
      </c>
      <c r="L31" s="81"/>
    </row>
    <row r="32" spans="2:12" x14ac:dyDescent="0.25">
      <c r="B32" s="65" t="s">
        <v>151</v>
      </c>
      <c r="C32" s="4" t="s">
        <v>119</v>
      </c>
      <c r="D32" s="57">
        <v>1.6553536971028533</v>
      </c>
      <c r="E32" s="57">
        <f t="shared" ref="E32:E59" si="1">I32/$I$52</f>
        <v>1.3890521555964472</v>
      </c>
      <c r="G32" s="85" t="s">
        <v>151</v>
      </c>
      <c r="H32" s="86" t="s">
        <v>119</v>
      </c>
      <c r="I32" s="87">
        <v>1.607427070930773</v>
      </c>
      <c r="J32" s="88">
        <v>18.663366159827483</v>
      </c>
      <c r="K32" s="88">
        <v>55.288813483235295</v>
      </c>
      <c r="L32" s="81"/>
    </row>
    <row r="33" spans="2:12" x14ac:dyDescent="0.25">
      <c r="B33" s="65" t="s">
        <v>152</v>
      </c>
      <c r="C33" s="4" t="s">
        <v>119</v>
      </c>
      <c r="D33" s="57">
        <v>1.2375470082068483</v>
      </c>
      <c r="E33" s="57">
        <f t="shared" si="1"/>
        <v>1.4458296715991596</v>
      </c>
      <c r="G33" s="85" t="s">
        <v>152</v>
      </c>
      <c r="H33" s="86" t="s">
        <v>119</v>
      </c>
      <c r="I33" s="87">
        <v>1.6731306630351144</v>
      </c>
      <c r="J33" s="88">
        <v>17.930458548634217</v>
      </c>
      <c r="K33" s="88">
        <v>41.33407007410873</v>
      </c>
      <c r="L33" s="81"/>
    </row>
    <row r="34" spans="2:12" x14ac:dyDescent="0.25">
      <c r="B34" s="65" t="s">
        <v>153</v>
      </c>
      <c r="C34" s="4" t="s">
        <v>119</v>
      </c>
      <c r="D34" s="57">
        <v>1.1703442965028499</v>
      </c>
      <c r="E34" s="57">
        <f t="shared" si="1"/>
        <v>1.4452433434817968</v>
      </c>
      <c r="G34" s="85" t="s">
        <v>153</v>
      </c>
      <c r="H34" s="86" t="s">
        <v>119</v>
      </c>
      <c r="I34" s="87">
        <v>1.6724521574192528</v>
      </c>
      <c r="J34" s="88">
        <v>17.937732847493081</v>
      </c>
      <c r="K34" s="88">
        <v>39.089499503195185</v>
      </c>
      <c r="L34" s="81"/>
    </row>
    <row r="35" spans="2:12" x14ac:dyDescent="0.25">
      <c r="B35" s="65" t="s">
        <v>154</v>
      </c>
      <c r="C35" s="4" t="s">
        <v>119</v>
      </c>
      <c r="D35" s="57">
        <v>1.2251231654338384</v>
      </c>
      <c r="E35" s="57">
        <f t="shared" si="1"/>
        <v>1.3418252021195582</v>
      </c>
      <c r="G35" s="85" t="s">
        <v>154</v>
      </c>
      <c r="H35" s="86" t="s">
        <v>119</v>
      </c>
      <c r="I35" s="87">
        <v>1.5527754992165759</v>
      </c>
      <c r="J35" s="88">
        <v>19.320243019764252</v>
      </c>
      <c r="K35" s="88">
        <v>40.919113725490199</v>
      </c>
      <c r="L35" s="81"/>
    </row>
    <row r="36" spans="2:12" x14ac:dyDescent="0.25">
      <c r="B36" s="65" t="s">
        <v>155</v>
      </c>
      <c r="C36" s="4" t="s">
        <v>119</v>
      </c>
      <c r="D36" s="57">
        <v>1.4818978156478488</v>
      </c>
      <c r="E36" s="57">
        <f t="shared" si="1"/>
        <v>1.48414981038716</v>
      </c>
      <c r="G36" s="85" t="s">
        <v>155</v>
      </c>
      <c r="H36" s="86" t="s">
        <v>119</v>
      </c>
      <c r="I36" s="87">
        <v>1.7174751667324626</v>
      </c>
      <c r="J36" s="88">
        <v>17.467501470240013</v>
      </c>
      <c r="K36" s="88">
        <v>49.49538704263815</v>
      </c>
      <c r="L36" s="81"/>
    </row>
    <row r="37" spans="2:12" x14ac:dyDescent="0.25">
      <c r="B37" s="65" t="s">
        <v>156</v>
      </c>
      <c r="C37" s="4" t="s">
        <v>119</v>
      </c>
      <c r="D37" s="57">
        <v>1.4551178263926692</v>
      </c>
      <c r="E37" s="57">
        <f t="shared" si="1"/>
        <v>1.4936955252269186</v>
      </c>
      <c r="G37" s="85" t="s">
        <v>156</v>
      </c>
      <c r="H37" s="86" t="s">
        <v>119</v>
      </c>
      <c r="I37" s="87">
        <v>1.7285215773247451</v>
      </c>
      <c r="J37" s="88">
        <v>17.355872436623777</v>
      </c>
      <c r="K37" s="88">
        <v>48.600935401515152</v>
      </c>
      <c r="L37" s="81"/>
    </row>
    <row r="38" spans="2:12" x14ac:dyDescent="0.25">
      <c r="B38" s="65" t="s">
        <v>157</v>
      </c>
      <c r="C38" s="4" t="s">
        <v>119</v>
      </c>
      <c r="D38" s="57">
        <v>1.4584094831500949</v>
      </c>
      <c r="E38" s="57">
        <f t="shared" si="1"/>
        <v>1.4670155570345844</v>
      </c>
      <c r="G38" s="85" t="s">
        <v>157</v>
      </c>
      <c r="H38" s="86" t="s">
        <v>119</v>
      </c>
      <c r="I38" s="87">
        <v>1.6976472124197679</v>
      </c>
      <c r="J38" s="88">
        <v>17.671516072670382</v>
      </c>
      <c r="K38" s="88">
        <v>48.710876737213169</v>
      </c>
      <c r="L38" s="81"/>
    </row>
    <row r="39" spans="2:12" x14ac:dyDescent="0.25">
      <c r="B39" s="65" t="s">
        <v>158</v>
      </c>
      <c r="C39" s="4" t="s">
        <v>119</v>
      </c>
      <c r="D39" s="57">
        <v>1.3257373539841133</v>
      </c>
      <c r="E39" s="57">
        <f t="shared" si="1"/>
        <v>1.1531177080129589</v>
      </c>
      <c r="G39" s="85" t="s">
        <v>158</v>
      </c>
      <c r="H39" s="86" t="s">
        <v>119</v>
      </c>
      <c r="I39" s="87">
        <v>1.3344010247288209</v>
      </c>
      <c r="J39" s="88">
        <v>22.481997123838127</v>
      </c>
      <c r="K39" s="88">
        <v>44.279627623069381</v>
      </c>
      <c r="L39" s="81"/>
    </row>
    <row r="40" spans="2:12" x14ac:dyDescent="0.25">
      <c r="B40" s="65" t="s">
        <v>159</v>
      </c>
      <c r="C40" s="4" t="s">
        <v>119</v>
      </c>
      <c r="D40" s="57">
        <v>1.1277239286717291</v>
      </c>
      <c r="E40" s="57">
        <f t="shared" si="1"/>
        <v>1.1425551206819327</v>
      </c>
      <c r="G40" s="85" t="s">
        <v>159</v>
      </c>
      <c r="H40" s="86" t="s">
        <v>119</v>
      </c>
      <c r="I40" s="87">
        <v>1.322177877637795</v>
      </c>
      <c r="J40" s="88">
        <v>22.689836600199396</v>
      </c>
      <c r="K40" s="88">
        <v>37.665979217635751</v>
      </c>
      <c r="L40" s="81"/>
    </row>
    <row r="41" spans="2:12" x14ac:dyDescent="0.25">
      <c r="B41" s="65" t="s">
        <v>160</v>
      </c>
      <c r="C41" s="4" t="s">
        <v>119</v>
      </c>
      <c r="D41" s="57">
        <v>1.0950828471701395</v>
      </c>
      <c r="E41" s="57">
        <f t="shared" si="1"/>
        <v>1.3018664221090097</v>
      </c>
      <c r="G41" s="85" t="s">
        <v>160</v>
      </c>
      <c r="H41" s="86" t="s">
        <v>119</v>
      </c>
      <c r="I41" s="87">
        <v>1.5065347411201002</v>
      </c>
      <c r="J41" s="88">
        <v>19.91324805274332</v>
      </c>
      <c r="K41" s="88">
        <v>36.575767095482661</v>
      </c>
      <c r="L41" s="81"/>
    </row>
    <row r="42" spans="2:12" x14ac:dyDescent="0.25">
      <c r="B42" s="65" t="s">
        <v>161</v>
      </c>
      <c r="C42" s="4" t="s">
        <v>119</v>
      </c>
      <c r="D42" s="57">
        <v>1.0033011601231925</v>
      </c>
      <c r="E42" s="57">
        <f t="shared" si="1"/>
        <v>1.125676123579568</v>
      </c>
      <c r="G42" s="85" t="s">
        <v>161</v>
      </c>
      <c r="H42" s="86" t="s">
        <v>119</v>
      </c>
      <c r="I42" s="87">
        <v>1.3026453087827021</v>
      </c>
      <c r="J42" s="88">
        <v>23.030060291726258</v>
      </c>
      <c r="K42" s="88">
        <v>33.51025874811463</v>
      </c>
      <c r="L42" s="81"/>
    </row>
    <row r="43" spans="2:12" x14ac:dyDescent="0.25">
      <c r="B43" s="65" t="s">
        <v>162</v>
      </c>
      <c r="C43" s="4" t="s">
        <v>119</v>
      </c>
      <c r="D43" s="57">
        <v>1.2710649800363076</v>
      </c>
      <c r="E43" s="57">
        <f t="shared" si="1"/>
        <v>1.2400219370860115</v>
      </c>
      <c r="G43" s="85" t="s">
        <v>162</v>
      </c>
      <c r="H43" s="86" t="s">
        <v>119</v>
      </c>
      <c r="I43" s="87">
        <v>1.4349675944055451</v>
      </c>
      <c r="J43" s="88">
        <v>20.906395459353845</v>
      </c>
      <c r="K43" s="88">
        <v>42.453570333212674</v>
      </c>
      <c r="L43" s="81"/>
    </row>
    <row r="44" spans="2:12" x14ac:dyDescent="0.25">
      <c r="B44" s="65" t="s">
        <v>163</v>
      </c>
      <c r="C44" s="4" t="s">
        <v>119</v>
      </c>
      <c r="D44" s="57">
        <v>1.2141062788563146</v>
      </c>
      <c r="E44" s="57">
        <f t="shared" si="1"/>
        <v>1.2433767549738413</v>
      </c>
      <c r="G44" s="85" t="s">
        <v>163</v>
      </c>
      <c r="H44" s="86" t="s">
        <v>119</v>
      </c>
      <c r="I44" s="87">
        <v>1.4388498281065718</v>
      </c>
      <c r="J44" s="88">
        <v>20.849986853372982</v>
      </c>
      <c r="K44" s="88">
        <v>40.551149713800903</v>
      </c>
      <c r="L44" s="81"/>
    </row>
    <row r="45" spans="2:12" x14ac:dyDescent="0.25">
      <c r="B45" s="65" t="s">
        <v>164</v>
      </c>
      <c r="C45" s="4" t="s">
        <v>119</v>
      </c>
      <c r="D45" s="57">
        <v>1.2508623598103656</v>
      </c>
      <c r="E45" s="57">
        <f t="shared" si="1"/>
        <v>1.198751691358465</v>
      </c>
      <c r="G45" s="85" t="s">
        <v>164</v>
      </c>
      <c r="H45" s="86" t="s">
        <v>119</v>
      </c>
      <c r="I45" s="87">
        <v>1.3872091931539103</v>
      </c>
      <c r="J45" s="88">
        <v>21.626154258531873</v>
      </c>
      <c r="K45" s="88">
        <v>41.778802817666211</v>
      </c>
      <c r="L45" s="81"/>
    </row>
    <row r="46" spans="2:12" x14ac:dyDescent="0.25">
      <c r="B46" s="65" t="s">
        <v>165</v>
      </c>
      <c r="C46" s="4" t="s">
        <v>119</v>
      </c>
      <c r="D46" s="57">
        <v>1.0916579337049432</v>
      </c>
      <c r="E46" s="57">
        <f t="shared" si="1"/>
        <v>0.98424122592587115</v>
      </c>
      <c r="G46" s="85" t="s">
        <v>165</v>
      </c>
      <c r="H46" s="86" t="s">
        <v>119</v>
      </c>
      <c r="I46" s="87">
        <v>1.1389752245839881</v>
      </c>
      <c r="J46" s="88">
        <v>26.339466699951732</v>
      </c>
      <c r="K46" s="88">
        <v>36.461374985745103</v>
      </c>
      <c r="L46" s="81"/>
    </row>
    <row r="47" spans="2:12" x14ac:dyDescent="0.25">
      <c r="B47" s="65" t="s">
        <v>166</v>
      </c>
      <c r="C47" s="4" t="s">
        <v>119</v>
      </c>
      <c r="D47" s="57">
        <v>0.9222542105712106</v>
      </c>
      <c r="E47" s="57">
        <f t="shared" si="1"/>
        <v>1.1028506638989624</v>
      </c>
      <c r="G47" s="85" t="s">
        <v>166</v>
      </c>
      <c r="H47" s="86" t="s">
        <v>119</v>
      </c>
      <c r="I47" s="87">
        <v>1.2762314252944396</v>
      </c>
      <c r="J47" s="88">
        <v>23.506708427179415</v>
      </c>
      <c r="K47" s="88">
        <v>30.803290633078433</v>
      </c>
      <c r="L47" s="81"/>
    </row>
    <row r="48" spans="2:12" x14ac:dyDescent="0.25">
      <c r="B48" s="65" t="s">
        <v>167</v>
      </c>
      <c r="C48" s="4" t="s">
        <v>119</v>
      </c>
      <c r="D48" s="57">
        <v>1.0877671473100858</v>
      </c>
      <c r="E48" s="57">
        <f t="shared" si="1"/>
        <v>1.0527766226720783</v>
      </c>
      <c r="G48" s="85" t="s">
        <v>167</v>
      </c>
      <c r="H48" s="86" t="s">
        <v>119</v>
      </c>
      <c r="I48" s="87">
        <v>1.2182851710125511</v>
      </c>
      <c r="J48" s="88">
        <v>24.624776459411514</v>
      </c>
      <c r="K48" s="88">
        <v>36.331422720156866</v>
      </c>
      <c r="L48" s="81"/>
    </row>
    <row r="49" spans="2:12" x14ac:dyDescent="0.25">
      <c r="B49" s="65" t="s">
        <v>168</v>
      </c>
      <c r="C49" s="4" t="s">
        <v>119</v>
      </c>
      <c r="D49" s="57">
        <v>0.79215143642890673</v>
      </c>
      <c r="E49" s="57">
        <f t="shared" si="1"/>
        <v>0.946241321565777</v>
      </c>
      <c r="G49" s="85" t="s">
        <v>168</v>
      </c>
      <c r="H49" s="86" t="s">
        <v>119</v>
      </c>
      <c r="I49" s="87">
        <v>1.0950012998360239</v>
      </c>
      <c r="J49" s="88">
        <v>27.397227751686223</v>
      </c>
      <c r="K49" s="88">
        <v>26.457857976725485</v>
      </c>
      <c r="L49" s="81"/>
    </row>
    <row r="50" spans="2:12" x14ac:dyDescent="0.25">
      <c r="B50" s="65" t="s">
        <v>169</v>
      </c>
      <c r="C50" s="4" t="s">
        <v>119</v>
      </c>
      <c r="D50" s="57">
        <v>0.94054058698974596</v>
      </c>
      <c r="E50" s="57">
        <f t="shared" si="1"/>
        <v>0.94915933625733873</v>
      </c>
      <c r="G50" s="85" t="s">
        <v>169</v>
      </c>
      <c r="H50" s="86" t="s">
        <v>119</v>
      </c>
      <c r="I50" s="87">
        <v>1.0983780598732134</v>
      </c>
      <c r="J50" s="88">
        <v>27.313000046143422</v>
      </c>
      <c r="K50" s="88">
        <v>31.414055605457513</v>
      </c>
      <c r="L50" s="81"/>
    </row>
    <row r="51" spans="2:12" x14ac:dyDescent="0.25">
      <c r="B51" s="65" t="s">
        <v>170</v>
      </c>
      <c r="C51" s="4" t="s">
        <v>119</v>
      </c>
      <c r="D51" s="57">
        <v>0.91837188849213336</v>
      </c>
      <c r="E51" s="57">
        <f t="shared" si="1"/>
        <v>0.90973811291721129</v>
      </c>
      <c r="G51" s="85" t="s">
        <v>170</v>
      </c>
      <c r="H51" s="86" t="s">
        <v>119</v>
      </c>
      <c r="I51" s="87">
        <v>1.0527593685153502</v>
      </c>
      <c r="J51" s="88">
        <v>28.496540517428386</v>
      </c>
      <c r="K51" s="88">
        <v>30.673621075637254</v>
      </c>
      <c r="L51" s="81"/>
    </row>
    <row r="52" spans="2:12" x14ac:dyDescent="0.25">
      <c r="B52" s="65" t="s">
        <v>171</v>
      </c>
      <c r="C52" s="4" t="s">
        <v>119</v>
      </c>
      <c r="D52" s="57">
        <v>0.99927344658053618</v>
      </c>
      <c r="E52" s="57">
        <f t="shared" si="1"/>
        <v>1</v>
      </c>
      <c r="G52" s="85" t="s">
        <v>171</v>
      </c>
      <c r="H52" s="86" t="s">
        <v>119</v>
      </c>
      <c r="I52" s="87">
        <v>1.1572114585147146</v>
      </c>
      <c r="J52" s="88">
        <v>25.924388994994153</v>
      </c>
      <c r="K52" s="88">
        <v>33.375733115789906</v>
      </c>
      <c r="L52" s="81"/>
    </row>
    <row r="53" spans="2:12" x14ac:dyDescent="0.25">
      <c r="B53" s="64" t="s">
        <v>172</v>
      </c>
      <c r="C53" s="4" t="s">
        <v>119</v>
      </c>
      <c r="D53" s="57">
        <v>0.77457775625220149</v>
      </c>
      <c r="E53" s="57">
        <f t="shared" si="1"/>
        <v>0.96461627153359009</v>
      </c>
      <c r="G53" s="89" t="s">
        <v>172</v>
      </c>
      <c r="H53" s="86" t="s">
        <v>119</v>
      </c>
      <c r="I53" s="87">
        <v>1.1162650024884118</v>
      </c>
      <c r="J53" s="88">
        <v>26.8753386813374</v>
      </c>
      <c r="K53" s="88">
        <v>25.87089705882353</v>
      </c>
      <c r="L53" s="81"/>
    </row>
    <row r="54" spans="2:12" x14ac:dyDescent="0.25">
      <c r="B54" s="64" t="s">
        <v>173</v>
      </c>
      <c r="C54" s="4" t="s">
        <v>119</v>
      </c>
      <c r="D54" s="57">
        <v>0.72873644867128495</v>
      </c>
      <c r="E54" s="57">
        <f t="shared" si="1"/>
        <v>0.91927214203985153</v>
      </c>
      <c r="G54" s="89" t="s">
        <v>173</v>
      </c>
      <c r="H54" s="86" t="s">
        <v>119</v>
      </c>
      <c r="I54" s="87">
        <v>1.0637922562618825</v>
      </c>
      <c r="J54" s="88">
        <v>28.200994906109425</v>
      </c>
      <c r="K54" s="88">
        <v>24.339797385620916</v>
      </c>
      <c r="L54" s="81"/>
    </row>
    <row r="55" spans="2:12" x14ac:dyDescent="0.25">
      <c r="B55" s="64" t="s">
        <v>174</v>
      </c>
      <c r="C55" s="4" t="s">
        <v>119</v>
      </c>
      <c r="D55" s="57">
        <v>0.71888864428006727</v>
      </c>
      <c r="E55" s="57">
        <f t="shared" si="1"/>
        <v>0.88675511678572938</v>
      </c>
      <c r="G55" s="89" t="s">
        <v>174</v>
      </c>
      <c r="H55" s="86" t="s">
        <v>119</v>
      </c>
      <c r="I55" s="87">
        <v>1.026163182041</v>
      </c>
      <c r="J55" s="88">
        <v>29.235116329481951</v>
      </c>
      <c r="K55" s="88">
        <v>24.010880718954247</v>
      </c>
      <c r="L55" s="81"/>
    </row>
    <row r="56" spans="2:12" x14ac:dyDescent="0.25">
      <c r="B56" s="64" t="s">
        <v>175</v>
      </c>
      <c r="C56" s="4" t="s">
        <v>119</v>
      </c>
      <c r="D56" s="57">
        <v>0.70142205784509415</v>
      </c>
      <c r="E56" s="57">
        <f t="shared" si="1"/>
        <v>0.86619094235509153</v>
      </c>
      <c r="G56" s="89" t="s">
        <v>175</v>
      </c>
      <c r="H56" s="86" t="s">
        <v>119</v>
      </c>
      <c r="I56" s="87">
        <v>1.0023660837549706</v>
      </c>
      <c r="J56" s="88">
        <v>29.929185041473861</v>
      </c>
      <c r="K56" s="88">
        <v>23.427496732026142</v>
      </c>
      <c r="L56" s="81"/>
    </row>
    <row r="57" spans="2:12" x14ac:dyDescent="0.25">
      <c r="B57" s="64" t="s">
        <v>176</v>
      </c>
      <c r="C57" s="4" t="s">
        <v>119</v>
      </c>
      <c r="D57" s="57">
        <v>0.69222295604868689</v>
      </c>
      <c r="E57" s="57">
        <f t="shared" si="1"/>
        <v>0.85306929389594266</v>
      </c>
      <c r="G57" s="89" t="s">
        <v>176</v>
      </c>
      <c r="H57" s="86" t="s">
        <v>119</v>
      </c>
      <c r="I57" s="87">
        <v>0.98718156180344152</v>
      </c>
      <c r="J57" s="88">
        <v>30.389546523938545</v>
      </c>
      <c r="K57" s="88">
        <v>23.120246732026143</v>
      </c>
      <c r="L57" s="81"/>
    </row>
    <row r="58" spans="2:12" x14ac:dyDescent="0.25">
      <c r="B58" s="64" t="s">
        <v>177</v>
      </c>
      <c r="C58" s="4" t="s">
        <v>119</v>
      </c>
      <c r="D58" s="57">
        <v>0.68331767836875268</v>
      </c>
      <c r="E58" s="57">
        <f t="shared" si="1"/>
        <v>0.84161369471364023</v>
      </c>
      <c r="G58" s="89" t="s">
        <v>177</v>
      </c>
      <c r="H58" s="86" t="s">
        <v>119</v>
      </c>
      <c r="I58" s="87">
        <v>0.97392501116552943</v>
      </c>
      <c r="J58" s="88">
        <v>30.803192911226269</v>
      </c>
      <c r="K58" s="88">
        <v>22.82281045751634</v>
      </c>
      <c r="L58" s="81"/>
    </row>
    <row r="59" spans="2:12" x14ac:dyDescent="0.25">
      <c r="B59" s="64" t="s">
        <v>178</v>
      </c>
      <c r="C59" s="4" t="s">
        <v>119</v>
      </c>
      <c r="D59" s="57">
        <v>0.67727036123830775</v>
      </c>
      <c r="E59" s="57">
        <f t="shared" si="1"/>
        <v>0.82941916513361147</v>
      </c>
      <c r="G59" s="89" t="s">
        <v>178</v>
      </c>
      <c r="H59" s="86" t="s">
        <v>119</v>
      </c>
      <c r="I59" s="87">
        <v>0.95981336180432353</v>
      </c>
      <c r="J59" s="88">
        <v>31.256076643488193</v>
      </c>
      <c r="K59" s="88">
        <v>22.620830065359478</v>
      </c>
      <c r="L59" s="81"/>
    </row>
    <row r="60" spans="2:12" x14ac:dyDescent="0.25">
      <c r="B60" s="65" t="s">
        <v>151</v>
      </c>
      <c r="C60" s="4" t="s">
        <v>62</v>
      </c>
      <c r="D60" s="57">
        <v>1.6827114916669741</v>
      </c>
      <c r="E60" s="57">
        <f t="shared" ref="E60:E87" si="2">I60/$I$80</f>
        <v>1.4087430237888374</v>
      </c>
      <c r="G60" s="85" t="s">
        <v>151</v>
      </c>
      <c r="H60" s="86" t="s">
        <v>62</v>
      </c>
      <c r="I60" s="87">
        <v>1.868406923726895</v>
      </c>
      <c r="J60" s="88">
        <v>16.056459446296238</v>
      </c>
      <c r="K60" s="88">
        <v>61.923782893344644</v>
      </c>
      <c r="L60" s="81"/>
    </row>
    <row r="61" spans="2:12" x14ac:dyDescent="0.25">
      <c r="B61" s="65" t="s">
        <v>152</v>
      </c>
      <c r="C61" s="4" t="s">
        <v>62</v>
      </c>
      <c r="D61" s="57">
        <v>1.2788474470943794</v>
      </c>
      <c r="E61" s="57">
        <f t="shared" si="2"/>
        <v>1.4511804453185853</v>
      </c>
      <c r="G61" s="85" t="s">
        <v>152</v>
      </c>
      <c r="H61" s="86" t="s">
        <v>62</v>
      </c>
      <c r="I61" s="87">
        <v>1.9246914063275931</v>
      </c>
      <c r="J61" s="88">
        <v>15.586914297727079</v>
      </c>
      <c r="K61" s="88">
        <v>47.061586053073157</v>
      </c>
      <c r="L61" s="81"/>
    </row>
    <row r="62" spans="2:12" x14ac:dyDescent="0.25">
      <c r="B62" s="65" t="s">
        <v>153</v>
      </c>
      <c r="C62" s="4" t="s">
        <v>62</v>
      </c>
      <c r="D62" s="57">
        <v>1.190130155207155</v>
      </c>
      <c r="E62" s="57">
        <f t="shared" si="2"/>
        <v>1.4643089756499619</v>
      </c>
      <c r="G62" s="85" t="s">
        <v>153</v>
      </c>
      <c r="H62" s="86" t="s">
        <v>62</v>
      </c>
      <c r="I62" s="87">
        <v>1.9421036927100523</v>
      </c>
      <c r="J62" s="88">
        <v>15.447166962613293</v>
      </c>
      <c r="K62" s="88">
        <v>43.796789711623305</v>
      </c>
      <c r="L62" s="81"/>
    </row>
    <row r="63" spans="2:12" x14ac:dyDescent="0.25">
      <c r="B63" s="65" t="s">
        <v>154</v>
      </c>
      <c r="C63" s="4" t="s">
        <v>62</v>
      </c>
      <c r="D63" s="57">
        <v>1.2396234845317726</v>
      </c>
      <c r="E63" s="57">
        <f t="shared" si="2"/>
        <v>1.3572322831519603</v>
      </c>
      <c r="G63" s="85" t="s">
        <v>154</v>
      </c>
      <c r="H63" s="86" t="s">
        <v>62</v>
      </c>
      <c r="I63" s="87">
        <v>1.800088555630637</v>
      </c>
      <c r="J63" s="88">
        <v>16.665846747461767</v>
      </c>
      <c r="K63" s="88">
        <v>45.618144230769232</v>
      </c>
      <c r="L63" s="81"/>
    </row>
    <row r="64" spans="2:12" x14ac:dyDescent="0.25">
      <c r="B64" s="65" t="s">
        <v>155</v>
      </c>
      <c r="C64" s="4" t="s">
        <v>62</v>
      </c>
      <c r="D64" s="57">
        <v>1.5066998756926684</v>
      </c>
      <c r="E64" s="57">
        <f t="shared" si="2"/>
        <v>1.5027314927413902</v>
      </c>
      <c r="G64" s="85" t="s">
        <v>155</v>
      </c>
      <c r="H64" s="86" t="s">
        <v>62</v>
      </c>
      <c r="I64" s="87">
        <v>1.9930632330579874</v>
      </c>
      <c r="J64" s="88">
        <v>15.052206825355231</v>
      </c>
      <c r="K64" s="88">
        <v>55.446555425490189</v>
      </c>
      <c r="L64" s="81"/>
    </row>
    <row r="65" spans="2:12" x14ac:dyDescent="0.25">
      <c r="B65" s="65" t="s">
        <v>156</v>
      </c>
      <c r="C65" s="4" t="s">
        <v>62</v>
      </c>
      <c r="D65" s="57">
        <v>1.4805469456245084</v>
      </c>
      <c r="E65" s="57">
        <f t="shared" si="2"/>
        <v>1.5131956191504421</v>
      </c>
      <c r="G65" s="85" t="s">
        <v>156</v>
      </c>
      <c r="H65" s="86" t="s">
        <v>62</v>
      </c>
      <c r="I65" s="87">
        <v>2.0069417374432961</v>
      </c>
      <c r="J65" s="88">
        <v>14.94811704809025</v>
      </c>
      <c r="K65" s="88">
        <v>54.484127598981907</v>
      </c>
      <c r="L65" s="81"/>
    </row>
    <row r="66" spans="2:12" x14ac:dyDescent="0.25">
      <c r="B66" s="65" t="s">
        <v>157</v>
      </c>
      <c r="C66" s="4" t="s">
        <v>62</v>
      </c>
      <c r="D66" s="57">
        <v>1.4843733033471813</v>
      </c>
      <c r="E66" s="57">
        <f t="shared" si="2"/>
        <v>1.4853045843945265</v>
      </c>
      <c r="G66" s="85" t="s">
        <v>157</v>
      </c>
      <c r="H66" s="86" t="s">
        <v>62</v>
      </c>
      <c r="I66" s="87">
        <v>1.9699500352180705</v>
      </c>
      <c r="J66" s="88">
        <v>15.228812641778015</v>
      </c>
      <c r="K66" s="88">
        <v>54.624937563176267</v>
      </c>
      <c r="L66" s="81"/>
    </row>
    <row r="67" spans="2:12" x14ac:dyDescent="0.25">
      <c r="B67" s="65" t="s">
        <v>158</v>
      </c>
      <c r="C67" s="4" t="s">
        <v>62</v>
      </c>
      <c r="D67" s="57">
        <v>1.2939440822905846</v>
      </c>
      <c r="E67" s="57">
        <f t="shared" si="2"/>
        <v>1.1236928694220396</v>
      </c>
      <c r="G67" s="85" t="s">
        <v>158</v>
      </c>
      <c r="H67" s="86" t="s">
        <v>62</v>
      </c>
      <c r="I67" s="87">
        <v>1.4903467147074128</v>
      </c>
      <c r="J67" s="88">
        <v>20.12954415502546</v>
      </c>
      <c r="K67" s="88">
        <v>47.61714222829351</v>
      </c>
      <c r="L67" s="81"/>
    </row>
    <row r="68" spans="2:12" x14ac:dyDescent="0.25">
      <c r="B68" s="65" t="s">
        <v>159</v>
      </c>
      <c r="C68" s="4" t="s">
        <v>62</v>
      </c>
      <c r="D68" s="57">
        <v>1.1016634140826889</v>
      </c>
      <c r="E68" s="57">
        <f t="shared" si="2"/>
        <v>1.114388027497323</v>
      </c>
      <c r="G68" s="85" t="s">
        <v>159</v>
      </c>
      <c r="H68" s="86" t="s">
        <v>62</v>
      </c>
      <c r="I68" s="87">
        <v>1.4780057619695837</v>
      </c>
      <c r="J68" s="88">
        <v>20.297620463956878</v>
      </c>
      <c r="K68" s="88">
        <v>40.541213638242951</v>
      </c>
      <c r="L68" s="81"/>
    </row>
    <row r="69" spans="2:12" x14ac:dyDescent="0.25">
      <c r="B69" s="65" t="s">
        <v>160</v>
      </c>
      <c r="C69" s="4" t="s">
        <v>62</v>
      </c>
      <c r="D69" s="57">
        <v>1.0691040903636675</v>
      </c>
      <c r="E69" s="57">
        <f t="shared" si="2"/>
        <v>1.2634401767366989</v>
      </c>
      <c r="G69" s="85" t="s">
        <v>160</v>
      </c>
      <c r="H69" s="86" t="s">
        <v>62</v>
      </c>
      <c r="I69" s="87">
        <v>1.6756926806854049</v>
      </c>
      <c r="J69" s="88">
        <v>17.903044123657068</v>
      </c>
      <c r="K69" s="88">
        <v>39.343030525382964</v>
      </c>
      <c r="L69" s="81"/>
    </row>
    <row r="70" spans="2:12" x14ac:dyDescent="0.25">
      <c r="B70" s="65" t="s">
        <v>161</v>
      </c>
      <c r="C70" s="4" t="s">
        <v>62</v>
      </c>
      <c r="D70" s="57">
        <v>0.97468599727594851</v>
      </c>
      <c r="E70" s="57">
        <f t="shared" si="2"/>
        <v>1.0936389115488385</v>
      </c>
      <c r="G70" s="85" t="s">
        <v>161</v>
      </c>
      <c r="H70" s="86" t="s">
        <v>62</v>
      </c>
      <c r="I70" s="87">
        <v>1.4504863412912161</v>
      </c>
      <c r="J70" s="88">
        <v>20.682718027730026</v>
      </c>
      <c r="K70" s="88">
        <v>35.868444699754903</v>
      </c>
      <c r="L70" s="81"/>
    </row>
    <row r="71" spans="2:12" x14ac:dyDescent="0.25">
      <c r="B71" s="65" t="s">
        <v>162</v>
      </c>
      <c r="C71" s="4" t="s">
        <v>62</v>
      </c>
      <c r="D71" s="57">
        <v>1.2409314973325607</v>
      </c>
      <c r="E71" s="57">
        <f t="shared" si="2"/>
        <v>1.2061283340461775</v>
      </c>
      <c r="G71" s="85" t="s">
        <v>162</v>
      </c>
      <c r="H71" s="86" t="s">
        <v>62</v>
      </c>
      <c r="I71" s="87">
        <v>1.5996803477855985</v>
      </c>
      <c r="J71" s="88">
        <v>18.753746672907699</v>
      </c>
      <c r="K71" s="88">
        <v>45.666279101838228</v>
      </c>
      <c r="L71" s="81"/>
    </row>
    <row r="72" spans="2:12" x14ac:dyDescent="0.25">
      <c r="B72" s="65" t="s">
        <v>163</v>
      </c>
      <c r="C72" s="4" t="s">
        <v>62</v>
      </c>
      <c r="D72" s="57">
        <v>1.1862001761017755</v>
      </c>
      <c r="E72" s="57">
        <f t="shared" si="2"/>
        <v>1.2102020922517163</v>
      </c>
      <c r="G72" s="85" t="s">
        <v>163</v>
      </c>
      <c r="H72" s="86" t="s">
        <v>62</v>
      </c>
      <c r="I72" s="87">
        <v>1.6050833474159691</v>
      </c>
      <c r="J72" s="88">
        <v>18.690618183969782</v>
      </c>
      <c r="K72" s="88">
        <v>43.65216648054534</v>
      </c>
      <c r="L72" s="81"/>
    </row>
    <row r="73" spans="2:12" x14ac:dyDescent="0.25">
      <c r="B73" s="65" t="s">
        <v>164</v>
      </c>
      <c r="C73" s="4" t="s">
        <v>62</v>
      </c>
      <c r="D73" s="57">
        <v>1.2209112463688943</v>
      </c>
      <c r="E73" s="57">
        <f t="shared" si="2"/>
        <v>1.1667934517180205</v>
      </c>
      <c r="G73" s="85" t="s">
        <v>164</v>
      </c>
      <c r="H73" s="86" t="s">
        <v>62</v>
      </c>
      <c r="I73" s="87">
        <v>1.5475107432197859</v>
      </c>
      <c r="J73" s="88">
        <v>19.38597204022075</v>
      </c>
      <c r="K73" s="88">
        <v>44.929533866375301</v>
      </c>
      <c r="L73" s="81"/>
    </row>
    <row r="74" spans="2:12" x14ac:dyDescent="0.25">
      <c r="B74" s="65" t="s">
        <v>165</v>
      </c>
      <c r="C74" s="4" t="s">
        <v>62</v>
      </c>
      <c r="D74" s="57">
        <v>1.0926827818120532</v>
      </c>
      <c r="E74" s="57">
        <f t="shared" si="2"/>
        <v>0.98421755227863283</v>
      </c>
      <c r="G74" s="85" t="s">
        <v>165</v>
      </c>
      <c r="H74" s="86" t="s">
        <v>62</v>
      </c>
      <c r="I74" s="87">
        <v>1.3053614875657964</v>
      </c>
      <c r="J74" s="88">
        <v>22.982139649257775</v>
      </c>
      <c r="K74" s="88">
        <v>40.210726370683552</v>
      </c>
      <c r="L74" s="81"/>
    </row>
    <row r="75" spans="2:12" x14ac:dyDescent="0.25">
      <c r="B75" s="65" t="s">
        <v>166</v>
      </c>
      <c r="C75" s="4" t="s">
        <v>62</v>
      </c>
      <c r="D75" s="57">
        <v>0.9234926073550872</v>
      </c>
      <c r="E75" s="57">
        <f t="shared" si="2"/>
        <v>1.0986269366570705</v>
      </c>
      <c r="G75" s="85" t="s">
        <v>166</v>
      </c>
      <c r="H75" s="86" t="s">
        <v>62</v>
      </c>
      <c r="I75" s="87">
        <v>1.4571019273069528</v>
      </c>
      <c r="J75" s="88">
        <v>20.588813615425412</v>
      </c>
      <c r="K75" s="88">
        <v>33.984527950667207</v>
      </c>
      <c r="L75" s="81"/>
    </row>
    <row r="76" spans="2:12" x14ac:dyDescent="0.25">
      <c r="B76" s="65" t="s">
        <v>167</v>
      </c>
      <c r="C76" s="4" t="s">
        <v>62</v>
      </c>
      <c r="D76" s="57">
        <v>1.0892058067840058</v>
      </c>
      <c r="E76" s="57">
        <f t="shared" si="2"/>
        <v>1.0510187616474695</v>
      </c>
      <c r="G76" s="85" t="s">
        <v>167</v>
      </c>
      <c r="H76" s="86" t="s">
        <v>62</v>
      </c>
      <c r="I76" s="87">
        <v>1.3939595072119779</v>
      </c>
      <c r="J76" s="88">
        <v>21.521428595872358</v>
      </c>
      <c r="K76" s="88">
        <v>40.082773689651411</v>
      </c>
      <c r="L76" s="81"/>
    </row>
    <row r="77" spans="2:12" x14ac:dyDescent="0.25">
      <c r="B77" s="65" t="s">
        <v>168</v>
      </c>
      <c r="C77" s="4" t="s">
        <v>62</v>
      </c>
      <c r="D77" s="57">
        <v>0.79501811942128153</v>
      </c>
      <c r="E77" s="57">
        <f t="shared" si="2"/>
        <v>0.95036076263332914</v>
      </c>
      <c r="G77" s="85" t="s">
        <v>168</v>
      </c>
      <c r="H77" s="86" t="s">
        <v>62</v>
      </c>
      <c r="I77" s="87">
        <v>1.2604574425268962</v>
      </c>
      <c r="J77" s="88">
        <v>23.800882907920826</v>
      </c>
      <c r="K77" s="88">
        <v>29.256666794703158</v>
      </c>
      <c r="L77" s="81"/>
    </row>
    <row r="78" spans="2:12" x14ac:dyDescent="0.25">
      <c r="B78" s="65" t="s">
        <v>169</v>
      </c>
      <c r="C78" s="4" t="s">
        <v>62</v>
      </c>
      <c r="D78" s="57">
        <v>0.94156119084752721</v>
      </c>
      <c r="E78" s="57">
        <f t="shared" si="2"/>
        <v>0.95107763922597177</v>
      </c>
      <c r="G78" s="85" t="s">
        <v>169</v>
      </c>
      <c r="H78" s="86" t="s">
        <v>62</v>
      </c>
      <c r="I78" s="87">
        <v>1.2614082313979202</v>
      </c>
      <c r="J78" s="88">
        <v>23.782942946831213</v>
      </c>
      <c r="K78" s="88">
        <v>34.649451823188997</v>
      </c>
      <c r="L78" s="81"/>
    </row>
    <row r="79" spans="2:12" x14ac:dyDescent="0.25">
      <c r="B79" s="65" t="s">
        <v>170</v>
      </c>
      <c r="C79" s="4" t="s">
        <v>62</v>
      </c>
      <c r="D79" s="57">
        <v>0.91942769980910932</v>
      </c>
      <c r="E79" s="57">
        <f t="shared" si="2"/>
        <v>0.91275789195516377</v>
      </c>
      <c r="G79" s="85" t="s">
        <v>170</v>
      </c>
      <c r="H79" s="86" t="s">
        <v>62</v>
      </c>
      <c r="I79" s="87">
        <v>1.2105849940102513</v>
      </c>
      <c r="J79" s="88">
        <v>24.7814074587364</v>
      </c>
      <c r="K79" s="88">
        <v>33.834939352975219</v>
      </c>
      <c r="L79" s="81"/>
    </row>
    <row r="80" spans="2:12" x14ac:dyDescent="0.25">
      <c r="B80" s="65" t="s">
        <v>171</v>
      </c>
      <c r="C80" s="4" t="s">
        <v>62</v>
      </c>
      <c r="D80" s="57">
        <v>1.0005498364006615</v>
      </c>
      <c r="E80" s="57">
        <f t="shared" si="2"/>
        <v>1</v>
      </c>
      <c r="G80" s="85" t="s">
        <v>171</v>
      </c>
      <c r="H80" s="86" t="s">
        <v>62</v>
      </c>
      <c r="I80" s="87">
        <v>1.3262936477241847</v>
      </c>
      <c r="J80" s="88">
        <v>22.619425231718207</v>
      </c>
      <c r="K80" s="88">
        <v>36.820233979544341</v>
      </c>
      <c r="L80" s="81"/>
    </row>
    <row r="81" spans="2:12" x14ac:dyDescent="0.25">
      <c r="B81" s="64" t="s">
        <v>172</v>
      </c>
      <c r="C81" s="4" t="s">
        <v>62</v>
      </c>
      <c r="D81" s="57">
        <v>0.77155860004025767</v>
      </c>
      <c r="E81" s="57">
        <f t="shared" si="2"/>
        <v>0.96203270878078695</v>
      </c>
      <c r="G81" s="89" t="s">
        <v>172</v>
      </c>
      <c r="H81" s="86" t="s">
        <v>62</v>
      </c>
      <c r="I81" s="87">
        <v>1.2759378705588482</v>
      </c>
      <c r="J81" s="88">
        <v>23.512116610239254</v>
      </c>
      <c r="K81" s="88">
        <v>28.393356481481479</v>
      </c>
      <c r="L81" s="81"/>
    </row>
    <row r="82" spans="2:12" x14ac:dyDescent="0.25">
      <c r="B82" s="64" t="s">
        <v>173</v>
      </c>
      <c r="C82" s="4" t="s">
        <v>62</v>
      </c>
      <c r="D82" s="57">
        <v>0.72564127326655303</v>
      </c>
      <c r="E82" s="57">
        <f t="shared" si="2"/>
        <v>0.91839123047822868</v>
      </c>
      <c r="G82" s="89" t="s">
        <v>173</v>
      </c>
      <c r="H82" s="86" t="s">
        <v>62</v>
      </c>
      <c r="I82" s="87">
        <v>1.2180564551088724</v>
      </c>
      <c r="J82" s="88">
        <v>24.629400282861717</v>
      </c>
      <c r="K82" s="88">
        <v>26.703598856209151</v>
      </c>
      <c r="L82" s="81"/>
    </row>
    <row r="83" spans="2:12" x14ac:dyDescent="0.25">
      <c r="B83" s="64" t="s">
        <v>174</v>
      </c>
      <c r="C83" s="4" t="s">
        <v>62</v>
      </c>
      <c r="D83" s="57">
        <v>0.71581448476129594</v>
      </c>
      <c r="E83" s="57">
        <f t="shared" si="2"/>
        <v>0.88711840248320117</v>
      </c>
      <c r="G83" s="89" t="s">
        <v>174</v>
      </c>
      <c r="H83" s="86" t="s">
        <v>62</v>
      </c>
      <c r="I83" s="87">
        <v>1.1765795019926963</v>
      </c>
      <c r="J83" s="88">
        <v>25.497639512834404</v>
      </c>
      <c r="K83" s="88">
        <v>26.341973039215688</v>
      </c>
      <c r="L83" s="81"/>
    </row>
    <row r="84" spans="2:12" x14ac:dyDescent="0.25">
      <c r="B84" s="64" t="s">
        <v>175</v>
      </c>
      <c r="C84" s="4" t="s">
        <v>62</v>
      </c>
      <c r="D84" s="57">
        <v>0.69834810433835381</v>
      </c>
      <c r="E84" s="57">
        <f t="shared" si="2"/>
        <v>0.86736682726811254</v>
      </c>
      <c r="G84" s="89" t="s">
        <v>175</v>
      </c>
      <c r="H84" s="86" t="s">
        <v>62</v>
      </c>
      <c r="I84" s="87">
        <v>1.1503831132523779</v>
      </c>
      <c r="J84" s="88">
        <v>26.078268756209066</v>
      </c>
      <c r="K84" s="88">
        <v>25.699210239651418</v>
      </c>
      <c r="L84" s="81"/>
    </row>
    <row r="85" spans="2:12" x14ac:dyDescent="0.25">
      <c r="B85" s="64" t="s">
        <v>176</v>
      </c>
      <c r="C85" s="4" t="s">
        <v>62</v>
      </c>
      <c r="D85" s="57">
        <v>0.68915189566164636</v>
      </c>
      <c r="E85" s="57">
        <f t="shared" si="2"/>
        <v>0.85476004756776525</v>
      </c>
      <c r="G85" s="89" t="s">
        <v>176</v>
      </c>
      <c r="H85" s="86" t="s">
        <v>62</v>
      </c>
      <c r="I85" s="87">
        <v>1.133662821417549</v>
      </c>
      <c r="J85" s="88">
        <v>26.462894816015531</v>
      </c>
      <c r="K85" s="88">
        <v>25.360789760348585</v>
      </c>
      <c r="L85" s="81"/>
    </row>
    <row r="86" spans="2:12" x14ac:dyDescent="0.25">
      <c r="B86" s="64" t="s">
        <v>177</v>
      </c>
      <c r="C86" s="4" t="s">
        <v>62</v>
      </c>
      <c r="D86" s="57">
        <v>0.68024019163824967</v>
      </c>
      <c r="E86" s="57">
        <f t="shared" si="2"/>
        <v>0.84374483193918748</v>
      </c>
      <c r="F86" s="57"/>
      <c r="G86" s="89" t="s">
        <v>177</v>
      </c>
      <c r="H86" s="86" t="s">
        <v>62</v>
      </c>
      <c r="I86" s="87">
        <v>1.1190534109010541</v>
      </c>
      <c r="J86" s="88">
        <v>26.808371886239286</v>
      </c>
      <c r="K86" s="88">
        <v>25.032839052287585</v>
      </c>
      <c r="L86" s="81"/>
    </row>
    <row r="87" spans="2:12" x14ac:dyDescent="0.25">
      <c r="B87" s="64" t="s">
        <v>178</v>
      </c>
      <c r="C87" s="4" t="s">
        <v>62</v>
      </c>
      <c r="D87" s="57">
        <v>0.67418211849957388</v>
      </c>
      <c r="E87" s="57">
        <f t="shared" si="2"/>
        <v>0.83199719222662827</v>
      </c>
      <c r="F87" s="57"/>
      <c r="G87" s="90" t="s">
        <v>178</v>
      </c>
      <c r="H87" s="91" t="s">
        <v>62</v>
      </c>
      <c r="I87" s="92">
        <v>1.1034725909745344</v>
      </c>
      <c r="J87" s="93">
        <v>27.186900921123403</v>
      </c>
      <c r="K87" s="93">
        <v>24.809901960784316</v>
      </c>
      <c r="L87" s="81"/>
    </row>
    <row r="88" spans="2:12" x14ac:dyDescent="0.25">
      <c r="C88" s="4"/>
    </row>
    <row r="89" spans="2:12" x14ac:dyDescent="0.25">
      <c r="D89" s="4"/>
      <c r="E89" s="4"/>
      <c r="F89" s="4"/>
    </row>
    <row r="90" spans="2:12" x14ac:dyDescent="0.25">
      <c r="D90" s="4"/>
      <c r="E90" s="4"/>
      <c r="F90" s="4"/>
    </row>
    <row r="91" spans="2:12" x14ac:dyDescent="0.25">
      <c r="G91" s="55">
        <v>1000</v>
      </c>
      <c r="H91" t="s">
        <v>105</v>
      </c>
    </row>
    <row r="92" spans="2:12" x14ac:dyDescent="0.25">
      <c r="G92" s="59">
        <v>1700</v>
      </c>
      <c r="H92" t="s">
        <v>105</v>
      </c>
    </row>
    <row r="93" spans="2:12" x14ac:dyDescent="0.25">
      <c r="G93" s="55">
        <v>2300</v>
      </c>
      <c r="H93" t="s">
        <v>105</v>
      </c>
    </row>
    <row r="94" spans="2:12" x14ac:dyDescent="0.25">
      <c r="G94" s="59">
        <v>0.3</v>
      </c>
    </row>
    <row r="95" spans="2:12" x14ac:dyDescent="0.25">
      <c r="G95" s="55">
        <v>0.7</v>
      </c>
    </row>
    <row r="97" spans="7:8" x14ac:dyDescent="0.25">
      <c r="G97" s="59">
        <v>30</v>
      </c>
      <c r="H97" t="s">
        <v>108</v>
      </c>
    </row>
    <row r="98" spans="7:8" x14ac:dyDescent="0.25">
      <c r="G98" s="60">
        <v>0.75</v>
      </c>
      <c r="H98" t="s">
        <v>127</v>
      </c>
    </row>
    <row r="99" spans="7:8" x14ac:dyDescent="0.25">
      <c r="G99" s="59">
        <v>0.8</v>
      </c>
      <c r="H99" t="s">
        <v>128</v>
      </c>
    </row>
    <row r="100" spans="7:8" x14ac:dyDescent="0.25">
      <c r="G100" s="55">
        <v>0.9</v>
      </c>
      <c r="H100">
        <v>0.7</v>
      </c>
    </row>
    <row r="101" spans="7:8" x14ac:dyDescent="0.25">
      <c r="G101" s="59">
        <v>0.14000000000000001</v>
      </c>
      <c r="H101" t="s">
        <v>26</v>
      </c>
    </row>
    <row r="102" spans="7:8" x14ac:dyDescent="0.25">
      <c r="G102" s="59">
        <v>0.13</v>
      </c>
      <c r="H102" t="s">
        <v>62</v>
      </c>
    </row>
    <row r="103" spans="7:8" x14ac:dyDescent="0.25">
      <c r="G103" s="59">
        <v>0.11</v>
      </c>
      <c r="H103" t="s">
        <v>119</v>
      </c>
    </row>
    <row r="105" spans="7:8" x14ac:dyDescent="0.25">
      <c r="G105" s="59">
        <v>0.17</v>
      </c>
      <c r="H105" t="s">
        <v>26</v>
      </c>
    </row>
    <row r="106" spans="7:8" x14ac:dyDescent="0.25">
      <c r="G106" s="59">
        <v>0.16</v>
      </c>
      <c r="H106" t="s">
        <v>62</v>
      </c>
    </row>
    <row r="108" spans="7:8" x14ac:dyDescent="0.25">
      <c r="G108" s="59">
        <v>0.13</v>
      </c>
      <c r="H108" t="s">
        <v>119</v>
      </c>
    </row>
    <row r="109" spans="7:8" x14ac:dyDescent="0.25">
      <c r="G109" s="59">
        <v>0.20499999999999999</v>
      </c>
      <c r="H109" t="s">
        <v>26</v>
      </c>
    </row>
    <row r="110" spans="7:8" x14ac:dyDescent="0.25">
      <c r="G110" s="59">
        <v>0.18</v>
      </c>
      <c r="H110" t="s">
        <v>62</v>
      </c>
    </row>
    <row r="112" spans="7:8" x14ac:dyDescent="0.25">
      <c r="G112" s="59">
        <v>0.15</v>
      </c>
    </row>
    <row r="115" spans="4:8" x14ac:dyDescent="0.25">
      <c r="G115" s="61">
        <v>0.26700000000000002</v>
      </c>
      <c r="H115" s="31" t="s">
        <v>26</v>
      </c>
    </row>
    <row r="116" spans="4:8" x14ac:dyDescent="0.25">
      <c r="G116" s="61">
        <v>0.23300000000000001</v>
      </c>
      <c r="H116" s="31" t="s">
        <v>62</v>
      </c>
    </row>
    <row r="117" spans="4:8" x14ac:dyDescent="0.25">
      <c r="D117" s="26"/>
      <c r="E117" s="26"/>
      <c r="F117" s="26"/>
    </row>
    <row r="118" spans="4:8" x14ac:dyDescent="0.25">
      <c r="G118" s="62" t="s">
        <v>133</v>
      </c>
      <c r="H118" s="31" t="s">
        <v>26</v>
      </c>
    </row>
    <row r="119" spans="4:8" x14ac:dyDescent="0.25">
      <c r="D119" s="26"/>
      <c r="E119" s="26"/>
      <c r="F119" s="26"/>
      <c r="G119" s="62" t="s">
        <v>118</v>
      </c>
      <c r="H119" s="31" t="s">
        <v>62</v>
      </c>
    </row>
    <row r="120" spans="4:8" x14ac:dyDescent="0.25">
      <c r="G120" s="61" t="s">
        <v>124</v>
      </c>
      <c r="H120" s="31" t="s">
        <v>125</v>
      </c>
    </row>
    <row r="124" spans="4:8" x14ac:dyDescent="0.25">
      <c r="G124" s="61" t="s">
        <v>129</v>
      </c>
      <c r="H124" s="31"/>
    </row>
    <row r="125" spans="4:8" x14ac:dyDescent="0.25">
      <c r="G125" s="63">
        <f>G109*(0.995^30)</f>
        <v>0.17637875934251276</v>
      </c>
      <c r="H125" s="34" t="s">
        <v>126</v>
      </c>
    </row>
    <row r="126" spans="4:8" x14ac:dyDescent="0.25">
      <c r="G126" s="63">
        <f t="shared" ref="G126" si="3">G110*(0.995^30)</f>
        <v>0.15486915454464534</v>
      </c>
      <c r="H126" s="34" t="s">
        <v>126</v>
      </c>
    </row>
    <row r="127" spans="4:8" x14ac:dyDescent="0.25">
      <c r="G127" s="63">
        <f>G112*(0.995^30)</f>
        <v>0.12905762878720445</v>
      </c>
      <c r="H127" s="34" t="s">
        <v>126</v>
      </c>
    </row>
  </sheetData>
  <hyperlinks>
    <hyperlink ref="H125" r:id="rId1" location="bib43" xr:uid="{026A04B1-7C01-40F4-BE35-FA9B3936C188}"/>
    <hyperlink ref="H126" r:id="rId2" location="bib43" display="https://www.sciencedirect.com/science/article/pii/S136403211500146X - bib43" xr:uid="{1A79A03C-746C-4231-B055-8B1DFF66E83C}"/>
    <hyperlink ref="H127" r:id="rId3" location="bib43" display="https://www.sciencedirect.com/science/article/pii/S136403211500146X - bib43" xr:uid="{011BDCE7-F440-4721-AF8C-F9F8ACA0BAFC}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422B0-94EB-4B90-B197-408AB891F04A}">
  <dimension ref="A1:AD131"/>
  <sheetViews>
    <sheetView zoomScale="70" zoomScaleNormal="70" workbookViewId="0">
      <selection activeCell="P24" sqref="P24"/>
    </sheetView>
  </sheetViews>
  <sheetFormatPr defaultRowHeight="15" x14ac:dyDescent="0.25"/>
  <cols>
    <col min="2" max="2" width="24.140625" customWidth="1"/>
    <col min="3" max="3" width="20.42578125" customWidth="1"/>
    <col min="4" max="4" width="44" customWidth="1"/>
    <col min="5" max="5" width="30.7109375" customWidth="1"/>
    <col min="6" max="6" width="15" style="55" customWidth="1"/>
    <col min="9" max="9" width="8.5703125" style="1" customWidth="1"/>
    <col min="10" max="10" width="22.42578125" customWidth="1"/>
    <col min="11" max="11" width="11" customWidth="1"/>
    <col min="12" max="12" width="11.42578125" style="42" customWidth="1"/>
    <col min="13" max="13" width="17.42578125" style="1" customWidth="1"/>
    <col min="16" max="16" width="9.140625" style="51"/>
    <col min="21" max="22" width="9.140625" style="51"/>
    <col min="26" max="26" width="9.140625" style="51"/>
    <col min="29" max="29" width="9.140625" style="51"/>
    <col min="30" max="30" width="9.140625" style="1"/>
  </cols>
  <sheetData>
    <row r="1" spans="1:30" x14ac:dyDescent="0.25">
      <c r="H1" s="101" t="s">
        <v>180</v>
      </c>
      <c r="I1" s="102"/>
      <c r="J1" s="102"/>
      <c r="K1" s="102"/>
      <c r="L1" s="102" t="s">
        <v>181</v>
      </c>
      <c r="M1" s="102"/>
      <c r="N1" s="102"/>
      <c r="O1" s="102" t="s">
        <v>180</v>
      </c>
      <c r="P1" s="102"/>
      <c r="Q1" s="102"/>
      <c r="R1" s="102"/>
      <c r="S1" s="102" t="s">
        <v>121</v>
      </c>
      <c r="T1" s="102"/>
      <c r="U1" s="105"/>
      <c r="V1" s="102" t="s">
        <v>137</v>
      </c>
      <c r="W1" s="102"/>
      <c r="X1" s="102"/>
      <c r="Y1" s="102" t="s">
        <v>121</v>
      </c>
      <c r="Z1" s="102"/>
      <c r="AA1" s="102"/>
      <c r="AB1" s="102"/>
      <c r="AC1"/>
      <c r="AD1"/>
    </row>
    <row r="2" spans="1:30" x14ac:dyDescent="0.25">
      <c r="A2" s="4"/>
      <c r="B2" s="4"/>
      <c r="C2" s="4"/>
      <c r="D2" s="4"/>
      <c r="E2" s="4"/>
      <c r="F2" s="56"/>
      <c r="G2" s="4"/>
      <c r="H2" s="1" t="s">
        <v>138</v>
      </c>
      <c r="I2" s="44" t="s">
        <v>141</v>
      </c>
      <c r="J2" s="44" t="s">
        <v>142</v>
      </c>
      <c r="K2" s="50" t="s">
        <v>143</v>
      </c>
      <c r="L2" s="44" t="s">
        <v>138</v>
      </c>
      <c r="M2" s="44" t="s">
        <v>145</v>
      </c>
      <c r="N2" s="50" t="s">
        <v>142</v>
      </c>
      <c r="O2" s="44" t="s">
        <v>138</v>
      </c>
      <c r="P2" s="44" t="s">
        <v>141</v>
      </c>
      <c r="Q2" s="44" t="s">
        <v>142</v>
      </c>
      <c r="R2" s="50" t="s">
        <v>143</v>
      </c>
      <c r="S2" s="44" t="s">
        <v>138</v>
      </c>
      <c r="T2" s="44" t="s">
        <v>141</v>
      </c>
      <c r="U2" s="50" t="s">
        <v>142</v>
      </c>
      <c r="V2" s="44" t="s">
        <v>138</v>
      </c>
      <c r="W2" s="44" t="s">
        <v>141</v>
      </c>
      <c r="X2" s="50" t="s">
        <v>142</v>
      </c>
      <c r="Y2" s="1" t="s">
        <v>138</v>
      </c>
      <c r="Z2" s="44" t="s">
        <v>141</v>
      </c>
      <c r="AA2" s="44" t="s">
        <v>142</v>
      </c>
      <c r="AB2" s="44" t="s">
        <v>143</v>
      </c>
      <c r="AC2"/>
      <c r="AD2"/>
    </row>
    <row r="3" spans="1:30" x14ac:dyDescent="0.25">
      <c r="A3" s="4" t="s">
        <v>0</v>
      </c>
      <c r="B3" s="4" t="s">
        <v>1</v>
      </c>
      <c r="C3" s="4" t="s">
        <v>25</v>
      </c>
      <c r="D3" s="4" t="s">
        <v>7</v>
      </c>
      <c r="E3" s="6" t="s">
        <v>121</v>
      </c>
      <c r="F3" s="56" t="s">
        <v>122</v>
      </c>
      <c r="G3" s="13" t="s">
        <v>137</v>
      </c>
      <c r="H3" s="49" t="s">
        <v>140</v>
      </c>
      <c r="I3" s="44">
        <v>1000</v>
      </c>
      <c r="J3" s="44">
        <v>1700</v>
      </c>
      <c r="K3" s="50">
        <v>2300</v>
      </c>
      <c r="L3" s="44" t="s">
        <v>144</v>
      </c>
      <c r="M3" s="45">
        <v>0.7</v>
      </c>
      <c r="N3" s="52">
        <v>0.3</v>
      </c>
      <c r="O3" s="44" t="s">
        <v>110</v>
      </c>
      <c r="P3" s="44">
        <v>0.7</v>
      </c>
      <c r="Q3" s="44">
        <v>0.8</v>
      </c>
      <c r="R3" s="50">
        <v>0.9</v>
      </c>
      <c r="S3" s="44" t="s">
        <v>107</v>
      </c>
      <c r="T3" s="44" t="s">
        <v>146</v>
      </c>
      <c r="U3" s="50" t="s">
        <v>147</v>
      </c>
      <c r="V3" s="44" t="s">
        <v>107</v>
      </c>
      <c r="W3" s="44" t="s">
        <v>146</v>
      </c>
      <c r="X3" s="50" t="s">
        <v>147</v>
      </c>
      <c r="Y3" s="1" t="s">
        <v>148</v>
      </c>
      <c r="Z3" s="45">
        <v>0.18</v>
      </c>
      <c r="AA3" s="46">
        <v>0.20499999999999999</v>
      </c>
      <c r="AB3" s="45">
        <v>0.24</v>
      </c>
      <c r="AC3"/>
      <c r="AD3"/>
    </row>
    <row r="4" spans="1:30" x14ac:dyDescent="0.25">
      <c r="A4" s="4">
        <v>2010</v>
      </c>
      <c r="B4" s="4" t="s">
        <v>18</v>
      </c>
      <c r="C4" s="4" t="s">
        <v>26</v>
      </c>
      <c r="D4" s="4" t="s">
        <v>49</v>
      </c>
      <c r="E4" s="3">
        <v>69.291105473792015</v>
      </c>
      <c r="F4" s="57">
        <v>2.0742766761268645</v>
      </c>
      <c r="G4" s="42">
        <v>14.46287293555104</v>
      </c>
      <c r="H4" s="66">
        <f>I4/E4-1</f>
        <v>0.7</v>
      </c>
      <c r="I4" s="3">
        <v>117.79487930544643</v>
      </c>
      <c r="J4" s="66">
        <f>K4/E4-1</f>
        <v>-0.26086956521739124</v>
      </c>
      <c r="K4" s="42">
        <v>51.215164915411492</v>
      </c>
      <c r="L4" s="44"/>
      <c r="M4" s="3"/>
      <c r="N4" s="42"/>
      <c r="O4" s="66">
        <f>P4/$E4-1</f>
        <v>0.14285714285714302</v>
      </c>
      <c r="P4" s="3">
        <v>79.189834827190879</v>
      </c>
      <c r="Q4" s="66">
        <f>R4/$E4-1</f>
        <v>-0.11111111111111105</v>
      </c>
      <c r="R4" s="42">
        <v>61.592093754481795</v>
      </c>
      <c r="S4" s="68">
        <f>T4/E4-1</f>
        <v>0.19999999999999996</v>
      </c>
      <c r="T4" s="3">
        <f>E4*30/25</f>
        <v>83.149326568550421</v>
      </c>
      <c r="U4" s="42"/>
      <c r="V4" s="67">
        <f t="shared" ref="V4:V31" si="0">W4/G4-1</f>
        <v>-0.16666666666666663</v>
      </c>
      <c r="W4" s="3">
        <v>12.052394112959201</v>
      </c>
      <c r="X4" s="42"/>
      <c r="Y4" s="66">
        <f>Z4/$E4-1</f>
        <v>0.13888888888888884</v>
      </c>
      <c r="Z4" s="3">
        <v>78.914870122929798</v>
      </c>
      <c r="AA4" s="3"/>
      <c r="AB4" s="3"/>
      <c r="AC4"/>
      <c r="AD4"/>
    </row>
    <row r="5" spans="1:30" x14ac:dyDescent="0.25">
      <c r="A5" s="4">
        <v>2010</v>
      </c>
      <c r="B5" s="4" t="s">
        <v>18</v>
      </c>
      <c r="C5" s="4" t="s">
        <v>26</v>
      </c>
      <c r="D5" s="4" t="s">
        <v>50</v>
      </c>
      <c r="E5" s="3">
        <v>51.328748673932068</v>
      </c>
      <c r="F5" s="57">
        <v>2.1360807402563466</v>
      </c>
      <c r="G5" s="42">
        <v>14.044412944989974</v>
      </c>
      <c r="H5" s="66">
        <f>I5/E5-1</f>
        <v>0.70000000000000018</v>
      </c>
      <c r="I5" s="3">
        <v>87.258872745684528</v>
      </c>
      <c r="J5" s="66">
        <f t="shared" ref="J5:J31" si="1">K5/E5-1</f>
        <v>-0.26086956521739135</v>
      </c>
      <c r="K5" s="42">
        <v>37.93864032421066</v>
      </c>
      <c r="L5" s="67">
        <f>M5/G4-1</f>
        <v>-0.5714285714285714</v>
      </c>
      <c r="M5" s="3">
        <f>G4*N3/M3</f>
        <v>6.1983741152361604</v>
      </c>
      <c r="N5" s="42"/>
      <c r="O5" s="66">
        <f t="shared" ref="O5:O31" si="2">P5/$E5-1</f>
        <v>0.14285714285714302</v>
      </c>
      <c r="P5" s="3">
        <v>58.661427055922374</v>
      </c>
      <c r="Q5" s="66">
        <f t="shared" ref="Q5:Q31" si="3">R5/$E5-1</f>
        <v>-0.11111111111111105</v>
      </c>
      <c r="R5" s="42">
        <v>45.625554376828511</v>
      </c>
      <c r="S5" s="68">
        <f t="shared" ref="S5:S31" si="4">T5/E5-1</f>
        <v>0.19999999999999996</v>
      </c>
      <c r="T5" s="3">
        <f t="shared" ref="T5:T68" si="5">E5*30/25</f>
        <v>61.594498408718479</v>
      </c>
      <c r="U5" s="42"/>
      <c r="V5" s="67">
        <f t="shared" si="0"/>
        <v>-0.16666666666666674</v>
      </c>
      <c r="W5" s="3">
        <v>11.70367745415831</v>
      </c>
      <c r="X5" s="42"/>
      <c r="Y5" s="66">
        <f t="shared" ref="Y5:Y31" si="6">Z5/$E5-1</f>
        <v>0.13888888888888884</v>
      </c>
      <c r="Z5" s="3">
        <v>58.457741545311521</v>
      </c>
      <c r="AA5" s="3"/>
      <c r="AB5" s="3"/>
      <c r="AC5"/>
      <c r="AD5"/>
    </row>
    <row r="6" spans="1:30" x14ac:dyDescent="0.25">
      <c r="A6" s="4">
        <v>2010</v>
      </c>
      <c r="B6" s="4" t="s">
        <v>18</v>
      </c>
      <c r="C6" s="4" t="s">
        <v>26</v>
      </c>
      <c r="D6" s="4" t="s">
        <v>51</v>
      </c>
      <c r="E6" s="3">
        <v>48.49884674902836</v>
      </c>
      <c r="F6" s="57">
        <v>2.1566954964345553</v>
      </c>
      <c r="G6" s="42">
        <v>13.910169539277074</v>
      </c>
      <c r="H6" s="66">
        <f t="shared" ref="H6:H31" si="7">I6/E6-1</f>
        <v>0.69999999999999973</v>
      </c>
      <c r="I6" s="3">
        <v>82.448039473348203</v>
      </c>
      <c r="J6" s="66">
        <f t="shared" si="1"/>
        <v>-0.26086956521739135</v>
      </c>
      <c r="K6" s="42">
        <v>35.846973684064437</v>
      </c>
      <c r="L6" s="44"/>
      <c r="M6" s="3"/>
      <c r="N6" s="42"/>
      <c r="O6" s="66">
        <f t="shared" si="2"/>
        <v>0.14285714285714302</v>
      </c>
      <c r="P6" s="3">
        <v>55.42725342746099</v>
      </c>
      <c r="Q6" s="66">
        <f t="shared" si="3"/>
        <v>-0.11111111111111105</v>
      </c>
      <c r="R6" s="42">
        <v>43.110085999136324</v>
      </c>
      <c r="S6" s="68">
        <f t="shared" si="4"/>
        <v>0.19999999999999996</v>
      </c>
      <c r="T6" s="3">
        <f t="shared" si="5"/>
        <v>58.19861609883403</v>
      </c>
      <c r="U6" s="42"/>
      <c r="V6" s="67">
        <f t="shared" si="0"/>
        <v>-0.16666666666666663</v>
      </c>
      <c r="W6" s="3">
        <v>11.591807949397563</v>
      </c>
      <c r="X6" s="42"/>
      <c r="Y6" s="66">
        <f t="shared" si="6"/>
        <v>0.13888888888888906</v>
      </c>
      <c r="Z6" s="3">
        <v>55.234797686393414</v>
      </c>
      <c r="AA6" s="3"/>
      <c r="AB6" s="3"/>
      <c r="AC6"/>
      <c r="AD6"/>
    </row>
    <row r="7" spans="1:30" x14ac:dyDescent="0.25">
      <c r="A7" s="4">
        <v>2010</v>
      </c>
      <c r="B7" s="4" t="s">
        <v>18</v>
      </c>
      <c r="C7" s="4" t="s">
        <v>26</v>
      </c>
      <c r="D7" s="4" t="s">
        <v>52</v>
      </c>
      <c r="E7" s="3">
        <v>50.802345413165263</v>
      </c>
      <c r="F7" s="57">
        <v>2.0022573372624399</v>
      </c>
      <c r="G7" s="42">
        <v>14.983089057382157</v>
      </c>
      <c r="H7" s="66">
        <f t="shared" si="7"/>
        <v>0.7</v>
      </c>
      <c r="I7" s="3">
        <v>86.36398720238094</v>
      </c>
      <c r="J7" s="66">
        <f t="shared" si="1"/>
        <v>-0.26086956521739124</v>
      </c>
      <c r="K7" s="42">
        <v>37.549559653209108</v>
      </c>
      <c r="L7" s="44"/>
      <c r="M7" s="3"/>
      <c r="N7" s="42"/>
      <c r="O7" s="66">
        <f t="shared" si="2"/>
        <v>0.14285714285714302</v>
      </c>
      <c r="P7" s="3">
        <v>58.059823329331735</v>
      </c>
      <c r="Q7" s="66">
        <f t="shared" si="3"/>
        <v>-0.11111111111111116</v>
      </c>
      <c r="R7" s="42">
        <v>45.157640367258011</v>
      </c>
      <c r="S7" s="68">
        <f t="shared" si="4"/>
        <v>0.19999999999999996</v>
      </c>
      <c r="T7" s="3">
        <f t="shared" si="5"/>
        <v>60.962814495798312</v>
      </c>
      <c r="U7" s="42"/>
      <c r="V7" s="67">
        <f t="shared" si="0"/>
        <v>-0.16666666666666674</v>
      </c>
      <c r="W7" s="3">
        <v>12.485907547818464</v>
      </c>
      <c r="X7" s="42"/>
      <c r="Y7" s="66">
        <f t="shared" si="6"/>
        <v>0.13888888888888884</v>
      </c>
      <c r="Z7" s="3">
        <v>57.858226720549325</v>
      </c>
      <c r="AA7" s="3"/>
      <c r="AB7" s="3"/>
      <c r="AC7"/>
      <c r="AD7"/>
    </row>
    <row r="8" spans="1:30" x14ac:dyDescent="0.25">
      <c r="A8" s="4">
        <v>2010</v>
      </c>
      <c r="B8" s="4" t="s">
        <v>18</v>
      </c>
      <c r="C8" s="4" t="s">
        <v>26</v>
      </c>
      <c r="D8" s="4" t="s">
        <v>53</v>
      </c>
      <c r="E8" s="3">
        <v>61.888040962324915</v>
      </c>
      <c r="F8" s="57">
        <v>2.216245445295431</v>
      </c>
      <c r="G8" s="42">
        <v>13.536406837826993</v>
      </c>
      <c r="H8" s="66">
        <f t="shared" si="7"/>
        <v>0.7</v>
      </c>
      <c r="I8" s="3">
        <v>105.20966963595235</v>
      </c>
      <c r="J8" s="66">
        <f t="shared" si="1"/>
        <v>-0.26086956521739146</v>
      </c>
      <c r="K8" s="42">
        <v>45.743334624327105</v>
      </c>
      <c r="L8" s="44"/>
      <c r="M8" s="3"/>
      <c r="N8" s="42"/>
      <c r="O8" s="66">
        <f t="shared" si="2"/>
        <v>0.14285714285714302</v>
      </c>
      <c r="P8" s="3">
        <v>70.729189671228482</v>
      </c>
      <c r="Q8" s="66">
        <f t="shared" si="3"/>
        <v>-0.11111111111111116</v>
      </c>
      <c r="R8" s="42">
        <v>55.011591966511034</v>
      </c>
      <c r="S8" s="68">
        <f t="shared" si="4"/>
        <v>0.19999999999999996</v>
      </c>
      <c r="T8" s="3">
        <f t="shared" si="5"/>
        <v>74.265649154789898</v>
      </c>
      <c r="U8" s="42"/>
      <c r="V8" s="67">
        <f t="shared" si="0"/>
        <v>-0.16666666666666663</v>
      </c>
      <c r="W8" s="3">
        <v>11.280339031522495</v>
      </c>
      <c r="X8" s="42"/>
      <c r="Y8" s="66">
        <f t="shared" si="6"/>
        <v>0.13888888888888884</v>
      </c>
      <c r="Z8" s="3">
        <v>70.483602207092261</v>
      </c>
      <c r="AA8" s="3"/>
      <c r="AB8" s="3"/>
      <c r="AC8"/>
      <c r="AD8"/>
    </row>
    <row r="9" spans="1:30" x14ac:dyDescent="0.25">
      <c r="A9" s="4">
        <v>2010</v>
      </c>
      <c r="B9" s="4" t="s">
        <v>18</v>
      </c>
      <c r="C9" s="4" t="s">
        <v>26</v>
      </c>
      <c r="D9" s="4" t="s">
        <v>54</v>
      </c>
      <c r="E9" s="3">
        <v>60.699886692051813</v>
      </c>
      <c r="F9" s="57">
        <v>2.2289090502040483</v>
      </c>
      <c r="G9" s="42">
        <v>13.459499389288052</v>
      </c>
      <c r="H9" s="66">
        <f t="shared" si="7"/>
        <v>0.7</v>
      </c>
      <c r="I9" s="3">
        <v>103.18980737648808</v>
      </c>
      <c r="J9" s="66">
        <f t="shared" si="1"/>
        <v>-0.26086956521739135</v>
      </c>
      <c r="K9" s="42">
        <v>44.865133641951338</v>
      </c>
      <c r="L9" s="67">
        <f>M9/G4-1</f>
        <v>-0.41176470588235303</v>
      </c>
      <c r="M9" s="3">
        <f>G4*1000/1700</f>
        <v>8.5075723150300231</v>
      </c>
      <c r="N9" s="42"/>
      <c r="O9" s="66">
        <f t="shared" si="2"/>
        <v>0.14285714285714302</v>
      </c>
      <c r="P9" s="3">
        <v>69.371299076630649</v>
      </c>
      <c r="Q9" s="66">
        <f t="shared" si="3"/>
        <v>-0.11111111111111105</v>
      </c>
      <c r="R9" s="42">
        <v>53.955454837379392</v>
      </c>
      <c r="S9" s="68">
        <f t="shared" si="4"/>
        <v>0.20000000000000018</v>
      </c>
      <c r="T9" s="3">
        <f t="shared" si="5"/>
        <v>72.839864030462181</v>
      </c>
      <c r="U9" s="42"/>
      <c r="V9" s="67">
        <f t="shared" si="0"/>
        <v>-0.16666666666666663</v>
      </c>
      <c r="W9" s="3">
        <v>11.216249491073377</v>
      </c>
      <c r="X9" s="42"/>
      <c r="Y9" s="66">
        <f t="shared" si="6"/>
        <v>0.13888888888888884</v>
      </c>
      <c r="Z9" s="3">
        <v>69.13042651039234</v>
      </c>
      <c r="AA9" s="3"/>
      <c r="AB9" s="3"/>
      <c r="AC9"/>
      <c r="AD9"/>
    </row>
    <row r="10" spans="1:30" x14ac:dyDescent="0.25">
      <c r="A10" s="4">
        <v>2010</v>
      </c>
      <c r="B10" s="4" t="s">
        <v>18</v>
      </c>
      <c r="C10" s="4" t="s">
        <v>26</v>
      </c>
      <c r="D10" s="4" t="s">
        <v>149</v>
      </c>
      <c r="E10" s="41">
        <v>60.85093168655235</v>
      </c>
      <c r="F10" s="58">
        <v>2.1884847644037158</v>
      </c>
      <c r="G10" s="43">
        <v>13.708114622481245</v>
      </c>
      <c r="H10" s="66">
        <f>I10/E10-1</f>
        <v>0.7</v>
      </c>
      <c r="I10" s="41">
        <v>103.446583867139</v>
      </c>
      <c r="J10" s="66">
        <f t="shared" si="1"/>
        <v>-0.26086956521739124</v>
      </c>
      <c r="K10" s="43">
        <v>44.976775594408259</v>
      </c>
      <c r="L10" s="67">
        <f>M10/G4-1</f>
        <v>0.35294117647058809</v>
      </c>
      <c r="M10" s="41">
        <f>G4*2300/1700</f>
        <v>19.567416324569052</v>
      </c>
      <c r="N10" s="43"/>
      <c r="O10" s="66">
        <f t="shared" si="2"/>
        <v>0.14285714285714302</v>
      </c>
      <c r="P10" s="41">
        <v>69.543921927488412</v>
      </c>
      <c r="Q10" s="66">
        <f t="shared" si="3"/>
        <v>-0.11111111111111116</v>
      </c>
      <c r="R10" s="43">
        <v>54.089717054713198</v>
      </c>
      <c r="S10" s="68">
        <f t="shared" si="4"/>
        <v>0.19999999999999996</v>
      </c>
      <c r="T10" s="3">
        <f t="shared" si="5"/>
        <v>73.021118023862812</v>
      </c>
      <c r="U10" s="43"/>
      <c r="V10" s="67">
        <f t="shared" si="0"/>
        <v>-0.16666666666666663</v>
      </c>
      <c r="W10" s="41">
        <v>11.423428852067705</v>
      </c>
      <c r="X10" s="43"/>
      <c r="Y10" s="66">
        <f t="shared" si="6"/>
        <v>0.13888888888888884</v>
      </c>
      <c r="Z10" s="41">
        <v>69.302449976351284</v>
      </c>
      <c r="AA10" s="3"/>
      <c r="AB10" s="3"/>
      <c r="AC10"/>
      <c r="AD10"/>
    </row>
    <row r="11" spans="1:30" x14ac:dyDescent="0.25">
      <c r="A11" s="4">
        <v>2015</v>
      </c>
      <c r="B11" s="4" t="s">
        <v>18</v>
      </c>
      <c r="C11" s="4" t="s">
        <v>26</v>
      </c>
      <c r="D11" s="4" t="s">
        <v>49</v>
      </c>
      <c r="E11" s="3">
        <v>53.94327198187716</v>
      </c>
      <c r="F11" s="57">
        <v>1.6761640024684124</v>
      </c>
      <c r="G11" s="42">
        <v>17.89800995357276</v>
      </c>
      <c r="H11" s="66">
        <f t="shared" si="7"/>
        <v>0.7</v>
      </c>
      <c r="I11" s="3">
        <v>91.703562369191175</v>
      </c>
      <c r="J11" s="66">
        <f t="shared" si="1"/>
        <v>-0.26086956521739135</v>
      </c>
      <c r="K11" s="42">
        <v>39.87111407356138</v>
      </c>
      <c r="L11" s="44"/>
      <c r="M11" s="3"/>
      <c r="N11" s="42"/>
      <c r="O11" s="66">
        <f t="shared" si="2"/>
        <v>0.14285714285714302</v>
      </c>
      <c r="P11" s="3">
        <v>61.649453693573911</v>
      </c>
      <c r="Q11" s="66">
        <f t="shared" si="3"/>
        <v>-0.11111111111111105</v>
      </c>
      <c r="R11" s="42">
        <v>47.949575095001926</v>
      </c>
      <c r="S11" s="68">
        <f t="shared" si="4"/>
        <v>0.19999999999999996</v>
      </c>
      <c r="T11" s="3">
        <f t="shared" si="5"/>
        <v>64.731926378252595</v>
      </c>
      <c r="U11" s="42"/>
      <c r="V11" s="67">
        <f t="shared" si="0"/>
        <v>-0.16666666666666674</v>
      </c>
      <c r="W11" s="3">
        <v>14.915008294643966</v>
      </c>
      <c r="X11" s="42"/>
      <c r="Y11" s="66">
        <f t="shared" si="6"/>
        <v>0.13888888888888906</v>
      </c>
      <c r="Z11" s="3">
        <v>61.435393090471216</v>
      </c>
      <c r="AA11" s="3"/>
      <c r="AB11" s="3"/>
      <c r="AC11"/>
      <c r="AD11"/>
    </row>
    <row r="12" spans="1:30" x14ac:dyDescent="0.25">
      <c r="A12" s="4">
        <v>2015</v>
      </c>
      <c r="B12" s="4" t="s">
        <v>18</v>
      </c>
      <c r="C12" s="4" t="s">
        <v>26</v>
      </c>
      <c r="D12" s="4" t="s">
        <v>51</v>
      </c>
      <c r="E12" s="3">
        <v>45.658609087435117</v>
      </c>
      <c r="F12" s="57">
        <v>1.6601795534030077</v>
      </c>
      <c r="G12" s="42">
        <v>18.070334584296326</v>
      </c>
      <c r="H12" s="66">
        <f t="shared" si="7"/>
        <v>0.7</v>
      </c>
      <c r="I12" s="3">
        <v>77.619635448639698</v>
      </c>
      <c r="J12" s="66">
        <f t="shared" si="1"/>
        <v>-0.26086956521739124</v>
      </c>
      <c r="K12" s="42">
        <v>33.74766758636509</v>
      </c>
      <c r="L12" s="44"/>
      <c r="M12" s="3"/>
      <c r="N12" s="42"/>
      <c r="O12" s="66">
        <f t="shared" si="2"/>
        <v>0.14285714285714302</v>
      </c>
      <c r="P12" s="3">
        <v>52.181267528497287</v>
      </c>
      <c r="Q12" s="66">
        <f t="shared" si="3"/>
        <v>-0.11111111111111105</v>
      </c>
      <c r="R12" s="42">
        <v>40.585430299942331</v>
      </c>
      <c r="S12" s="68">
        <f t="shared" si="4"/>
        <v>0.19999999999999996</v>
      </c>
      <c r="T12" s="3">
        <f t="shared" si="5"/>
        <v>54.790330904922136</v>
      </c>
      <c r="U12" s="42"/>
      <c r="V12" s="67">
        <f t="shared" si="0"/>
        <v>-0.16666666666666663</v>
      </c>
      <c r="W12" s="3">
        <v>15.058612153580272</v>
      </c>
      <c r="X12" s="42"/>
      <c r="Y12" s="66">
        <f t="shared" si="6"/>
        <v>0.13888888888888906</v>
      </c>
      <c r="Z12" s="3">
        <v>52.000082571801109</v>
      </c>
      <c r="AA12" s="3"/>
      <c r="AB12" s="3"/>
      <c r="AC12"/>
      <c r="AD12"/>
    </row>
    <row r="13" spans="1:30" x14ac:dyDescent="0.25">
      <c r="A13" s="4">
        <v>2015</v>
      </c>
      <c r="B13" s="4" t="s">
        <v>18</v>
      </c>
      <c r="C13" s="4" t="s">
        <v>26</v>
      </c>
      <c r="D13" s="4" t="s">
        <v>56</v>
      </c>
      <c r="E13" s="3">
        <v>44.311391763220868</v>
      </c>
      <c r="F13" s="57">
        <v>1.8903677887324488</v>
      </c>
      <c r="G13" s="42">
        <v>15.869927629329711</v>
      </c>
      <c r="H13" s="66">
        <f t="shared" si="7"/>
        <v>0.69999999999999973</v>
      </c>
      <c r="I13" s="3">
        <v>75.329365997475463</v>
      </c>
      <c r="J13" s="66">
        <f t="shared" si="1"/>
        <v>-0.26086956521739146</v>
      </c>
      <c r="K13" s="42">
        <v>32.751898259771941</v>
      </c>
      <c r="L13" s="44"/>
      <c r="M13" s="3"/>
      <c r="N13" s="42"/>
      <c r="O13" s="66">
        <f t="shared" si="2"/>
        <v>0.14285714285714279</v>
      </c>
      <c r="P13" s="3">
        <v>50.641590586538136</v>
      </c>
      <c r="Q13" s="66">
        <f t="shared" si="3"/>
        <v>-0.11111111111111116</v>
      </c>
      <c r="R13" s="42">
        <v>39.387903789529659</v>
      </c>
      <c r="S13" s="68">
        <f t="shared" si="4"/>
        <v>0.19999999999999996</v>
      </c>
      <c r="T13" s="3">
        <f t="shared" si="5"/>
        <v>53.173670115865043</v>
      </c>
      <c r="U13" s="42"/>
      <c r="V13" s="67">
        <f t="shared" si="0"/>
        <v>-0.16666666666666663</v>
      </c>
      <c r="W13" s="3">
        <v>13.224939691108093</v>
      </c>
      <c r="X13" s="42"/>
      <c r="Y13" s="66">
        <f t="shared" si="6"/>
        <v>0.13888888888888884</v>
      </c>
      <c r="Z13" s="3">
        <v>50.465751730334873</v>
      </c>
      <c r="AA13" s="3"/>
      <c r="AB13" s="3"/>
      <c r="AC13"/>
      <c r="AD13"/>
    </row>
    <row r="14" spans="1:30" x14ac:dyDescent="0.25">
      <c r="A14" s="4">
        <v>2015</v>
      </c>
      <c r="B14" s="4" t="s">
        <v>18</v>
      </c>
      <c r="C14" s="4" t="s">
        <v>26</v>
      </c>
      <c r="D14" s="4" t="s">
        <v>52</v>
      </c>
      <c r="E14" s="3">
        <v>40.448540513264128</v>
      </c>
      <c r="F14" s="57">
        <v>1.6349013851886962</v>
      </c>
      <c r="G14" s="42">
        <v>18.349730614814714</v>
      </c>
      <c r="H14" s="66">
        <f t="shared" si="7"/>
        <v>0.69999999999999973</v>
      </c>
      <c r="I14" s="3">
        <v>68.762518872549009</v>
      </c>
      <c r="J14" s="66">
        <f t="shared" si="1"/>
        <v>-0.26086956521739135</v>
      </c>
      <c r="K14" s="42">
        <v>29.896747335890876</v>
      </c>
      <c r="L14" s="67">
        <f>M14/$G$4-1</f>
        <v>-0.12500000000000022</v>
      </c>
      <c r="M14" s="3">
        <f>G4/0.8*0.7</f>
        <v>12.655013818607157</v>
      </c>
      <c r="N14" s="42"/>
      <c r="O14" s="66">
        <f t="shared" si="2"/>
        <v>0.14285714285714324</v>
      </c>
      <c r="P14" s="3">
        <v>46.226903443730443</v>
      </c>
      <c r="Q14" s="66">
        <f t="shared" si="3"/>
        <v>-0.11111111111111094</v>
      </c>
      <c r="R14" s="42">
        <v>35.954258234012563</v>
      </c>
      <c r="S14" s="68">
        <f t="shared" si="4"/>
        <v>0.20000000000000018</v>
      </c>
      <c r="T14" s="3">
        <f t="shared" si="5"/>
        <v>48.538248615916956</v>
      </c>
      <c r="U14" s="42"/>
      <c r="V14" s="67">
        <f t="shared" si="0"/>
        <v>-0.16666666666666663</v>
      </c>
      <c r="W14" s="3">
        <v>15.291442179012263</v>
      </c>
      <c r="X14" s="42"/>
      <c r="Y14" s="66">
        <f t="shared" si="6"/>
        <v>0.13888888888888884</v>
      </c>
      <c r="Z14" s="3">
        <v>46.06639336232859</v>
      </c>
      <c r="AA14" s="3"/>
      <c r="AB14" s="3"/>
      <c r="AC14"/>
      <c r="AD14"/>
    </row>
    <row r="15" spans="1:30" x14ac:dyDescent="0.25">
      <c r="A15" s="4">
        <v>2015</v>
      </c>
      <c r="B15" s="4" t="s">
        <v>18</v>
      </c>
      <c r="C15" s="4" t="s">
        <v>26</v>
      </c>
      <c r="D15" s="4" t="s">
        <v>53</v>
      </c>
      <c r="E15" s="3">
        <v>51.680859281545551</v>
      </c>
      <c r="F15" s="57">
        <v>1.8023574404690577</v>
      </c>
      <c r="G15" s="42">
        <v>16.644867064877317</v>
      </c>
      <c r="H15" s="66">
        <f t="shared" si="7"/>
        <v>0.70000000000000018</v>
      </c>
      <c r="I15" s="3">
        <v>87.857460778627441</v>
      </c>
      <c r="J15" s="66">
        <f t="shared" si="1"/>
        <v>-0.26086956521739124</v>
      </c>
      <c r="K15" s="42">
        <v>38.198895990707584</v>
      </c>
      <c r="L15" s="67">
        <f>M15/$G$4-1</f>
        <v>0.12499999999999978</v>
      </c>
      <c r="M15" s="3">
        <f>G4/0.8*0.9</f>
        <v>16.270732052494917</v>
      </c>
      <c r="N15" s="42"/>
      <c r="O15" s="66">
        <f t="shared" si="2"/>
        <v>0.14285714285714302</v>
      </c>
      <c r="P15" s="3">
        <v>59.063839178909213</v>
      </c>
      <c r="Q15" s="66">
        <f t="shared" si="3"/>
        <v>-0.11111111111111105</v>
      </c>
      <c r="R15" s="42">
        <v>45.938541583596049</v>
      </c>
      <c r="S15" s="68">
        <f t="shared" si="4"/>
        <v>0.20000000000000018</v>
      </c>
      <c r="T15" s="3">
        <f t="shared" si="5"/>
        <v>62.017031137854666</v>
      </c>
      <c r="U15" s="42"/>
      <c r="V15" s="67">
        <f t="shared" si="0"/>
        <v>-0.16666666666666663</v>
      </c>
      <c r="W15" s="3">
        <v>13.870722554064432</v>
      </c>
      <c r="X15" s="42"/>
      <c r="Y15" s="66">
        <f t="shared" si="6"/>
        <v>0.13888888888888884</v>
      </c>
      <c r="Z15" s="3">
        <v>58.858756403982426</v>
      </c>
      <c r="AA15" s="3"/>
      <c r="AB15" s="3"/>
      <c r="AC15"/>
      <c r="AD15"/>
    </row>
    <row r="16" spans="1:30" x14ac:dyDescent="0.25">
      <c r="A16" s="4">
        <v>2015</v>
      </c>
      <c r="B16" s="4" t="s">
        <v>18</v>
      </c>
      <c r="C16" s="4" t="s">
        <v>26</v>
      </c>
      <c r="D16" s="4" t="s">
        <v>54</v>
      </c>
      <c r="E16" s="3">
        <v>49.27416850994809</v>
      </c>
      <c r="F16" s="57">
        <v>1.8059723191352453</v>
      </c>
      <c r="G16" s="42">
        <v>16.611550289079137</v>
      </c>
      <c r="H16" s="66">
        <f t="shared" si="7"/>
        <v>0.70000000000000018</v>
      </c>
      <c r="I16" s="3">
        <v>83.766086466911759</v>
      </c>
      <c r="J16" s="66">
        <f t="shared" si="1"/>
        <v>-0.26086956521739124</v>
      </c>
      <c r="K16" s="42">
        <v>36.420037594309463</v>
      </c>
      <c r="L16" s="44"/>
      <c r="M16" s="3"/>
      <c r="N16" s="42"/>
      <c r="O16" s="66">
        <f t="shared" si="2"/>
        <v>0.14285714285714302</v>
      </c>
      <c r="P16" s="3">
        <v>56.313335439940687</v>
      </c>
      <c r="Q16" s="66">
        <f t="shared" si="3"/>
        <v>-0.11111111111111094</v>
      </c>
      <c r="R16" s="42">
        <v>43.799260897731642</v>
      </c>
      <c r="S16" s="68">
        <f t="shared" si="4"/>
        <v>0.19999999999999996</v>
      </c>
      <c r="T16" s="3">
        <f t="shared" si="5"/>
        <v>59.129002211937703</v>
      </c>
      <c r="U16" s="42"/>
      <c r="V16" s="67">
        <f t="shared" si="0"/>
        <v>-0.16666666666666663</v>
      </c>
      <c r="W16" s="3">
        <v>13.842958574232615</v>
      </c>
      <c r="X16" s="42"/>
      <c r="Y16" s="66">
        <f t="shared" si="6"/>
        <v>0.13888888888888906</v>
      </c>
      <c r="Z16" s="3">
        <v>56.117803025218663</v>
      </c>
      <c r="AA16" s="3"/>
      <c r="AB16" s="3"/>
      <c r="AC16"/>
      <c r="AD16"/>
    </row>
    <row r="17" spans="1:30" x14ac:dyDescent="0.25">
      <c r="A17" s="4">
        <v>2015</v>
      </c>
      <c r="B17" s="4" t="s">
        <v>18</v>
      </c>
      <c r="C17" s="4" t="s">
        <v>26</v>
      </c>
      <c r="D17" s="4" t="s">
        <v>149</v>
      </c>
      <c r="E17" s="41">
        <v>50.820759184142389</v>
      </c>
      <c r="F17" s="58">
        <v>1.7420982990097498</v>
      </c>
      <c r="G17" s="43">
        <v>17.22061264685966</v>
      </c>
      <c r="H17" s="66">
        <f t="shared" si="7"/>
        <v>0.7</v>
      </c>
      <c r="I17" s="41">
        <v>86.395290613042064</v>
      </c>
      <c r="J17" s="66">
        <f t="shared" si="1"/>
        <v>-0.26086956521739124</v>
      </c>
      <c r="K17" s="43">
        <v>37.563169831757421</v>
      </c>
      <c r="L17" s="53"/>
      <c r="M17" s="41"/>
      <c r="N17" s="43"/>
      <c r="O17" s="66">
        <f t="shared" si="2"/>
        <v>0.14285714285714302</v>
      </c>
      <c r="P17" s="41">
        <v>58.080867639019885</v>
      </c>
      <c r="Q17" s="66">
        <f t="shared" si="3"/>
        <v>-0.11111111111111105</v>
      </c>
      <c r="R17" s="43">
        <v>45.174008163682124</v>
      </c>
      <c r="S17" s="68">
        <f t="shared" si="4"/>
        <v>0.19999999999999996</v>
      </c>
      <c r="T17" s="3">
        <f t="shared" si="5"/>
        <v>60.98491102097087</v>
      </c>
      <c r="U17" s="43"/>
      <c r="V17" s="67">
        <f t="shared" si="0"/>
        <v>-0.16666666666666674</v>
      </c>
      <c r="W17" s="41">
        <v>14.350510539049715</v>
      </c>
      <c r="X17" s="43"/>
      <c r="Y17" s="66">
        <f t="shared" si="6"/>
        <v>0.13888888888888884</v>
      </c>
      <c r="Z17" s="41">
        <v>57.879197959717715</v>
      </c>
      <c r="AA17" s="3"/>
      <c r="AB17" s="3"/>
      <c r="AC17"/>
      <c r="AD17"/>
    </row>
    <row r="18" spans="1:30" x14ac:dyDescent="0.25">
      <c r="A18" s="4">
        <v>2020</v>
      </c>
      <c r="B18" s="4" t="s">
        <v>18</v>
      </c>
      <c r="C18" s="4" t="s">
        <v>26</v>
      </c>
      <c r="D18" s="4" t="s">
        <v>49</v>
      </c>
      <c r="E18" s="3">
        <v>42.45065930969632</v>
      </c>
      <c r="F18" s="57">
        <v>1.3691237334412876</v>
      </c>
      <c r="G18" s="42">
        <v>21.911825255263896</v>
      </c>
      <c r="H18" s="66">
        <f t="shared" si="7"/>
        <v>0.70000000000000018</v>
      </c>
      <c r="I18" s="3">
        <v>72.166120826483748</v>
      </c>
      <c r="J18" s="66">
        <f t="shared" si="1"/>
        <v>-0.26086956521739124</v>
      </c>
      <c r="K18" s="42">
        <v>31.376574272384239</v>
      </c>
      <c r="L18" s="67">
        <f>M18/$G$4-1</f>
        <v>-0.12195121951219523</v>
      </c>
      <c r="M18" s="3">
        <f>G4/AA3*Z3</f>
        <v>12.699107943410668</v>
      </c>
      <c r="N18" s="42"/>
      <c r="O18" s="66">
        <f t="shared" si="2"/>
        <v>0.14285714285714302</v>
      </c>
      <c r="P18" s="3">
        <v>48.515039211081515</v>
      </c>
      <c r="Q18" s="66">
        <f t="shared" si="3"/>
        <v>-0.11111111111111116</v>
      </c>
      <c r="R18" s="42">
        <v>37.733919386396728</v>
      </c>
      <c r="S18" s="68">
        <f t="shared" si="4"/>
        <v>0.19999999999999996</v>
      </c>
      <c r="T18" s="3">
        <f t="shared" si="5"/>
        <v>50.940791171635581</v>
      </c>
      <c r="U18" s="42"/>
      <c r="V18" s="67">
        <f t="shared" si="0"/>
        <v>-0.16666666666666663</v>
      </c>
      <c r="W18" s="3">
        <v>18.259854379386582</v>
      </c>
      <c r="X18" s="42"/>
      <c r="Y18" s="66">
        <f t="shared" si="6"/>
        <v>0.13888888888888906</v>
      </c>
      <c r="Z18" s="3">
        <v>48.346584213820812</v>
      </c>
      <c r="AA18" s="3"/>
      <c r="AB18" s="3"/>
      <c r="AC18"/>
      <c r="AD18"/>
    </row>
    <row r="19" spans="1:30" x14ac:dyDescent="0.25">
      <c r="A19" s="4">
        <v>2020</v>
      </c>
      <c r="B19" s="4" t="s">
        <v>18</v>
      </c>
      <c r="C19" s="4" t="s">
        <v>26</v>
      </c>
      <c r="D19" s="4" t="s">
        <v>56</v>
      </c>
      <c r="E19" s="3">
        <v>35.677305508094207</v>
      </c>
      <c r="F19" s="57">
        <v>1.5324983079421739</v>
      </c>
      <c r="G19" s="42">
        <v>19.575878057760306</v>
      </c>
      <c r="H19" s="66">
        <f t="shared" si="7"/>
        <v>0.7</v>
      </c>
      <c r="I19" s="3">
        <v>60.651419363760148</v>
      </c>
      <c r="J19" s="66">
        <f t="shared" si="1"/>
        <v>-0.26086956521739135</v>
      </c>
      <c r="K19" s="42">
        <v>26.370182332069628</v>
      </c>
      <c r="L19" s="67">
        <f>M19/$G$4-1</f>
        <v>0.1707317073170731</v>
      </c>
      <c r="M19" s="3">
        <f>G4/AA3*AB3</f>
        <v>16.932143924547557</v>
      </c>
      <c r="N19" s="42"/>
      <c r="O19" s="66">
        <f t="shared" si="2"/>
        <v>0.14285714285714302</v>
      </c>
      <c r="P19" s="3">
        <v>40.774063437821958</v>
      </c>
      <c r="Q19" s="66">
        <f t="shared" si="3"/>
        <v>-0.11111111111111105</v>
      </c>
      <c r="R19" s="42">
        <v>31.713160451639297</v>
      </c>
      <c r="S19" s="68">
        <f t="shared" si="4"/>
        <v>0.20000000000000018</v>
      </c>
      <c r="T19" s="3">
        <f t="shared" si="5"/>
        <v>42.812766609713051</v>
      </c>
      <c r="U19" s="42"/>
      <c r="V19" s="67">
        <f t="shared" si="0"/>
        <v>-0.16666666666666663</v>
      </c>
      <c r="W19" s="3">
        <v>16.313231714800256</v>
      </c>
      <c r="X19" s="42"/>
      <c r="Y19" s="66">
        <f t="shared" si="6"/>
        <v>0.13888888888888884</v>
      </c>
      <c r="Z19" s="3">
        <v>40.632486828662849</v>
      </c>
      <c r="AA19" s="3"/>
      <c r="AB19" s="3"/>
      <c r="AC19"/>
      <c r="AD19"/>
    </row>
    <row r="20" spans="1:30" x14ac:dyDescent="0.25">
      <c r="A20" s="4">
        <v>2020</v>
      </c>
      <c r="B20" s="4" t="s">
        <v>18</v>
      </c>
      <c r="C20" s="4" t="s">
        <v>26</v>
      </c>
      <c r="D20" s="4" t="s">
        <v>53</v>
      </c>
      <c r="E20" s="3">
        <v>42.306599710282157</v>
      </c>
      <c r="F20" s="57">
        <v>1.4643954602744478</v>
      </c>
      <c r="G20" s="42">
        <v>20.486269463289368</v>
      </c>
      <c r="H20" s="66">
        <f t="shared" si="7"/>
        <v>0.7</v>
      </c>
      <c r="I20" s="3">
        <v>71.921219507479663</v>
      </c>
      <c r="J20" s="66">
        <f t="shared" si="1"/>
        <v>-0.26086956521739135</v>
      </c>
      <c r="K20" s="42">
        <v>31.270095438034634</v>
      </c>
      <c r="L20" s="44"/>
      <c r="M20" s="3"/>
      <c r="N20" s="42"/>
      <c r="O20" s="66">
        <f t="shared" si="2"/>
        <v>0.14285714285714302</v>
      </c>
      <c r="P20" s="3">
        <v>48.3503996688939</v>
      </c>
      <c r="Q20" s="66">
        <f t="shared" si="3"/>
        <v>-0.11111111111111094</v>
      </c>
      <c r="R20" s="42">
        <v>37.605866409139701</v>
      </c>
      <c r="S20" s="68">
        <f t="shared" si="4"/>
        <v>0.19999999999999996</v>
      </c>
      <c r="T20" s="3">
        <f t="shared" si="5"/>
        <v>50.767919652338584</v>
      </c>
      <c r="U20" s="42"/>
      <c r="V20" s="67">
        <f t="shared" si="0"/>
        <v>-0.16666666666666663</v>
      </c>
      <c r="W20" s="3">
        <v>17.071891219407807</v>
      </c>
      <c r="X20" s="42"/>
      <c r="Y20" s="66">
        <f t="shared" si="6"/>
        <v>0.13888888888888884</v>
      </c>
      <c r="Z20" s="3">
        <v>48.182516336710229</v>
      </c>
      <c r="AA20" s="3"/>
      <c r="AB20" s="3"/>
      <c r="AC20"/>
      <c r="AD20"/>
    </row>
    <row r="21" spans="1:30" x14ac:dyDescent="0.25">
      <c r="A21" s="4">
        <v>2020</v>
      </c>
      <c r="B21" s="4" t="s">
        <v>18</v>
      </c>
      <c r="C21" s="4" t="s">
        <v>26</v>
      </c>
      <c r="D21" s="4" t="s">
        <v>57</v>
      </c>
      <c r="E21" s="3">
        <v>30.515814316152561</v>
      </c>
      <c r="F21" s="57">
        <v>1.3168509372058614</v>
      </c>
      <c r="G21" s="42">
        <v>22.781621786027664</v>
      </c>
      <c r="H21" s="66">
        <f t="shared" si="7"/>
        <v>0.70000000000000018</v>
      </c>
      <c r="I21" s="3">
        <v>51.876884337459359</v>
      </c>
      <c r="J21" s="66">
        <f t="shared" si="1"/>
        <v>-0.26086956521739124</v>
      </c>
      <c r="K21" s="42">
        <v>22.5551671032432</v>
      </c>
      <c r="L21" s="44"/>
      <c r="M21" s="3"/>
      <c r="N21" s="42"/>
      <c r="O21" s="66">
        <f t="shared" si="2"/>
        <v>0.14285714285714302</v>
      </c>
      <c r="P21" s="3">
        <v>34.875216361317214</v>
      </c>
      <c r="Q21" s="66">
        <f t="shared" si="3"/>
        <v>-0.11111111111111116</v>
      </c>
      <c r="R21" s="42">
        <v>27.125168281024497</v>
      </c>
      <c r="S21" s="68">
        <f t="shared" si="4"/>
        <v>0.19999999999999996</v>
      </c>
      <c r="T21" s="3">
        <f t="shared" si="5"/>
        <v>36.618977179383073</v>
      </c>
      <c r="U21" s="42"/>
      <c r="V21" s="67">
        <f t="shared" si="0"/>
        <v>-0.16666666666666652</v>
      </c>
      <c r="W21" s="3">
        <v>18.984684821689722</v>
      </c>
      <c r="X21" s="42"/>
      <c r="Y21" s="66">
        <f t="shared" si="6"/>
        <v>0.13888888888888862</v>
      </c>
      <c r="Z21" s="3">
        <v>34.754121860062632</v>
      </c>
      <c r="AA21" s="3"/>
      <c r="AB21" s="3"/>
      <c r="AC21"/>
      <c r="AD21"/>
    </row>
    <row r="22" spans="1:30" x14ac:dyDescent="0.25">
      <c r="A22" s="4">
        <v>2020</v>
      </c>
      <c r="B22" s="4" t="s">
        <v>18</v>
      </c>
      <c r="C22" s="4" t="s">
        <v>26</v>
      </c>
      <c r="D22" s="4" t="s">
        <v>58</v>
      </c>
      <c r="E22" s="3">
        <v>36.433225034612626</v>
      </c>
      <c r="F22" s="57">
        <v>1.3210990859753402</v>
      </c>
      <c r="G22" s="42">
        <v>22.708364814174114</v>
      </c>
      <c r="H22" s="66">
        <f t="shared" si="7"/>
        <v>0.7</v>
      </c>
      <c r="I22" s="3">
        <v>61.936482558841462</v>
      </c>
      <c r="J22" s="66">
        <f t="shared" si="1"/>
        <v>-0.26086956521739135</v>
      </c>
      <c r="K22" s="42">
        <v>26.928905460365851</v>
      </c>
      <c r="L22" s="44"/>
      <c r="M22" s="3"/>
      <c r="N22" s="42"/>
      <c r="O22" s="66">
        <f t="shared" si="2"/>
        <v>0.14285714285714302</v>
      </c>
      <c r="P22" s="3">
        <v>41.637971468128718</v>
      </c>
      <c r="Q22" s="66">
        <f t="shared" si="3"/>
        <v>-0.11111111111111094</v>
      </c>
      <c r="R22" s="42">
        <v>32.385088919655672</v>
      </c>
      <c r="S22" s="68">
        <f t="shared" si="4"/>
        <v>0.19999999999999996</v>
      </c>
      <c r="T22" s="3">
        <f t="shared" si="5"/>
        <v>43.719870041535152</v>
      </c>
      <c r="U22" s="42"/>
      <c r="V22" s="67">
        <f t="shared" si="0"/>
        <v>-0.16666666666666663</v>
      </c>
      <c r="W22" s="3">
        <v>18.923637345145096</v>
      </c>
      <c r="X22" s="42"/>
      <c r="Y22" s="66">
        <f t="shared" si="6"/>
        <v>0.13888888888888884</v>
      </c>
      <c r="Z22" s="3">
        <v>41.493395178308823</v>
      </c>
      <c r="AA22" s="3"/>
      <c r="AB22" s="3"/>
      <c r="AC22"/>
      <c r="AD22"/>
    </row>
    <row r="23" spans="1:30" x14ac:dyDescent="0.25">
      <c r="A23" s="4">
        <v>2020</v>
      </c>
      <c r="B23" s="4" t="s">
        <v>18</v>
      </c>
      <c r="C23" s="4" t="s">
        <v>26</v>
      </c>
      <c r="D23" s="4" t="s">
        <v>59</v>
      </c>
      <c r="E23" s="3">
        <v>35.548471378317792</v>
      </c>
      <c r="F23" s="57">
        <v>1.2667514029971574</v>
      </c>
      <c r="G23" s="42">
        <v>23.682626227229306</v>
      </c>
      <c r="H23" s="66">
        <f t="shared" si="7"/>
        <v>0.7</v>
      </c>
      <c r="I23" s="3">
        <v>60.432401343140249</v>
      </c>
      <c r="J23" s="66">
        <f t="shared" si="1"/>
        <v>-0.26086956521739124</v>
      </c>
      <c r="K23" s="42">
        <v>26.274957105713153</v>
      </c>
      <c r="L23" s="44"/>
      <c r="M23" s="3"/>
      <c r="N23" s="42"/>
      <c r="O23" s="66">
        <f t="shared" si="2"/>
        <v>0.14285714285714302</v>
      </c>
      <c r="P23" s="3">
        <v>40.626824432363193</v>
      </c>
      <c r="Q23" s="66">
        <f t="shared" si="3"/>
        <v>-0.11111111111111116</v>
      </c>
      <c r="R23" s="42">
        <v>31.59864122517137</v>
      </c>
      <c r="S23" s="68">
        <f t="shared" si="4"/>
        <v>0.19999999999999996</v>
      </c>
      <c r="T23" s="3">
        <f t="shared" si="5"/>
        <v>42.658165653981349</v>
      </c>
      <c r="U23" s="42"/>
      <c r="V23" s="67">
        <f t="shared" si="0"/>
        <v>-0.16666666666666674</v>
      </c>
      <c r="W23" s="3">
        <v>19.73552185602442</v>
      </c>
      <c r="X23" s="42"/>
      <c r="Y23" s="66">
        <f t="shared" si="6"/>
        <v>0.13888888888888884</v>
      </c>
      <c r="Z23" s="3">
        <v>40.48575906975082</v>
      </c>
      <c r="AA23" s="3"/>
      <c r="AB23" s="3"/>
      <c r="AC23"/>
      <c r="AD23"/>
    </row>
    <row r="24" spans="1:30" x14ac:dyDescent="0.25">
      <c r="A24" s="4">
        <v>2020</v>
      </c>
      <c r="B24" s="4" t="s">
        <v>18</v>
      </c>
      <c r="C24" s="4" t="s">
        <v>26</v>
      </c>
      <c r="D24" s="4" t="s">
        <v>149</v>
      </c>
      <c r="E24" s="41">
        <v>38.772980602666927</v>
      </c>
      <c r="F24" s="58">
        <v>1.3912965117423564</v>
      </c>
      <c r="G24" s="43">
        <v>21.562621444676971</v>
      </c>
      <c r="H24" s="66">
        <f t="shared" si="7"/>
        <v>0.70000000000000018</v>
      </c>
      <c r="I24" s="41">
        <v>65.914067024533779</v>
      </c>
      <c r="J24" s="66">
        <f t="shared" si="1"/>
        <v>-0.26086956521739124</v>
      </c>
      <c r="K24" s="43">
        <v>28.65829001066686</v>
      </c>
      <c r="L24" s="53"/>
      <c r="M24" s="41"/>
      <c r="N24" s="43"/>
      <c r="O24" s="66">
        <f t="shared" si="2"/>
        <v>0.14285714285714279</v>
      </c>
      <c r="P24" s="41">
        <v>44.311977831619345</v>
      </c>
      <c r="Q24" s="66">
        <f t="shared" si="3"/>
        <v>-0.11111111111111105</v>
      </c>
      <c r="R24" s="43">
        <v>34.464871646815048</v>
      </c>
      <c r="S24" s="68">
        <f t="shared" si="4"/>
        <v>0.19999999999999996</v>
      </c>
      <c r="T24" s="3">
        <f t="shared" si="5"/>
        <v>46.527576723200312</v>
      </c>
      <c r="U24" s="43"/>
      <c r="V24" s="67">
        <f t="shared" si="0"/>
        <v>-0.16666666666666663</v>
      </c>
      <c r="W24" s="41">
        <v>17.968851203897476</v>
      </c>
      <c r="X24" s="43"/>
      <c r="Y24" s="66">
        <f t="shared" si="6"/>
        <v>0.13888888888888884</v>
      </c>
      <c r="Z24" s="41">
        <v>44.158116797481775</v>
      </c>
      <c r="AA24" s="3"/>
      <c r="AB24" s="3"/>
      <c r="AC24"/>
      <c r="AD24"/>
    </row>
    <row r="25" spans="1:30" x14ac:dyDescent="0.25">
      <c r="A25" s="4">
        <v>2020</v>
      </c>
      <c r="B25" s="4" t="s">
        <v>47</v>
      </c>
      <c r="C25" s="4" t="s">
        <v>26</v>
      </c>
      <c r="D25" s="4" t="s">
        <v>48</v>
      </c>
      <c r="E25" s="41">
        <v>29.711414395026303</v>
      </c>
      <c r="F25" s="58">
        <v>1.3388489608439744</v>
      </c>
      <c r="G25" s="43">
        <v>22.407307229852726</v>
      </c>
      <c r="H25" s="66">
        <f t="shared" si="7"/>
        <v>0.70000000000000018</v>
      </c>
      <c r="I25" s="41">
        <v>50.50940447154472</v>
      </c>
      <c r="J25" s="66">
        <f t="shared" si="1"/>
        <v>-0.26086956521739124</v>
      </c>
      <c r="K25" s="43">
        <v>21.960610639802052</v>
      </c>
      <c r="L25" s="53"/>
      <c r="M25" s="41"/>
      <c r="N25" s="43"/>
      <c r="O25" s="66">
        <f t="shared" si="2"/>
        <v>0.14285714285714302</v>
      </c>
      <c r="P25" s="41">
        <v>33.955902165744348</v>
      </c>
      <c r="Q25" s="66">
        <f t="shared" si="3"/>
        <v>-0.11111111111111105</v>
      </c>
      <c r="R25" s="43">
        <v>26.41014612891227</v>
      </c>
      <c r="S25" s="68">
        <f t="shared" si="4"/>
        <v>0.19999999999999996</v>
      </c>
      <c r="T25" s="3">
        <f t="shared" si="5"/>
        <v>35.653697274031565</v>
      </c>
      <c r="U25" s="43"/>
      <c r="V25" s="67">
        <f t="shared" si="0"/>
        <v>-0.16666666666666674</v>
      </c>
      <c r="W25" s="41">
        <v>18.67275602487727</v>
      </c>
      <c r="X25" s="43"/>
      <c r="Y25" s="66">
        <f t="shared" si="6"/>
        <v>0.13888888888888884</v>
      </c>
      <c r="Z25" s="41">
        <v>33.837999727668844</v>
      </c>
      <c r="AA25" s="3"/>
      <c r="AB25" s="3"/>
      <c r="AC25"/>
      <c r="AD25"/>
    </row>
    <row r="26" spans="1:30" x14ac:dyDescent="0.25">
      <c r="A26" s="4">
        <v>2025</v>
      </c>
      <c r="B26" s="4" t="s">
        <v>47</v>
      </c>
      <c r="C26" s="4" t="s">
        <v>26</v>
      </c>
      <c r="D26" s="4" t="s">
        <v>48</v>
      </c>
      <c r="E26" s="3">
        <v>27.88509445241511</v>
      </c>
      <c r="F26" s="57">
        <v>1.2762524945784146</v>
      </c>
      <c r="G26" s="42">
        <v>23.506320361716451</v>
      </c>
      <c r="H26" s="66">
        <f t="shared" si="7"/>
        <v>0.7</v>
      </c>
      <c r="I26" s="3">
        <v>47.404660569105687</v>
      </c>
      <c r="J26" s="66">
        <f t="shared" si="1"/>
        <v>-0.26086956521739124</v>
      </c>
      <c r="K26" s="42">
        <v>20.610721986567693</v>
      </c>
      <c r="L26" s="67">
        <f t="shared" ref="L26:L31" si="8">M26/F26-1</f>
        <v>1.333333333333333</v>
      </c>
      <c r="M26" s="3">
        <v>2.9779224873496339</v>
      </c>
      <c r="N26" s="42"/>
      <c r="O26" s="66">
        <f t="shared" si="2"/>
        <v>0.14285714285714302</v>
      </c>
      <c r="P26" s="3">
        <v>31.868679374188702</v>
      </c>
      <c r="Q26" s="66">
        <f t="shared" si="3"/>
        <v>-0.11111111111111105</v>
      </c>
      <c r="R26" s="42">
        <v>24.786750624368988</v>
      </c>
      <c r="S26" s="68">
        <f t="shared" si="4"/>
        <v>0.20000000000000018</v>
      </c>
      <c r="T26" s="3">
        <f t="shared" si="5"/>
        <v>33.462113342898135</v>
      </c>
      <c r="U26" s="42"/>
      <c r="V26" s="67">
        <f t="shared" si="0"/>
        <v>-0.16666666666666674</v>
      </c>
      <c r="W26" s="3">
        <v>19.588600301430375</v>
      </c>
      <c r="X26" s="42"/>
      <c r="Y26" s="66">
        <f t="shared" si="6"/>
        <v>0.13888888888888884</v>
      </c>
      <c r="Z26" s="3">
        <v>31.758024237472764</v>
      </c>
      <c r="AA26" s="66">
        <f>AB26/$E26-1</f>
        <v>-0.14583333333333337</v>
      </c>
      <c r="AB26" s="3">
        <v>23.818518178104572</v>
      </c>
      <c r="AC26"/>
      <c r="AD26"/>
    </row>
    <row r="27" spans="1:30" x14ac:dyDescent="0.25">
      <c r="A27" s="4">
        <v>2030</v>
      </c>
      <c r="B27" s="4" t="s">
        <v>47</v>
      </c>
      <c r="C27" s="4" t="s">
        <v>26</v>
      </c>
      <c r="D27" s="4" t="s">
        <v>48</v>
      </c>
      <c r="E27" s="3">
        <v>27.492465327594452</v>
      </c>
      <c r="F27" s="57">
        <v>1.2313570258547994</v>
      </c>
      <c r="G27" s="42">
        <v>24.363364458958774</v>
      </c>
      <c r="H27" s="66">
        <f t="shared" si="7"/>
        <v>0.7</v>
      </c>
      <c r="I27" s="3">
        <v>46.737191056910568</v>
      </c>
      <c r="J27" s="66">
        <f t="shared" si="1"/>
        <v>-0.26086956521739124</v>
      </c>
      <c r="K27" s="42">
        <v>20.320517850830683</v>
      </c>
      <c r="L27" s="67">
        <f t="shared" si="8"/>
        <v>1.3333333333333335</v>
      </c>
      <c r="M27" s="3">
        <v>2.8731663936611986</v>
      </c>
      <c r="N27" s="42"/>
      <c r="O27" s="66">
        <f t="shared" si="2"/>
        <v>0.14285714285714302</v>
      </c>
      <c r="P27" s="3">
        <v>31.419960374393664</v>
      </c>
      <c r="Q27" s="66">
        <f t="shared" si="3"/>
        <v>-0.11111111111111116</v>
      </c>
      <c r="R27" s="42">
        <v>24.437746957861734</v>
      </c>
      <c r="S27" s="68">
        <f t="shared" si="4"/>
        <v>0.20000000000000018</v>
      </c>
      <c r="T27" s="3">
        <f t="shared" si="5"/>
        <v>32.990958393113345</v>
      </c>
      <c r="U27" s="42"/>
      <c r="V27" s="67">
        <f t="shared" si="0"/>
        <v>-0.16666666666666663</v>
      </c>
      <c r="W27" s="3">
        <v>20.30280371579898</v>
      </c>
      <c r="X27" s="42"/>
      <c r="Y27" s="66">
        <f t="shared" si="6"/>
        <v>0.13888888888888884</v>
      </c>
      <c r="Z27" s="3">
        <v>31.310863289760348</v>
      </c>
      <c r="AA27" s="66">
        <f t="shared" ref="AA27:AA31" si="9">AB27/$E27-1</f>
        <v>-0.14583333333333337</v>
      </c>
      <c r="AB27" s="3">
        <v>23.483147467320261</v>
      </c>
      <c r="AC27"/>
      <c r="AD27"/>
    </row>
    <row r="28" spans="1:30" x14ac:dyDescent="0.25">
      <c r="A28" s="4">
        <v>2035</v>
      </c>
      <c r="B28" s="4" t="s">
        <v>47</v>
      </c>
      <c r="C28" s="4" t="s">
        <v>26</v>
      </c>
      <c r="D28" s="4" t="s">
        <v>48</v>
      </c>
      <c r="E28" s="41">
        <v>26.796368962219034</v>
      </c>
      <c r="F28" s="58">
        <v>1.2029573379031206</v>
      </c>
      <c r="G28" s="43">
        <v>24.938540258038667</v>
      </c>
      <c r="H28" s="66">
        <f t="shared" si="7"/>
        <v>0.7</v>
      </c>
      <c r="I28" s="41">
        <v>45.55382723577236</v>
      </c>
      <c r="J28" s="66">
        <f t="shared" si="1"/>
        <v>-0.26086956521739124</v>
      </c>
      <c r="K28" s="43">
        <v>19.806011841640156</v>
      </c>
      <c r="L28" s="67">
        <f t="shared" si="8"/>
        <v>1.333333333333333</v>
      </c>
      <c r="M28" s="41">
        <v>2.8069004551072814</v>
      </c>
      <c r="N28" s="43"/>
      <c r="O28" s="66">
        <f t="shared" si="2"/>
        <v>0.14285714285714302</v>
      </c>
      <c r="P28" s="41">
        <v>30.624421671107473</v>
      </c>
      <c r="Q28" s="66">
        <f t="shared" si="3"/>
        <v>-0.11111111111111105</v>
      </c>
      <c r="R28" s="43">
        <v>23.818994633083587</v>
      </c>
      <c r="S28" s="68">
        <f t="shared" si="4"/>
        <v>0.19999999999999996</v>
      </c>
      <c r="T28" s="3">
        <f t="shared" si="5"/>
        <v>32.155642754662843</v>
      </c>
      <c r="U28" s="43"/>
      <c r="V28" s="67">
        <f t="shared" si="0"/>
        <v>-0.16666666666666663</v>
      </c>
      <c r="W28" s="41">
        <v>20.78211688169889</v>
      </c>
      <c r="X28" s="43"/>
      <c r="Y28" s="66">
        <f t="shared" si="6"/>
        <v>0.13888888888888884</v>
      </c>
      <c r="Z28" s="41">
        <v>30.518086873638342</v>
      </c>
      <c r="AA28" s="66">
        <f t="shared" si="9"/>
        <v>-0.14583333333333337</v>
      </c>
      <c r="AB28" s="41">
        <v>22.888565155228758</v>
      </c>
      <c r="AC28"/>
      <c r="AD28"/>
    </row>
    <row r="29" spans="1:30" x14ac:dyDescent="0.25">
      <c r="A29" s="4">
        <v>2040</v>
      </c>
      <c r="B29" s="4" t="s">
        <v>47</v>
      </c>
      <c r="C29" s="4" t="s">
        <v>26</v>
      </c>
      <c r="D29" s="4" t="s">
        <v>48</v>
      </c>
      <c r="E29" s="3">
        <v>26.429733381157341</v>
      </c>
      <c r="F29" s="57">
        <v>1.1848370041816139</v>
      </c>
      <c r="G29" s="42">
        <v>25.319938433828277</v>
      </c>
      <c r="H29" s="66">
        <f t="shared" si="7"/>
        <v>0.7</v>
      </c>
      <c r="I29" s="3">
        <v>44.930546747967476</v>
      </c>
      <c r="J29" s="66">
        <f t="shared" si="1"/>
        <v>-0.26086956521739135</v>
      </c>
      <c r="K29" s="42">
        <v>19.535020325203252</v>
      </c>
      <c r="L29" s="67">
        <f t="shared" si="8"/>
        <v>1.3333333333333335</v>
      </c>
      <c r="M29" s="3">
        <v>2.7646196764237656</v>
      </c>
      <c r="N29" s="42"/>
      <c r="O29" s="66">
        <f t="shared" si="2"/>
        <v>0.14285714285714302</v>
      </c>
      <c r="P29" s="3">
        <v>30.205409578465535</v>
      </c>
      <c r="Q29" s="66">
        <f t="shared" si="3"/>
        <v>-0.11111111111111116</v>
      </c>
      <c r="R29" s="42">
        <v>23.493096338806524</v>
      </c>
      <c r="S29" s="68">
        <f t="shared" si="4"/>
        <v>0.19999999999999996</v>
      </c>
      <c r="T29" s="3">
        <f t="shared" si="5"/>
        <v>31.715680057388809</v>
      </c>
      <c r="U29" s="42"/>
      <c r="V29" s="67">
        <f t="shared" si="0"/>
        <v>-0.16666666666666663</v>
      </c>
      <c r="W29" s="3">
        <v>21.099948694856899</v>
      </c>
      <c r="X29" s="42"/>
      <c r="Y29" s="66">
        <f t="shared" si="6"/>
        <v>0.13888888888888884</v>
      </c>
      <c r="Z29" s="3">
        <v>30.100529684095861</v>
      </c>
      <c r="AA29" s="66">
        <f t="shared" si="9"/>
        <v>-0.14583333333333337</v>
      </c>
      <c r="AB29" s="3">
        <v>22.575397263071896</v>
      </c>
      <c r="AC29"/>
      <c r="AD29"/>
    </row>
    <row r="30" spans="1:30" x14ac:dyDescent="0.25">
      <c r="A30" s="4">
        <v>2045</v>
      </c>
      <c r="B30" s="4" t="s">
        <v>47</v>
      </c>
      <c r="C30" s="4" t="s">
        <v>26</v>
      </c>
      <c r="D30" s="4" t="s">
        <v>48</v>
      </c>
      <c r="E30" s="3">
        <v>26.074881635581061</v>
      </c>
      <c r="F30" s="57">
        <v>1.169019960203264</v>
      </c>
      <c r="G30" s="42">
        <v>25.662521617495507</v>
      </c>
      <c r="H30" s="66">
        <f t="shared" si="7"/>
        <v>0.70000000000000018</v>
      </c>
      <c r="I30" s="3">
        <v>44.327298780487808</v>
      </c>
      <c r="J30" s="66">
        <f t="shared" si="1"/>
        <v>-0.26086956521739124</v>
      </c>
      <c r="K30" s="42">
        <v>19.27273860021209</v>
      </c>
      <c r="L30" s="67">
        <f t="shared" si="8"/>
        <v>1.3333333333333335</v>
      </c>
      <c r="M30" s="3">
        <v>2.7277132404742828</v>
      </c>
      <c r="N30" s="42"/>
      <c r="O30" s="66">
        <f t="shared" si="2"/>
        <v>0.14285714285714302</v>
      </c>
      <c r="P30" s="3">
        <v>29.79986472637836</v>
      </c>
      <c r="Q30" s="66">
        <f t="shared" si="3"/>
        <v>-0.11111111111111116</v>
      </c>
      <c r="R30" s="42">
        <v>23.177672564960943</v>
      </c>
      <c r="S30" s="68">
        <f t="shared" si="4"/>
        <v>0.19999999999999996</v>
      </c>
      <c r="T30" s="3">
        <f t="shared" si="5"/>
        <v>31.289857962697273</v>
      </c>
      <c r="U30" s="42"/>
      <c r="V30" s="67">
        <f t="shared" si="0"/>
        <v>-0.16666666666666663</v>
      </c>
      <c r="W30" s="3">
        <v>21.385434681246256</v>
      </c>
      <c r="X30" s="42"/>
      <c r="Y30" s="66">
        <f t="shared" si="6"/>
        <v>0.13888888888888884</v>
      </c>
      <c r="Z30" s="3">
        <v>29.696392973856206</v>
      </c>
      <c r="AA30" s="66">
        <f t="shared" si="9"/>
        <v>-0.14583333333333337</v>
      </c>
      <c r="AB30" s="3">
        <v>22.272294730392154</v>
      </c>
      <c r="AC30"/>
      <c r="AD30"/>
    </row>
    <row r="31" spans="1:30" x14ac:dyDescent="0.25">
      <c r="A31" s="4">
        <v>2050</v>
      </c>
      <c r="B31" s="4" t="s">
        <v>47</v>
      </c>
      <c r="C31" s="4" t="s">
        <v>26</v>
      </c>
      <c r="D31" s="4" t="s">
        <v>48</v>
      </c>
      <c r="E31" s="41">
        <v>25.833961023433766</v>
      </c>
      <c r="F31" s="58">
        <v>1.1521888013533643</v>
      </c>
      <c r="G31" s="43">
        <v>26.037399395621545</v>
      </c>
      <c r="H31" s="66">
        <f t="shared" si="7"/>
        <v>0.7</v>
      </c>
      <c r="I31" s="41">
        <v>43.917733739837402</v>
      </c>
      <c r="J31" s="66">
        <f t="shared" si="1"/>
        <v>-0.26086956521739124</v>
      </c>
      <c r="K31" s="43">
        <v>19.094666843407566</v>
      </c>
      <c r="L31" s="67">
        <f t="shared" si="8"/>
        <v>1.3333333333333335</v>
      </c>
      <c r="M31" s="41">
        <v>2.6884405364911834</v>
      </c>
      <c r="N31" s="43"/>
      <c r="O31" s="66">
        <f t="shared" si="2"/>
        <v>0.14285714285714302</v>
      </c>
      <c r="P31" s="41">
        <v>29.52452688392431</v>
      </c>
      <c r="Q31" s="66">
        <f t="shared" si="3"/>
        <v>-0.11111111111111105</v>
      </c>
      <c r="R31" s="43">
        <v>22.963520909718905</v>
      </c>
      <c r="S31" s="68">
        <f t="shared" si="4"/>
        <v>0.19999999999999996</v>
      </c>
      <c r="T31" s="3">
        <f t="shared" si="5"/>
        <v>31.000753228120519</v>
      </c>
      <c r="U31" s="43"/>
      <c r="V31" s="67">
        <f t="shared" si="0"/>
        <v>-0.16666666666666663</v>
      </c>
      <c r="W31" s="41">
        <v>21.697832829684621</v>
      </c>
      <c r="X31" s="43"/>
      <c r="Y31" s="66">
        <f t="shared" si="6"/>
        <v>0.13888888888888884</v>
      </c>
      <c r="Z31" s="41">
        <v>29.422011165577342</v>
      </c>
      <c r="AA31" s="66">
        <f t="shared" si="9"/>
        <v>-0.14583333333333326</v>
      </c>
      <c r="AB31" s="41">
        <v>22.066508374183009</v>
      </c>
      <c r="AC31"/>
      <c r="AD31"/>
    </row>
    <row r="32" spans="1:30" x14ac:dyDescent="0.25">
      <c r="E32" s="3"/>
      <c r="F32" s="57"/>
      <c r="G32" s="42"/>
      <c r="H32" s="1"/>
      <c r="I32" s="44"/>
      <c r="J32" s="44"/>
      <c r="K32" s="50"/>
      <c r="L32" s="44"/>
      <c r="M32" s="3"/>
      <c r="N32" s="42"/>
      <c r="O32" s="3"/>
      <c r="P32" s="3"/>
      <c r="Q32" s="3"/>
      <c r="R32" s="42"/>
      <c r="S32" s="3"/>
      <c r="T32" s="3"/>
      <c r="U32" s="42"/>
      <c r="V32" s="3"/>
      <c r="W32" s="3"/>
      <c r="X32" s="42"/>
      <c r="Y32" s="48" t="s">
        <v>138</v>
      </c>
      <c r="Z32" s="3" t="s">
        <v>141</v>
      </c>
      <c r="AA32" s="3" t="s">
        <v>142</v>
      </c>
      <c r="AB32" s="3" t="s">
        <v>143</v>
      </c>
      <c r="AC32"/>
      <c r="AD32"/>
    </row>
    <row r="33" spans="1:30" x14ac:dyDescent="0.25">
      <c r="A33" s="4" t="s">
        <v>0</v>
      </c>
      <c r="B33" s="4" t="s">
        <v>1</v>
      </c>
      <c r="C33" s="4" t="s">
        <v>25</v>
      </c>
      <c r="D33" s="4" t="s">
        <v>7</v>
      </c>
      <c r="E33" s="3"/>
      <c r="F33" s="57"/>
      <c r="G33" s="42"/>
      <c r="H33" s="1"/>
      <c r="I33" s="44"/>
      <c r="J33" s="44"/>
      <c r="K33" s="50"/>
      <c r="L33" s="44"/>
      <c r="M33" s="3"/>
      <c r="N33" s="42"/>
      <c r="O33" s="3"/>
      <c r="P33" s="3"/>
      <c r="Q33" s="3"/>
      <c r="R33" s="42"/>
      <c r="S33" s="3"/>
      <c r="T33" s="3"/>
      <c r="U33" s="42"/>
      <c r="V33" s="3"/>
      <c r="W33" s="3"/>
      <c r="X33" s="42"/>
      <c r="Y33" s="48" t="s">
        <v>148</v>
      </c>
      <c r="Z33" s="47">
        <v>0.13</v>
      </c>
      <c r="AA33" s="47">
        <v>0.15</v>
      </c>
      <c r="AB33" s="47">
        <v>0.18</v>
      </c>
      <c r="AC33"/>
      <c r="AD33"/>
    </row>
    <row r="34" spans="1:30" x14ac:dyDescent="0.25">
      <c r="A34" s="4">
        <v>2010</v>
      </c>
      <c r="B34" s="4" t="s">
        <v>18</v>
      </c>
      <c r="C34" s="4" t="s">
        <v>60</v>
      </c>
      <c r="D34" s="4" t="s">
        <v>49</v>
      </c>
      <c r="E34" s="3">
        <v>55.288813483235295</v>
      </c>
      <c r="F34" s="57">
        <v>1.607427070930773</v>
      </c>
      <c r="G34" s="42">
        <v>18.663366159827483</v>
      </c>
      <c r="H34" s="66">
        <f>I34/E34-1</f>
        <v>0.70000000000000018</v>
      </c>
      <c r="I34" s="3">
        <v>93.990982921500006</v>
      </c>
      <c r="J34" s="66">
        <f>K34/E34-1</f>
        <v>-0.26086956521739135</v>
      </c>
      <c r="K34" s="42">
        <v>40.86564474847826</v>
      </c>
      <c r="L34" s="44"/>
      <c r="M34" s="3"/>
      <c r="N34" s="42"/>
      <c r="O34" s="66">
        <f>P34/$E34-1</f>
        <v>0.14285714285714302</v>
      </c>
      <c r="P34" s="3">
        <v>63.187215409411778</v>
      </c>
      <c r="Q34" s="66">
        <f>R34/$E34-1</f>
        <v>-0.11111111111111105</v>
      </c>
      <c r="R34" s="42">
        <v>49.145611985098043</v>
      </c>
      <c r="S34" s="68">
        <f>T34/E34-1</f>
        <v>0.19999999999999996</v>
      </c>
      <c r="T34" s="3">
        <f t="shared" si="5"/>
        <v>66.346576179882348</v>
      </c>
      <c r="U34" s="42"/>
      <c r="V34" s="67">
        <f t="shared" ref="V34:V61" si="10">W34/G34-1</f>
        <v>-0.16666666666666674</v>
      </c>
      <c r="W34" s="3">
        <v>15.552805133189567</v>
      </c>
      <c r="X34" s="42"/>
      <c r="Y34" s="66">
        <f>Z34/$E34-1</f>
        <v>0.15384615384615374</v>
      </c>
      <c r="Z34" s="3">
        <v>63.794784788348409</v>
      </c>
      <c r="AA34" s="3"/>
      <c r="AB34" s="3"/>
      <c r="AC34"/>
      <c r="AD34"/>
    </row>
    <row r="35" spans="1:30" x14ac:dyDescent="0.25">
      <c r="A35" s="4">
        <v>2010</v>
      </c>
      <c r="B35" s="4" t="s">
        <v>18</v>
      </c>
      <c r="C35" s="4" t="s">
        <v>60</v>
      </c>
      <c r="D35" s="4" t="s">
        <v>50</v>
      </c>
      <c r="E35" s="3">
        <v>41.33407007410873</v>
      </c>
      <c r="F35" s="57">
        <v>1.6731306630351144</v>
      </c>
      <c r="G35" s="42">
        <v>17.930458548634217</v>
      </c>
      <c r="H35" s="66">
        <f>I35/E35-1</f>
        <v>0.70000000000000018</v>
      </c>
      <c r="I35" s="3">
        <v>70.267919125984847</v>
      </c>
      <c r="J35" s="66">
        <f t="shared" ref="J35:J61" si="11">K35/E35-1</f>
        <v>-0.26086956521739124</v>
      </c>
      <c r="K35" s="42">
        <v>30.551269185210803</v>
      </c>
      <c r="L35" s="44"/>
      <c r="M35" s="3"/>
      <c r="N35" s="42"/>
      <c r="O35" s="66">
        <f t="shared" ref="O35:O61" si="12">P35/$E35-1</f>
        <v>0.14285714285714302</v>
      </c>
      <c r="P35" s="3">
        <v>47.238937227552839</v>
      </c>
      <c r="Q35" s="66">
        <f t="shared" ref="Q35:Q61" si="13">R35/$E35-1</f>
        <v>-0.11111111111111116</v>
      </c>
      <c r="R35" s="42">
        <v>36.74139562142998</v>
      </c>
      <c r="S35" s="68">
        <f t="shared" ref="S35:S61" si="14">T35/E35-1</f>
        <v>0.19999999999999996</v>
      </c>
      <c r="T35" s="3">
        <f t="shared" si="5"/>
        <v>49.600884088930478</v>
      </c>
      <c r="U35" s="42"/>
      <c r="V35" s="67">
        <f t="shared" si="10"/>
        <v>-0.16666666666666674</v>
      </c>
      <c r="W35" s="3">
        <v>14.942048790528514</v>
      </c>
      <c r="X35" s="42"/>
      <c r="Y35" s="66">
        <f t="shared" ref="Y35:Y61" si="15">Z35/$E35-1</f>
        <v>0.15384615384615397</v>
      </c>
      <c r="Z35" s="3">
        <v>47.693157777817767</v>
      </c>
      <c r="AA35" s="3"/>
      <c r="AB35" s="3"/>
      <c r="AC35"/>
      <c r="AD35"/>
    </row>
    <row r="36" spans="1:30" x14ac:dyDescent="0.25">
      <c r="A36" s="4">
        <v>2010</v>
      </c>
      <c r="B36" s="4" t="s">
        <v>18</v>
      </c>
      <c r="C36" s="4" t="s">
        <v>60</v>
      </c>
      <c r="D36" s="4" t="s">
        <v>51</v>
      </c>
      <c r="E36" s="3">
        <v>39.089499503195185</v>
      </c>
      <c r="F36" s="57">
        <v>1.6724521574192528</v>
      </c>
      <c r="G36" s="42">
        <v>17.937732847493081</v>
      </c>
      <c r="H36" s="66">
        <f t="shared" ref="H36:H61" si="16">I36/E36-1</f>
        <v>0.7000000000000004</v>
      </c>
      <c r="I36" s="3">
        <v>66.452149155431826</v>
      </c>
      <c r="J36" s="66">
        <f t="shared" si="11"/>
        <v>-0.26086956521739124</v>
      </c>
      <c r="K36" s="42">
        <v>28.892238763231227</v>
      </c>
      <c r="L36" s="44"/>
      <c r="M36" s="3"/>
      <c r="N36" s="42"/>
      <c r="O36" s="66">
        <f t="shared" si="12"/>
        <v>0.14285714285714302</v>
      </c>
      <c r="P36" s="3">
        <v>44.67371371793736</v>
      </c>
      <c r="Q36" s="66">
        <f t="shared" si="13"/>
        <v>-0.11111111111111105</v>
      </c>
      <c r="R36" s="42">
        <v>34.746221780617944</v>
      </c>
      <c r="S36" s="68">
        <f t="shared" si="14"/>
        <v>0.20000000000000018</v>
      </c>
      <c r="T36" s="3">
        <f t="shared" si="5"/>
        <v>46.907399403834226</v>
      </c>
      <c r="U36" s="42"/>
      <c r="V36" s="67">
        <f t="shared" si="10"/>
        <v>-0.16666666666666674</v>
      </c>
      <c r="W36" s="3">
        <v>14.948110706244233</v>
      </c>
      <c r="X36" s="42"/>
      <c r="Y36" s="66">
        <f t="shared" si="15"/>
        <v>0.15384615384615374</v>
      </c>
      <c r="Z36" s="3">
        <v>45.103268657532901</v>
      </c>
      <c r="AA36" s="3"/>
      <c r="AB36" s="3"/>
      <c r="AC36"/>
      <c r="AD36"/>
    </row>
    <row r="37" spans="1:30" x14ac:dyDescent="0.25">
      <c r="A37" s="4">
        <v>2010</v>
      </c>
      <c r="B37" s="4" t="s">
        <v>18</v>
      </c>
      <c r="C37" s="4" t="s">
        <v>60</v>
      </c>
      <c r="D37" s="4" t="s">
        <v>52</v>
      </c>
      <c r="E37" s="3">
        <v>40.919113725490199</v>
      </c>
      <c r="F37" s="57">
        <v>1.5527754992165759</v>
      </c>
      <c r="G37" s="42">
        <v>19.320243019764252</v>
      </c>
      <c r="H37" s="66">
        <f t="shared" si="16"/>
        <v>0.7</v>
      </c>
      <c r="I37" s="3">
        <v>69.562493333333336</v>
      </c>
      <c r="J37" s="66">
        <f t="shared" si="11"/>
        <v>-0.26086956521739135</v>
      </c>
      <c r="K37" s="42">
        <v>30.244562318840579</v>
      </c>
      <c r="L37" s="44"/>
      <c r="M37" s="3"/>
      <c r="N37" s="42"/>
      <c r="O37" s="66">
        <f t="shared" si="12"/>
        <v>0.14285714285714279</v>
      </c>
      <c r="P37" s="3">
        <v>46.764701400560227</v>
      </c>
      <c r="Q37" s="66">
        <f t="shared" si="13"/>
        <v>-0.11111111111111116</v>
      </c>
      <c r="R37" s="42">
        <v>36.372545533769063</v>
      </c>
      <c r="S37" s="68">
        <f t="shared" si="14"/>
        <v>0.19999999999999996</v>
      </c>
      <c r="T37" s="3">
        <f t="shared" si="5"/>
        <v>49.10293647058824</v>
      </c>
      <c r="U37" s="42"/>
      <c r="V37" s="67">
        <f t="shared" si="10"/>
        <v>-0.16666666666666663</v>
      </c>
      <c r="W37" s="3">
        <v>16.100202516470212</v>
      </c>
      <c r="X37" s="42"/>
      <c r="Y37" s="66">
        <f t="shared" si="15"/>
        <v>0.15384615384615397</v>
      </c>
      <c r="Z37" s="3">
        <v>47.214361990950231</v>
      </c>
      <c r="AA37" s="3"/>
      <c r="AB37" s="3"/>
      <c r="AC37"/>
      <c r="AD37"/>
    </row>
    <row r="38" spans="1:30" x14ac:dyDescent="0.25">
      <c r="A38" s="4">
        <v>2010</v>
      </c>
      <c r="B38" s="4" t="s">
        <v>18</v>
      </c>
      <c r="C38" s="4" t="s">
        <v>60</v>
      </c>
      <c r="D38" s="4" t="s">
        <v>53</v>
      </c>
      <c r="E38" s="3">
        <v>49.49538704263815</v>
      </c>
      <c r="F38" s="57">
        <v>1.7174751667324626</v>
      </c>
      <c r="G38" s="42">
        <v>17.467501470240013</v>
      </c>
      <c r="H38" s="66">
        <f t="shared" si="16"/>
        <v>0.7</v>
      </c>
      <c r="I38" s="3">
        <v>84.142157972484853</v>
      </c>
      <c r="J38" s="66">
        <f t="shared" si="11"/>
        <v>-0.26086956521739124</v>
      </c>
      <c r="K38" s="42">
        <v>36.583546944558634</v>
      </c>
      <c r="L38" s="44"/>
      <c r="M38" s="3"/>
      <c r="N38" s="42"/>
      <c r="O38" s="66">
        <f t="shared" si="12"/>
        <v>0.14285714285714302</v>
      </c>
      <c r="P38" s="3">
        <v>56.566156620157898</v>
      </c>
      <c r="Q38" s="66">
        <f t="shared" si="13"/>
        <v>-0.11111111111111105</v>
      </c>
      <c r="R38" s="42">
        <v>43.995899593456137</v>
      </c>
      <c r="S38" s="68">
        <f t="shared" si="14"/>
        <v>0.19999999999999996</v>
      </c>
      <c r="T38" s="3">
        <f t="shared" si="5"/>
        <v>59.394464451165774</v>
      </c>
      <c r="U38" s="42"/>
      <c r="V38" s="67">
        <f t="shared" si="10"/>
        <v>-0.16666666666666674</v>
      </c>
      <c r="W38" s="3">
        <v>14.556251225200009</v>
      </c>
      <c r="X38" s="42"/>
      <c r="Y38" s="66">
        <f t="shared" si="15"/>
        <v>0.15384615384615374</v>
      </c>
      <c r="Z38" s="3">
        <v>57.110061972274778</v>
      </c>
      <c r="AA38" s="3"/>
      <c r="AB38" s="3"/>
      <c r="AC38"/>
      <c r="AD38"/>
    </row>
    <row r="39" spans="1:30" x14ac:dyDescent="0.25">
      <c r="A39" s="4">
        <v>2010</v>
      </c>
      <c r="B39" s="4" t="s">
        <v>18</v>
      </c>
      <c r="C39" s="4" t="s">
        <v>60</v>
      </c>
      <c r="D39" s="4" t="s">
        <v>54</v>
      </c>
      <c r="E39" s="3">
        <v>48.600935401515152</v>
      </c>
      <c r="F39" s="57">
        <v>1.7285215773247451</v>
      </c>
      <c r="G39" s="42">
        <v>17.355872436623777</v>
      </c>
      <c r="H39" s="66">
        <f t="shared" si="16"/>
        <v>0.7</v>
      </c>
      <c r="I39" s="3">
        <v>82.621590182575758</v>
      </c>
      <c r="J39" s="66">
        <f t="shared" si="11"/>
        <v>-0.26086956521739124</v>
      </c>
      <c r="K39" s="42">
        <v>35.922430514163374</v>
      </c>
      <c r="L39" s="44"/>
      <c r="M39" s="3"/>
      <c r="N39" s="42"/>
      <c r="O39" s="66">
        <f t="shared" si="12"/>
        <v>0.14285714285714302</v>
      </c>
      <c r="P39" s="3">
        <v>55.54392617316018</v>
      </c>
      <c r="Q39" s="66">
        <f t="shared" si="13"/>
        <v>-0.11111111111111105</v>
      </c>
      <c r="R39" s="42">
        <v>43.200831468013469</v>
      </c>
      <c r="S39" s="68">
        <f t="shared" si="14"/>
        <v>0.20000000000000018</v>
      </c>
      <c r="T39" s="3">
        <f t="shared" si="5"/>
        <v>58.321122481818186</v>
      </c>
      <c r="U39" s="42"/>
      <c r="V39" s="67">
        <f t="shared" si="10"/>
        <v>-0.16666666666666652</v>
      </c>
      <c r="W39" s="3">
        <v>14.463227030519816</v>
      </c>
      <c r="X39" s="42"/>
      <c r="Y39" s="66">
        <f t="shared" si="15"/>
        <v>0.15384615384615374</v>
      </c>
      <c r="Z39" s="3">
        <v>56.078002386363629</v>
      </c>
      <c r="AA39" s="3"/>
      <c r="AB39" s="3"/>
      <c r="AC39"/>
      <c r="AD39"/>
    </row>
    <row r="40" spans="1:30" x14ac:dyDescent="0.25">
      <c r="A40" s="4">
        <v>2010</v>
      </c>
      <c r="B40" s="4" t="s">
        <v>18</v>
      </c>
      <c r="C40" s="4" t="s">
        <v>60</v>
      </c>
      <c r="D40" s="4" t="s">
        <v>149</v>
      </c>
      <c r="E40" s="41">
        <v>48.710876737213169</v>
      </c>
      <c r="F40" s="58">
        <v>1.6976472124197679</v>
      </c>
      <c r="G40" s="43">
        <v>17.671516072670382</v>
      </c>
      <c r="H40" s="66">
        <f>I40/E40-1</f>
        <v>0.70000000000000018</v>
      </c>
      <c r="I40" s="41">
        <v>82.808490453262394</v>
      </c>
      <c r="J40" s="66">
        <f t="shared" si="11"/>
        <v>-0.26086956521739124</v>
      </c>
      <c r="K40" s="43">
        <v>36.00369150141843</v>
      </c>
      <c r="L40" s="53"/>
      <c r="M40" s="41"/>
      <c r="N40" s="43"/>
      <c r="O40" s="66">
        <f t="shared" si="12"/>
        <v>0.14285714285714302</v>
      </c>
      <c r="P40" s="41">
        <v>55.669573413957913</v>
      </c>
      <c r="Q40" s="66">
        <f t="shared" si="13"/>
        <v>-0.11111111111111116</v>
      </c>
      <c r="R40" s="43">
        <v>43.29855709974504</v>
      </c>
      <c r="S40" s="68">
        <f t="shared" si="14"/>
        <v>0.19999999999999996</v>
      </c>
      <c r="T40" s="3">
        <f t="shared" si="5"/>
        <v>58.453052084655802</v>
      </c>
      <c r="U40" s="43"/>
      <c r="V40" s="67">
        <f t="shared" si="10"/>
        <v>-0.16666666666666652</v>
      </c>
      <c r="W40" s="41">
        <v>14.726263393891987</v>
      </c>
      <c r="X40" s="43"/>
      <c r="Y40" s="66">
        <f t="shared" si="15"/>
        <v>0.15384615384615374</v>
      </c>
      <c r="Z40" s="41">
        <v>56.204857773707502</v>
      </c>
      <c r="AA40" s="3"/>
      <c r="AB40" s="3"/>
      <c r="AC40"/>
      <c r="AD40"/>
    </row>
    <row r="41" spans="1:30" x14ac:dyDescent="0.25">
      <c r="A41" s="4">
        <v>2015</v>
      </c>
      <c r="B41" s="4" t="s">
        <v>18</v>
      </c>
      <c r="C41" s="4" t="s">
        <v>60</v>
      </c>
      <c r="D41" s="4" t="s">
        <v>49</v>
      </c>
      <c r="E41" s="3">
        <v>44.279627623069381</v>
      </c>
      <c r="F41" s="57">
        <v>1.3344010247288209</v>
      </c>
      <c r="G41" s="42">
        <v>22.481997123838127</v>
      </c>
      <c r="H41" s="66">
        <f t="shared" si="16"/>
        <v>0.7</v>
      </c>
      <c r="I41" s="3">
        <v>75.275366959217948</v>
      </c>
      <c r="J41" s="66">
        <f t="shared" si="11"/>
        <v>-0.26086956521739124</v>
      </c>
      <c r="K41" s="42">
        <v>32.728420417051282</v>
      </c>
      <c r="L41" s="44"/>
      <c r="M41" s="3"/>
      <c r="N41" s="42"/>
      <c r="O41" s="66">
        <f t="shared" si="12"/>
        <v>0.14285714285714302</v>
      </c>
      <c r="P41" s="3">
        <v>50.6052887120793</v>
      </c>
      <c r="Q41" s="66">
        <f t="shared" si="13"/>
        <v>-0.11111111111111116</v>
      </c>
      <c r="R41" s="42">
        <v>39.359668998283894</v>
      </c>
      <c r="S41" s="68">
        <f t="shared" si="14"/>
        <v>0.20000000000000018</v>
      </c>
      <c r="T41" s="3">
        <f t="shared" si="5"/>
        <v>53.135553147683261</v>
      </c>
      <c r="U41" s="42"/>
      <c r="V41" s="67">
        <f t="shared" si="10"/>
        <v>-0.16666666666666663</v>
      </c>
      <c r="W41" s="3">
        <v>18.73499760319844</v>
      </c>
      <c r="X41" s="42"/>
      <c r="Y41" s="66">
        <f t="shared" si="15"/>
        <v>0.15384615384615374</v>
      </c>
      <c r="Z41" s="3">
        <v>51.09187802661851</v>
      </c>
      <c r="AA41" s="3"/>
      <c r="AB41" s="3"/>
      <c r="AC41"/>
      <c r="AD41"/>
    </row>
    <row r="42" spans="1:30" x14ac:dyDescent="0.25">
      <c r="A42" s="4">
        <v>2015</v>
      </c>
      <c r="B42" s="4" t="s">
        <v>18</v>
      </c>
      <c r="C42" s="4" t="s">
        <v>60</v>
      </c>
      <c r="D42" s="4" t="s">
        <v>51</v>
      </c>
      <c r="E42" s="3">
        <v>37.665979217635751</v>
      </c>
      <c r="F42" s="57">
        <v>1.322177877637795</v>
      </c>
      <c r="G42" s="42">
        <v>22.689836600199396</v>
      </c>
      <c r="H42" s="66">
        <f t="shared" si="16"/>
        <v>0.7</v>
      </c>
      <c r="I42" s="3">
        <v>64.032164669980773</v>
      </c>
      <c r="J42" s="66">
        <f t="shared" si="11"/>
        <v>-0.26086956521739124</v>
      </c>
      <c r="K42" s="42">
        <v>27.840071595643817</v>
      </c>
      <c r="L42" s="44"/>
      <c r="M42" s="3"/>
      <c r="N42" s="42"/>
      <c r="O42" s="66">
        <f t="shared" si="12"/>
        <v>0.14285714285714302</v>
      </c>
      <c r="P42" s="3">
        <v>43.046833391583718</v>
      </c>
      <c r="Q42" s="66">
        <f t="shared" si="13"/>
        <v>-0.11111111111111116</v>
      </c>
      <c r="R42" s="42">
        <v>33.480870415676222</v>
      </c>
      <c r="S42" s="68">
        <f t="shared" si="14"/>
        <v>0.20000000000000018</v>
      </c>
      <c r="T42" s="3">
        <f t="shared" si="5"/>
        <v>45.199175061162904</v>
      </c>
      <c r="U42" s="42"/>
      <c r="V42" s="67">
        <f t="shared" si="10"/>
        <v>-0.16666666666666674</v>
      </c>
      <c r="W42" s="3">
        <v>18.908197166832828</v>
      </c>
      <c r="X42" s="42"/>
      <c r="Y42" s="66">
        <f t="shared" si="15"/>
        <v>0.15384615384615374</v>
      </c>
      <c r="Z42" s="3">
        <v>43.460745251118169</v>
      </c>
      <c r="AA42" s="3"/>
      <c r="AB42" s="3"/>
      <c r="AC42"/>
      <c r="AD42"/>
    </row>
    <row r="43" spans="1:30" x14ac:dyDescent="0.25">
      <c r="A43" s="4">
        <v>2015</v>
      </c>
      <c r="B43" s="4" t="s">
        <v>18</v>
      </c>
      <c r="C43" s="4" t="s">
        <v>60</v>
      </c>
      <c r="D43" s="4" t="s">
        <v>56</v>
      </c>
      <c r="E43" s="3">
        <v>36.575767095482661</v>
      </c>
      <c r="F43" s="57">
        <v>1.5065347411201002</v>
      </c>
      <c r="G43" s="42">
        <v>19.91324805274332</v>
      </c>
      <c r="H43" s="66">
        <f t="shared" si="16"/>
        <v>0.7</v>
      </c>
      <c r="I43" s="3">
        <v>62.178804062320523</v>
      </c>
      <c r="J43" s="66">
        <f t="shared" si="11"/>
        <v>-0.26086956521739135</v>
      </c>
      <c r="K43" s="42">
        <v>27.034262635791531</v>
      </c>
      <c r="L43" s="44"/>
      <c r="M43" s="3"/>
      <c r="N43" s="42"/>
      <c r="O43" s="66">
        <f t="shared" si="12"/>
        <v>0.14285714285714302</v>
      </c>
      <c r="P43" s="3">
        <v>41.800876680551617</v>
      </c>
      <c r="Q43" s="66">
        <f t="shared" si="13"/>
        <v>-0.11111111111111127</v>
      </c>
      <c r="R43" s="42">
        <v>32.511792973762361</v>
      </c>
      <c r="S43" s="68">
        <f t="shared" si="14"/>
        <v>0.19999999999999996</v>
      </c>
      <c r="T43" s="3">
        <f t="shared" si="5"/>
        <v>43.890920514579193</v>
      </c>
      <c r="U43" s="42"/>
      <c r="V43" s="67">
        <f t="shared" si="10"/>
        <v>-0.16666666666666663</v>
      </c>
      <c r="W43" s="3">
        <v>16.5943733772861</v>
      </c>
      <c r="X43" s="42"/>
      <c r="Y43" s="66">
        <f t="shared" si="15"/>
        <v>0.15384615384615397</v>
      </c>
      <c r="Z43" s="3">
        <v>42.202808187095378</v>
      </c>
      <c r="AA43" s="3"/>
      <c r="AB43" s="3"/>
      <c r="AC43"/>
      <c r="AD43"/>
    </row>
    <row r="44" spans="1:30" x14ac:dyDescent="0.25">
      <c r="A44" s="4">
        <v>2015</v>
      </c>
      <c r="B44" s="4" t="s">
        <v>18</v>
      </c>
      <c r="C44" s="4" t="s">
        <v>60</v>
      </c>
      <c r="D44" s="4" t="s">
        <v>52</v>
      </c>
      <c r="E44" s="3">
        <v>33.51025874811463</v>
      </c>
      <c r="F44" s="57">
        <v>1.3026453087827021</v>
      </c>
      <c r="G44" s="42">
        <v>23.030060291726258</v>
      </c>
      <c r="H44" s="66">
        <f t="shared" si="16"/>
        <v>0.7</v>
      </c>
      <c r="I44" s="3">
        <v>56.967439871794873</v>
      </c>
      <c r="J44" s="66">
        <f t="shared" si="11"/>
        <v>-0.26086956521739124</v>
      </c>
      <c r="K44" s="42">
        <v>24.768452118171684</v>
      </c>
      <c r="L44" s="44"/>
      <c r="M44" s="3"/>
      <c r="N44" s="42"/>
      <c r="O44" s="66">
        <f t="shared" si="12"/>
        <v>0.14285714285714302</v>
      </c>
      <c r="P44" s="3">
        <v>38.297438569273865</v>
      </c>
      <c r="Q44" s="66">
        <f t="shared" si="13"/>
        <v>-0.11111111111111105</v>
      </c>
      <c r="R44" s="42">
        <v>29.786896664990785</v>
      </c>
      <c r="S44" s="68">
        <f t="shared" si="14"/>
        <v>0.19999999999999996</v>
      </c>
      <c r="T44" s="3">
        <f t="shared" si="5"/>
        <v>40.212310497737555</v>
      </c>
      <c r="U44" s="42"/>
      <c r="V44" s="67">
        <f t="shared" si="10"/>
        <v>-0.16666666666666674</v>
      </c>
      <c r="W44" s="3">
        <v>19.19171690977188</v>
      </c>
      <c r="X44" s="42"/>
      <c r="Y44" s="66">
        <f t="shared" si="15"/>
        <v>0.15384615384615374</v>
      </c>
      <c r="Z44" s="3">
        <v>38.665683170901495</v>
      </c>
      <c r="AA44" s="3"/>
      <c r="AB44" s="3"/>
      <c r="AC44"/>
      <c r="AD44"/>
    </row>
    <row r="45" spans="1:30" x14ac:dyDescent="0.25">
      <c r="A45" s="4">
        <v>2015</v>
      </c>
      <c r="B45" s="4" t="s">
        <v>18</v>
      </c>
      <c r="C45" s="4" t="s">
        <v>60</v>
      </c>
      <c r="D45" s="4" t="s">
        <v>53</v>
      </c>
      <c r="E45" s="3">
        <v>42.453570333212674</v>
      </c>
      <c r="F45" s="57">
        <v>1.4349675944055451</v>
      </c>
      <c r="G45" s="42">
        <v>20.906395459353845</v>
      </c>
      <c r="H45" s="66">
        <f t="shared" si="16"/>
        <v>0.70000000000000018</v>
      </c>
      <c r="I45" s="3">
        <v>72.171069566461554</v>
      </c>
      <c r="J45" s="66">
        <f t="shared" si="11"/>
        <v>-0.26086956521739124</v>
      </c>
      <c r="K45" s="42">
        <v>31.378725898461543</v>
      </c>
      <c r="L45" s="44"/>
      <c r="M45" s="3"/>
      <c r="N45" s="42"/>
      <c r="O45" s="66">
        <f t="shared" si="12"/>
        <v>0.14285714285714302</v>
      </c>
      <c r="P45" s="3">
        <v>48.518366095100205</v>
      </c>
      <c r="Q45" s="66">
        <f t="shared" si="13"/>
        <v>-0.11111111111111105</v>
      </c>
      <c r="R45" s="42">
        <v>37.736506962855714</v>
      </c>
      <c r="S45" s="68">
        <f t="shared" si="14"/>
        <v>0.19999999999999996</v>
      </c>
      <c r="T45" s="3">
        <f t="shared" si="5"/>
        <v>50.944284399855206</v>
      </c>
      <c r="U45" s="42"/>
      <c r="V45" s="67">
        <f t="shared" si="10"/>
        <v>-0.16666666666666674</v>
      </c>
      <c r="W45" s="3">
        <v>17.421996216128203</v>
      </c>
      <c r="X45" s="42"/>
      <c r="Y45" s="66">
        <f t="shared" si="15"/>
        <v>0.15384615384615374</v>
      </c>
      <c r="Z45" s="3">
        <v>48.98488884601462</v>
      </c>
      <c r="AA45" s="3"/>
      <c r="AB45" s="3"/>
      <c r="AC45"/>
      <c r="AD45"/>
    </row>
    <row r="46" spans="1:30" x14ac:dyDescent="0.25">
      <c r="A46" s="4">
        <v>2015</v>
      </c>
      <c r="B46" s="4" t="s">
        <v>18</v>
      </c>
      <c r="C46" s="4" t="s">
        <v>60</v>
      </c>
      <c r="D46" s="4" t="s">
        <v>54</v>
      </c>
      <c r="E46" s="3">
        <v>40.551149713800903</v>
      </c>
      <c r="F46" s="57">
        <v>1.4388498281065718</v>
      </c>
      <c r="G46" s="42">
        <v>20.849986853372982</v>
      </c>
      <c r="H46" s="66">
        <f t="shared" si="16"/>
        <v>0.69999999999999973</v>
      </c>
      <c r="I46" s="3">
        <v>68.936954513461529</v>
      </c>
      <c r="J46" s="66">
        <f t="shared" si="11"/>
        <v>-0.26086956521739135</v>
      </c>
      <c r="K46" s="42">
        <v>29.972588918896317</v>
      </c>
      <c r="L46" s="44"/>
      <c r="M46" s="3"/>
      <c r="N46" s="42"/>
      <c r="O46" s="66">
        <f t="shared" si="12"/>
        <v>0.14285714285714302</v>
      </c>
      <c r="P46" s="3">
        <v>46.344171101486751</v>
      </c>
      <c r="Q46" s="66">
        <f t="shared" si="13"/>
        <v>-0.11111111111111105</v>
      </c>
      <c r="R46" s="42">
        <v>36.045466412267473</v>
      </c>
      <c r="S46" s="68">
        <f t="shared" si="14"/>
        <v>0.19999999999999996</v>
      </c>
      <c r="T46" s="3">
        <f t="shared" si="5"/>
        <v>48.661379656561081</v>
      </c>
      <c r="U46" s="42"/>
      <c r="V46" s="67">
        <f t="shared" si="10"/>
        <v>-0.16666666666666674</v>
      </c>
      <c r="W46" s="3">
        <v>17.374989044477484</v>
      </c>
      <c r="X46" s="42"/>
      <c r="Y46" s="66">
        <f t="shared" si="15"/>
        <v>0.15384615384615374</v>
      </c>
      <c r="Z46" s="3">
        <v>46.789788131308732</v>
      </c>
      <c r="AA46" s="3"/>
      <c r="AB46" s="3"/>
      <c r="AC46"/>
      <c r="AD46"/>
    </row>
    <row r="47" spans="1:30" x14ac:dyDescent="0.25">
      <c r="A47" s="4">
        <v>2015</v>
      </c>
      <c r="B47" s="4" t="s">
        <v>18</v>
      </c>
      <c r="C47" s="4" t="s">
        <v>60</v>
      </c>
      <c r="D47" s="4" t="s">
        <v>149</v>
      </c>
      <c r="E47" s="41">
        <v>41.778802817666211</v>
      </c>
      <c r="F47" s="58">
        <v>1.3872091931539103</v>
      </c>
      <c r="G47" s="43">
        <v>21.626154258531873</v>
      </c>
      <c r="H47" s="66">
        <f t="shared" si="16"/>
        <v>0.70000000000000018</v>
      </c>
      <c r="I47" s="41">
        <v>71.023964790032565</v>
      </c>
      <c r="J47" s="66">
        <f t="shared" si="11"/>
        <v>-0.26086956521739124</v>
      </c>
      <c r="K47" s="43">
        <v>30.879984691318505</v>
      </c>
      <c r="L47" s="53"/>
      <c r="M47" s="41"/>
      <c r="N47" s="43"/>
      <c r="O47" s="66">
        <f t="shared" si="12"/>
        <v>0.14285714285714302</v>
      </c>
      <c r="P47" s="41">
        <v>47.747203220189967</v>
      </c>
      <c r="Q47" s="66">
        <f t="shared" si="13"/>
        <v>-0.11111111111111105</v>
      </c>
      <c r="R47" s="43">
        <v>37.1367136157033</v>
      </c>
      <c r="S47" s="68">
        <f t="shared" si="14"/>
        <v>0.19999999999999996</v>
      </c>
      <c r="T47" s="3">
        <f t="shared" si="5"/>
        <v>50.134563381199449</v>
      </c>
      <c r="U47" s="43"/>
      <c r="V47" s="67">
        <f t="shared" si="10"/>
        <v>-0.16666666666666652</v>
      </c>
      <c r="W47" s="41">
        <v>18.02179521544323</v>
      </c>
      <c r="X47" s="43"/>
      <c r="Y47" s="66">
        <f t="shared" si="15"/>
        <v>0.15384615384615374</v>
      </c>
      <c r="Z47" s="41">
        <v>48.206310943461006</v>
      </c>
      <c r="AA47" s="3"/>
      <c r="AB47" s="3"/>
      <c r="AC47"/>
      <c r="AD47"/>
    </row>
    <row r="48" spans="1:30" x14ac:dyDescent="0.25">
      <c r="A48" s="4">
        <v>2020</v>
      </c>
      <c r="B48" s="4" t="s">
        <v>18</v>
      </c>
      <c r="C48" s="4" t="s">
        <v>60</v>
      </c>
      <c r="D48" s="4" t="s">
        <v>49</v>
      </c>
      <c r="E48" s="3">
        <v>36.461374985745103</v>
      </c>
      <c r="F48" s="57">
        <v>1.1389752245839881</v>
      </c>
      <c r="G48" s="42">
        <v>26.339466699951732</v>
      </c>
      <c r="H48" s="66">
        <f t="shared" si="16"/>
        <v>0.7</v>
      </c>
      <c r="I48" s="3">
        <v>61.984337475766672</v>
      </c>
      <c r="J48" s="66">
        <f t="shared" si="11"/>
        <v>-0.26086956521739135</v>
      </c>
      <c r="K48" s="42">
        <v>26.949711945985509</v>
      </c>
      <c r="L48" s="44"/>
      <c r="M48" s="3"/>
      <c r="N48" s="42"/>
      <c r="O48" s="66">
        <f t="shared" si="12"/>
        <v>0.14285714285714302</v>
      </c>
      <c r="P48" s="3">
        <v>41.670142840851554</v>
      </c>
      <c r="Q48" s="66">
        <f t="shared" si="13"/>
        <v>-0.11111111111111116</v>
      </c>
      <c r="R48" s="42">
        <v>32.41011109844009</v>
      </c>
      <c r="S48" s="68">
        <f t="shared" si="14"/>
        <v>0.19999999999999996</v>
      </c>
      <c r="T48" s="3">
        <f t="shared" si="5"/>
        <v>43.753649982894125</v>
      </c>
      <c r="U48" s="42"/>
      <c r="V48" s="67">
        <f t="shared" si="10"/>
        <v>-0.16666666666666674</v>
      </c>
      <c r="W48" s="3">
        <v>21.949555583293108</v>
      </c>
      <c r="X48" s="42"/>
      <c r="Y48" s="66">
        <f t="shared" si="15"/>
        <v>0.15384615384615374</v>
      </c>
      <c r="Z48" s="3">
        <v>42.070817291244346</v>
      </c>
      <c r="AA48" s="3"/>
      <c r="AB48" s="3"/>
      <c r="AC48"/>
      <c r="AD48"/>
    </row>
    <row r="49" spans="1:30" x14ac:dyDescent="0.25">
      <c r="A49" s="4">
        <v>2020</v>
      </c>
      <c r="B49" s="4" t="s">
        <v>18</v>
      </c>
      <c r="C49" s="4" t="s">
        <v>60</v>
      </c>
      <c r="D49" s="4" t="s">
        <v>56</v>
      </c>
      <c r="E49" s="3">
        <v>30.803290633078433</v>
      </c>
      <c r="F49" s="57">
        <v>1.2762314252944396</v>
      </c>
      <c r="G49" s="42">
        <v>23.506708427179415</v>
      </c>
      <c r="H49" s="66">
        <f t="shared" si="16"/>
        <v>0.7</v>
      </c>
      <c r="I49" s="3">
        <v>52.365594076233336</v>
      </c>
      <c r="J49" s="66">
        <f t="shared" si="11"/>
        <v>-0.26086956521739135</v>
      </c>
      <c r="K49" s="42">
        <v>22.767649598362318</v>
      </c>
      <c r="L49" s="44"/>
      <c r="M49" s="3"/>
      <c r="N49" s="42"/>
      <c r="O49" s="66">
        <f t="shared" si="12"/>
        <v>0.14285714285714279</v>
      </c>
      <c r="P49" s="3">
        <v>35.203760723518208</v>
      </c>
      <c r="Q49" s="66">
        <f t="shared" si="13"/>
        <v>-0.11111111111111105</v>
      </c>
      <c r="R49" s="42">
        <v>27.380702784958608</v>
      </c>
      <c r="S49" s="68">
        <f t="shared" si="14"/>
        <v>0.19999999999999996</v>
      </c>
      <c r="T49" s="3">
        <f t="shared" si="5"/>
        <v>36.963948759694119</v>
      </c>
      <c r="U49" s="42"/>
      <c r="V49" s="67">
        <f t="shared" si="10"/>
        <v>-0.16666666666666674</v>
      </c>
      <c r="W49" s="3">
        <v>19.588923689316179</v>
      </c>
      <c r="X49" s="42"/>
      <c r="Y49" s="66">
        <f t="shared" si="15"/>
        <v>0.15384615384615397</v>
      </c>
      <c r="Z49" s="3">
        <v>35.542258422782808</v>
      </c>
      <c r="AA49" s="3"/>
      <c r="AB49" s="3"/>
      <c r="AC49"/>
      <c r="AD49"/>
    </row>
    <row r="50" spans="1:30" x14ac:dyDescent="0.25">
      <c r="A50" s="4">
        <v>2020</v>
      </c>
      <c r="B50" s="4" t="s">
        <v>18</v>
      </c>
      <c r="C50" s="4" t="s">
        <v>60</v>
      </c>
      <c r="D50" s="4" t="s">
        <v>53</v>
      </c>
      <c r="E50" s="3">
        <v>36.331422720156866</v>
      </c>
      <c r="F50" s="57">
        <v>1.2182851710125511</v>
      </c>
      <c r="G50" s="42">
        <v>24.624776459411514</v>
      </c>
      <c r="H50" s="66">
        <f t="shared" si="16"/>
        <v>0.7</v>
      </c>
      <c r="I50" s="3">
        <v>61.76341862426667</v>
      </c>
      <c r="J50" s="66">
        <f t="shared" si="11"/>
        <v>-0.26086956521739135</v>
      </c>
      <c r="K50" s="42">
        <v>26.853660271420292</v>
      </c>
      <c r="L50" s="44"/>
      <c r="M50" s="3"/>
      <c r="N50" s="42"/>
      <c r="O50" s="66">
        <f t="shared" si="12"/>
        <v>0.14285714285714302</v>
      </c>
      <c r="P50" s="3">
        <v>41.521625965893563</v>
      </c>
      <c r="Q50" s="66">
        <f t="shared" si="13"/>
        <v>-0.11111111111111116</v>
      </c>
      <c r="R50" s="42">
        <v>32.294597973472769</v>
      </c>
      <c r="S50" s="68">
        <f t="shared" si="14"/>
        <v>0.19999999999999996</v>
      </c>
      <c r="T50" s="3">
        <f t="shared" si="5"/>
        <v>43.597707264188237</v>
      </c>
      <c r="U50" s="42"/>
      <c r="V50" s="67">
        <f t="shared" si="10"/>
        <v>-0.16666666666666663</v>
      </c>
      <c r="W50" s="3">
        <v>20.520647049509595</v>
      </c>
      <c r="X50" s="42"/>
      <c r="Y50" s="66">
        <f t="shared" si="15"/>
        <v>0.15384615384615374</v>
      </c>
      <c r="Z50" s="3">
        <v>41.920872369411768</v>
      </c>
      <c r="AA50" s="3"/>
      <c r="AB50" s="3"/>
      <c r="AC50"/>
      <c r="AD50"/>
    </row>
    <row r="51" spans="1:30" x14ac:dyDescent="0.25">
      <c r="A51" s="4">
        <v>2020</v>
      </c>
      <c r="B51" s="4" t="s">
        <v>18</v>
      </c>
      <c r="C51" s="4" t="s">
        <v>60</v>
      </c>
      <c r="D51" s="4" t="s">
        <v>57</v>
      </c>
      <c r="E51" s="3">
        <v>26.457857976725485</v>
      </c>
      <c r="F51" s="57">
        <v>1.0950012998360239</v>
      </c>
      <c r="G51" s="42">
        <v>27.397227751686223</v>
      </c>
      <c r="H51" s="66">
        <f t="shared" si="16"/>
        <v>0.70000000000000018</v>
      </c>
      <c r="I51" s="3">
        <v>44.978358560433328</v>
      </c>
      <c r="J51" s="66">
        <f t="shared" si="11"/>
        <v>-0.26086956521739124</v>
      </c>
      <c r="K51" s="42">
        <v>19.555808069753621</v>
      </c>
      <c r="L51" s="44"/>
      <c r="M51" s="3"/>
      <c r="N51" s="42"/>
      <c r="O51" s="66">
        <f t="shared" si="12"/>
        <v>0.14285714285714302</v>
      </c>
      <c r="P51" s="3">
        <v>30.237551973400556</v>
      </c>
      <c r="Q51" s="66">
        <f t="shared" si="13"/>
        <v>-0.11111111111111105</v>
      </c>
      <c r="R51" s="42">
        <v>23.518095979311543</v>
      </c>
      <c r="S51" s="68">
        <f t="shared" si="14"/>
        <v>0.19999999999999996</v>
      </c>
      <c r="T51" s="3">
        <f t="shared" si="5"/>
        <v>31.749429572070582</v>
      </c>
      <c r="U51" s="42"/>
      <c r="V51" s="67">
        <f t="shared" si="10"/>
        <v>-0.16666666666666674</v>
      </c>
      <c r="W51" s="3">
        <v>22.831023126405185</v>
      </c>
      <c r="X51" s="42"/>
      <c r="Y51" s="66">
        <f t="shared" si="15"/>
        <v>0.15384615384615374</v>
      </c>
      <c r="Z51" s="3">
        <v>30.528297665452481</v>
      </c>
      <c r="AA51" s="3"/>
      <c r="AB51" s="3"/>
      <c r="AC51"/>
      <c r="AD51"/>
    </row>
    <row r="52" spans="1:30" x14ac:dyDescent="0.25">
      <c r="A52" s="4">
        <v>2020</v>
      </c>
      <c r="B52" s="4" t="s">
        <v>18</v>
      </c>
      <c r="C52" s="4" t="s">
        <v>60</v>
      </c>
      <c r="D52" s="4" t="s">
        <v>58</v>
      </c>
      <c r="E52" s="3">
        <v>31.414055605457513</v>
      </c>
      <c r="F52" s="57">
        <v>1.0983780598732134</v>
      </c>
      <c r="G52" s="42">
        <v>27.313000046143422</v>
      </c>
      <c r="H52" s="66">
        <f t="shared" si="16"/>
        <v>0.7</v>
      </c>
      <c r="I52" s="3">
        <v>53.403894529277771</v>
      </c>
      <c r="J52" s="66">
        <f t="shared" si="11"/>
        <v>-0.26086956521739124</v>
      </c>
      <c r="K52" s="42">
        <v>23.219084577946859</v>
      </c>
      <c r="L52" s="44"/>
      <c r="M52" s="3"/>
      <c r="N52" s="42"/>
      <c r="O52" s="66">
        <f t="shared" si="12"/>
        <v>0.14285714285714302</v>
      </c>
      <c r="P52" s="3">
        <v>35.901777834808591</v>
      </c>
      <c r="Q52" s="66">
        <f t="shared" si="13"/>
        <v>-0.11111111111111105</v>
      </c>
      <c r="R52" s="42">
        <v>27.923604982628902</v>
      </c>
      <c r="S52" s="68">
        <f t="shared" si="14"/>
        <v>0.20000000000000018</v>
      </c>
      <c r="T52" s="3">
        <f t="shared" si="5"/>
        <v>37.696866726549018</v>
      </c>
      <c r="U52" s="42"/>
      <c r="V52" s="67">
        <f t="shared" si="10"/>
        <v>-0.16666666666666674</v>
      </c>
      <c r="W52" s="3">
        <v>22.760833371786184</v>
      </c>
      <c r="X52" s="42"/>
      <c r="Y52" s="66">
        <f t="shared" si="15"/>
        <v>0.15384615384615374</v>
      </c>
      <c r="Z52" s="3">
        <v>36.246987237066357</v>
      </c>
      <c r="AA52" s="3"/>
      <c r="AB52" s="3"/>
      <c r="AC52"/>
      <c r="AD52"/>
    </row>
    <row r="53" spans="1:30" x14ac:dyDescent="0.25">
      <c r="A53" s="4">
        <v>2020</v>
      </c>
      <c r="B53" s="4" t="s">
        <v>18</v>
      </c>
      <c r="C53" s="4" t="s">
        <v>60</v>
      </c>
      <c r="D53" s="4" t="s">
        <v>59</v>
      </c>
      <c r="E53" s="3">
        <v>30.673621075637254</v>
      </c>
      <c r="F53" s="57">
        <v>1.0527593685153502</v>
      </c>
      <c r="G53" s="42">
        <v>28.496540517428386</v>
      </c>
      <c r="H53" s="66">
        <f t="shared" si="16"/>
        <v>0.7</v>
      </c>
      <c r="I53" s="3">
        <v>52.145155828583327</v>
      </c>
      <c r="J53" s="66">
        <f t="shared" si="11"/>
        <v>-0.26086956521739135</v>
      </c>
      <c r="K53" s="42">
        <v>22.671806881992751</v>
      </c>
      <c r="L53" s="44"/>
      <c r="M53" s="3"/>
      <c r="N53" s="42"/>
      <c r="O53" s="66">
        <f t="shared" si="12"/>
        <v>0.14285714285714302</v>
      </c>
      <c r="P53" s="3">
        <v>35.05556694358544</v>
      </c>
      <c r="Q53" s="66">
        <f t="shared" si="13"/>
        <v>-0.11111111111111105</v>
      </c>
      <c r="R53" s="42">
        <v>27.265440956122006</v>
      </c>
      <c r="S53" s="68">
        <f t="shared" si="14"/>
        <v>0.19999999999999996</v>
      </c>
      <c r="T53" s="3">
        <f t="shared" si="5"/>
        <v>36.808345290764706</v>
      </c>
      <c r="U53" s="42"/>
      <c r="V53" s="67">
        <f t="shared" si="10"/>
        <v>-0.16666666666666674</v>
      </c>
      <c r="W53" s="3">
        <v>23.747117097856986</v>
      </c>
      <c r="X53" s="42"/>
      <c r="Y53" s="66">
        <f t="shared" si="15"/>
        <v>0.15384615384615397</v>
      </c>
      <c r="Z53" s="3">
        <v>35.392639702658371</v>
      </c>
      <c r="AA53" s="3"/>
      <c r="AB53" s="3"/>
      <c r="AC53"/>
      <c r="AD53"/>
    </row>
    <row r="54" spans="1:30" x14ac:dyDescent="0.25">
      <c r="A54" s="4">
        <v>2020</v>
      </c>
      <c r="B54" s="4" t="s">
        <v>18</v>
      </c>
      <c r="C54" s="4" t="s">
        <v>60</v>
      </c>
      <c r="D54" s="4" t="s">
        <v>149</v>
      </c>
      <c r="E54" s="41">
        <v>33.375733115789906</v>
      </c>
      <c r="F54" s="58">
        <v>1.1572114585147146</v>
      </c>
      <c r="G54" s="43">
        <v>25.924388994994153</v>
      </c>
      <c r="H54" s="66">
        <f t="shared" si="16"/>
        <v>0.69999999999999973</v>
      </c>
      <c r="I54" s="41">
        <v>56.738746296842834</v>
      </c>
      <c r="J54" s="66">
        <f t="shared" si="11"/>
        <v>-0.26086956521739124</v>
      </c>
      <c r="K54" s="43">
        <v>24.669020129062105</v>
      </c>
      <c r="L54" s="53"/>
      <c r="M54" s="41"/>
      <c r="N54" s="43"/>
      <c r="O54" s="66">
        <f t="shared" si="12"/>
        <v>0.14285714285714302</v>
      </c>
      <c r="P54" s="41">
        <v>38.143694989474184</v>
      </c>
      <c r="Q54" s="66">
        <f t="shared" si="13"/>
        <v>-0.11111111111111105</v>
      </c>
      <c r="R54" s="43">
        <v>29.667318325146585</v>
      </c>
      <c r="S54" s="68">
        <f t="shared" si="14"/>
        <v>0.19999999999999996</v>
      </c>
      <c r="T54" s="3">
        <f t="shared" si="5"/>
        <v>40.050879738947884</v>
      </c>
      <c r="U54" s="43"/>
      <c r="V54" s="67">
        <f t="shared" si="10"/>
        <v>-0.16666666666666663</v>
      </c>
      <c r="W54" s="41">
        <v>21.603657495828461</v>
      </c>
      <c r="X54" s="43"/>
      <c r="Y54" s="66">
        <f t="shared" si="15"/>
        <v>0.15384615384615374</v>
      </c>
      <c r="Z54" s="41">
        <v>38.510461287449886</v>
      </c>
      <c r="AA54" s="3"/>
      <c r="AB54" s="3"/>
      <c r="AC54"/>
      <c r="AD54"/>
    </row>
    <row r="55" spans="1:30" x14ac:dyDescent="0.25">
      <c r="A55" s="4">
        <v>2020</v>
      </c>
      <c r="B55" s="4" t="s">
        <v>47</v>
      </c>
      <c r="C55" s="4" t="s">
        <v>60</v>
      </c>
      <c r="D55" s="4" t="s">
        <v>48</v>
      </c>
      <c r="E55" s="41">
        <v>25.87089705882353</v>
      </c>
      <c r="F55" s="58">
        <v>1.1162650024884118</v>
      </c>
      <c r="G55" s="43">
        <v>26.8753386813374</v>
      </c>
      <c r="H55" s="66">
        <f t="shared" si="16"/>
        <v>0.7</v>
      </c>
      <c r="I55" s="41">
        <v>43.980525</v>
      </c>
      <c r="J55" s="66">
        <f t="shared" si="11"/>
        <v>-0.26086956521739135</v>
      </c>
      <c r="K55" s="43">
        <v>19.121967391304349</v>
      </c>
      <c r="L55" s="53"/>
      <c r="M55" s="41"/>
      <c r="N55" s="43"/>
      <c r="O55" s="66">
        <f t="shared" si="12"/>
        <v>0.14285714285714302</v>
      </c>
      <c r="P55" s="41">
        <v>29.566739495798323</v>
      </c>
      <c r="Q55" s="66">
        <f t="shared" si="13"/>
        <v>-0.11111111111111105</v>
      </c>
      <c r="R55" s="43">
        <v>22.996352941176472</v>
      </c>
      <c r="S55" s="68">
        <f t="shared" si="14"/>
        <v>0.20000000000000018</v>
      </c>
      <c r="T55" s="3">
        <f t="shared" si="5"/>
        <v>31.045076470588238</v>
      </c>
      <c r="U55" s="43"/>
      <c r="V55" s="67">
        <f t="shared" si="10"/>
        <v>-0.16666666666666674</v>
      </c>
      <c r="W55" s="41">
        <v>22.396115567781166</v>
      </c>
      <c r="X55" s="43"/>
      <c r="Y55" s="66">
        <f t="shared" si="15"/>
        <v>0.15384615384615374</v>
      </c>
      <c r="Z55" s="41">
        <v>29.851035067873301</v>
      </c>
      <c r="AA55" s="3"/>
      <c r="AB55" s="3"/>
      <c r="AC55"/>
      <c r="AD55"/>
    </row>
    <row r="56" spans="1:30" x14ac:dyDescent="0.25">
      <c r="A56" s="4">
        <v>2025</v>
      </c>
      <c r="B56" s="4" t="s">
        <v>47</v>
      </c>
      <c r="C56" s="4" t="s">
        <v>60</v>
      </c>
      <c r="D56" s="4" t="s">
        <v>48</v>
      </c>
      <c r="E56" s="3">
        <v>24.339797385620916</v>
      </c>
      <c r="F56" s="57">
        <v>1.0637922562618825</v>
      </c>
      <c r="G56" s="42">
        <v>28.200994906109425</v>
      </c>
      <c r="H56" s="66">
        <f t="shared" si="16"/>
        <v>0.7</v>
      </c>
      <c r="I56" s="3">
        <v>41.377655555555556</v>
      </c>
      <c r="J56" s="66">
        <f t="shared" si="11"/>
        <v>-0.26086956521739135</v>
      </c>
      <c r="K56" s="42">
        <v>17.990285024154588</v>
      </c>
      <c r="L56" s="67">
        <f t="shared" ref="L56:L61" si="17">M56/F56-1</f>
        <v>1.3333333333333335</v>
      </c>
      <c r="M56" s="3">
        <v>2.4821819312777258</v>
      </c>
      <c r="N56" s="42"/>
      <c r="O56" s="66">
        <f t="shared" si="12"/>
        <v>0.14285714285714302</v>
      </c>
      <c r="P56" s="3">
        <v>27.816911297852478</v>
      </c>
      <c r="Q56" s="66">
        <f t="shared" si="13"/>
        <v>-0.11111111111111105</v>
      </c>
      <c r="R56" s="42">
        <v>21.63537545388526</v>
      </c>
      <c r="S56" s="68">
        <f t="shared" si="14"/>
        <v>0.19999999999999996</v>
      </c>
      <c r="T56" s="3">
        <f t="shared" si="5"/>
        <v>29.2077568627451</v>
      </c>
      <c r="U56" s="42"/>
      <c r="V56" s="67">
        <f t="shared" si="10"/>
        <v>-0.16666666666666674</v>
      </c>
      <c r="W56" s="3">
        <v>23.500829088424521</v>
      </c>
      <c r="X56" s="42"/>
      <c r="Y56" s="66">
        <f t="shared" si="15"/>
        <v>0.15384615384615374</v>
      </c>
      <c r="Z56" s="3">
        <v>28.08438159879336</v>
      </c>
      <c r="AA56" s="66">
        <f>AB56/$E56-1</f>
        <v>-0.16666666666666663</v>
      </c>
      <c r="AB56" s="3">
        <v>20.28316448801743</v>
      </c>
      <c r="AC56"/>
      <c r="AD56"/>
    </row>
    <row r="57" spans="1:30" x14ac:dyDescent="0.25">
      <c r="A57" s="4">
        <v>2030</v>
      </c>
      <c r="B57" s="4" t="s">
        <v>47</v>
      </c>
      <c r="C57" s="4" t="s">
        <v>60</v>
      </c>
      <c r="D57" s="4" t="s">
        <v>48</v>
      </c>
      <c r="E57" s="3">
        <v>24.010880718954247</v>
      </c>
      <c r="F57" s="57">
        <v>1.026163182041</v>
      </c>
      <c r="G57" s="42">
        <v>29.235116329481951</v>
      </c>
      <c r="H57" s="66">
        <f t="shared" si="16"/>
        <v>0.7</v>
      </c>
      <c r="I57" s="3">
        <v>40.81849722222222</v>
      </c>
      <c r="J57" s="66">
        <f t="shared" si="11"/>
        <v>-0.26086956521739135</v>
      </c>
      <c r="K57" s="42">
        <v>17.747172705314007</v>
      </c>
      <c r="L57" s="67">
        <f t="shared" si="17"/>
        <v>1.3333333333333335</v>
      </c>
      <c r="M57" s="3">
        <v>2.3943807580956666</v>
      </c>
      <c r="N57" s="42"/>
      <c r="O57" s="66">
        <f t="shared" si="12"/>
        <v>0.14285714285714302</v>
      </c>
      <c r="P57" s="3">
        <v>27.441006535947714</v>
      </c>
      <c r="Q57" s="66">
        <f t="shared" si="13"/>
        <v>-0.11111111111111116</v>
      </c>
      <c r="R57" s="42">
        <v>21.343005083514885</v>
      </c>
      <c r="S57" s="68">
        <f t="shared" si="14"/>
        <v>0.19999999999999996</v>
      </c>
      <c r="T57" s="3">
        <f t="shared" si="5"/>
        <v>28.813056862745096</v>
      </c>
      <c r="U57" s="42"/>
      <c r="V57" s="67">
        <f t="shared" si="10"/>
        <v>-0.16666666666666674</v>
      </c>
      <c r="W57" s="3">
        <v>24.362596941234958</v>
      </c>
      <c r="X57" s="42"/>
      <c r="Y57" s="66">
        <f t="shared" si="15"/>
        <v>0.15384615384615374</v>
      </c>
      <c r="Z57" s="3">
        <v>27.704862368024131</v>
      </c>
      <c r="AA57" s="66">
        <f t="shared" ref="AA57:AA61" si="18">AB57/$E57-1</f>
        <v>-0.16666666666666663</v>
      </c>
      <c r="AB57" s="3">
        <v>20.009067265795206</v>
      </c>
      <c r="AC57"/>
      <c r="AD57"/>
    </row>
    <row r="58" spans="1:30" x14ac:dyDescent="0.25">
      <c r="A58" s="4">
        <v>2035</v>
      </c>
      <c r="B58" s="4" t="s">
        <v>47</v>
      </c>
      <c r="C58" s="4" t="s">
        <v>60</v>
      </c>
      <c r="D58" s="4" t="s">
        <v>48</v>
      </c>
      <c r="E58" s="41">
        <v>23.427496732026142</v>
      </c>
      <c r="F58" s="58">
        <v>1.0023660837549706</v>
      </c>
      <c r="G58" s="43">
        <v>29.929185041473861</v>
      </c>
      <c r="H58" s="66">
        <f t="shared" si="16"/>
        <v>0.7</v>
      </c>
      <c r="I58" s="41">
        <v>39.826744444444444</v>
      </c>
      <c r="J58" s="66">
        <f t="shared" si="11"/>
        <v>-0.26086956521739135</v>
      </c>
      <c r="K58" s="43">
        <v>17.315975845410627</v>
      </c>
      <c r="L58" s="67">
        <f t="shared" si="17"/>
        <v>1.3333333333333335</v>
      </c>
      <c r="M58" s="41">
        <v>2.3388541954282647</v>
      </c>
      <c r="N58" s="43"/>
      <c r="O58" s="66">
        <f t="shared" si="12"/>
        <v>0.14285714285714302</v>
      </c>
      <c r="P58" s="41">
        <v>26.774281979458454</v>
      </c>
      <c r="Q58" s="66">
        <f t="shared" si="13"/>
        <v>-0.11111111111111094</v>
      </c>
      <c r="R58" s="43">
        <v>20.824441539578796</v>
      </c>
      <c r="S58" s="68">
        <f t="shared" si="14"/>
        <v>0.19999999999999996</v>
      </c>
      <c r="T58" s="3">
        <f t="shared" si="5"/>
        <v>28.112996078431369</v>
      </c>
      <c r="U58" s="43"/>
      <c r="V58" s="67">
        <f t="shared" si="10"/>
        <v>-0.16666666666666674</v>
      </c>
      <c r="W58" s="41">
        <v>24.94098753456155</v>
      </c>
      <c r="X58" s="43"/>
      <c r="Y58" s="66">
        <f t="shared" si="15"/>
        <v>0.15384615384615374</v>
      </c>
      <c r="Z58" s="41">
        <v>27.031726998491699</v>
      </c>
      <c r="AA58" s="66">
        <f t="shared" si="18"/>
        <v>-0.16666666666666674</v>
      </c>
      <c r="AB58" s="41">
        <v>19.522913943355118</v>
      </c>
      <c r="AC58"/>
      <c r="AD58"/>
    </row>
    <row r="59" spans="1:30" x14ac:dyDescent="0.25">
      <c r="A59" s="4">
        <v>2040</v>
      </c>
      <c r="B59" s="4" t="s">
        <v>47</v>
      </c>
      <c r="C59" s="4" t="s">
        <v>60</v>
      </c>
      <c r="D59" s="4" t="s">
        <v>48</v>
      </c>
      <c r="E59" s="3">
        <v>23.120246732026143</v>
      </c>
      <c r="F59" s="57">
        <v>0.98718156180344152</v>
      </c>
      <c r="G59" s="42">
        <v>30.389546523938545</v>
      </c>
      <c r="H59" s="66">
        <f t="shared" si="16"/>
        <v>0.7</v>
      </c>
      <c r="I59" s="3">
        <v>39.304419444444441</v>
      </c>
      <c r="J59" s="66">
        <f t="shared" si="11"/>
        <v>-0.26086956521739124</v>
      </c>
      <c r="K59" s="42">
        <v>17.088878019323673</v>
      </c>
      <c r="L59" s="67">
        <f t="shared" si="17"/>
        <v>1.333333333333333</v>
      </c>
      <c r="M59" s="3">
        <v>2.30342364420803</v>
      </c>
      <c r="N59" s="42"/>
      <c r="O59" s="66">
        <f t="shared" si="12"/>
        <v>0.14285714285714302</v>
      </c>
      <c r="P59" s="3">
        <v>26.423139122315593</v>
      </c>
      <c r="Q59" s="66">
        <f t="shared" si="13"/>
        <v>-0.11111111111111105</v>
      </c>
      <c r="R59" s="42">
        <v>20.551330428467683</v>
      </c>
      <c r="S59" s="68">
        <f t="shared" si="14"/>
        <v>0.19999999999999996</v>
      </c>
      <c r="T59" s="3">
        <f t="shared" si="5"/>
        <v>27.744296078431372</v>
      </c>
      <c r="U59" s="42"/>
      <c r="V59" s="67">
        <f t="shared" si="10"/>
        <v>-0.16666666666666685</v>
      </c>
      <c r="W59" s="3">
        <v>25.324622103282117</v>
      </c>
      <c r="X59" s="42"/>
      <c r="Y59" s="66">
        <f t="shared" si="15"/>
        <v>0.15384615384615374</v>
      </c>
      <c r="Z59" s="3">
        <v>26.677207767722471</v>
      </c>
      <c r="AA59" s="66">
        <f t="shared" si="18"/>
        <v>-0.16666666666666663</v>
      </c>
      <c r="AB59" s="3">
        <v>19.266872276688453</v>
      </c>
      <c r="AC59"/>
      <c r="AD59"/>
    </row>
    <row r="60" spans="1:30" x14ac:dyDescent="0.25">
      <c r="A60" s="4">
        <v>2045</v>
      </c>
      <c r="B60" s="4" t="s">
        <v>47</v>
      </c>
      <c r="C60" s="4" t="s">
        <v>60</v>
      </c>
      <c r="D60" s="4" t="s">
        <v>48</v>
      </c>
      <c r="E60" s="3">
        <v>22.82281045751634</v>
      </c>
      <c r="F60" s="57">
        <v>0.97392501116552943</v>
      </c>
      <c r="G60" s="42">
        <v>30.803192911226269</v>
      </c>
      <c r="H60" s="66">
        <f t="shared" si="16"/>
        <v>0.7</v>
      </c>
      <c r="I60" s="3">
        <v>38.798777777777779</v>
      </c>
      <c r="J60" s="66">
        <f t="shared" si="11"/>
        <v>-0.26086956521739124</v>
      </c>
      <c r="K60" s="42">
        <v>16.869033816425123</v>
      </c>
      <c r="L60" s="67">
        <f t="shared" si="17"/>
        <v>1.333333333333333</v>
      </c>
      <c r="M60" s="3">
        <v>2.2724916927195684</v>
      </c>
      <c r="N60" s="42"/>
      <c r="O60" s="66">
        <f t="shared" si="12"/>
        <v>0.14285714285714302</v>
      </c>
      <c r="P60" s="3">
        <v>26.08321195144725</v>
      </c>
      <c r="Q60" s="66">
        <f t="shared" si="13"/>
        <v>-0.11111111111111105</v>
      </c>
      <c r="R60" s="42">
        <v>20.286942628903414</v>
      </c>
      <c r="S60" s="68">
        <f t="shared" si="14"/>
        <v>0.19999999999999996</v>
      </c>
      <c r="T60" s="3">
        <f t="shared" si="5"/>
        <v>27.387372549019609</v>
      </c>
      <c r="U60" s="42"/>
      <c r="V60" s="67">
        <f t="shared" si="10"/>
        <v>-0.16666666666666652</v>
      </c>
      <c r="W60" s="3">
        <v>25.669327426021894</v>
      </c>
      <c r="X60" s="42"/>
      <c r="Y60" s="66">
        <f t="shared" si="15"/>
        <v>0.15384615384615374</v>
      </c>
      <c r="Z60" s="3">
        <v>26.334012066365005</v>
      </c>
      <c r="AA60" s="66">
        <f t="shared" si="18"/>
        <v>-0.16666666666666663</v>
      </c>
      <c r="AB60" s="3">
        <v>19.01900871459695</v>
      </c>
      <c r="AC60"/>
      <c r="AD60"/>
    </row>
    <row r="61" spans="1:30" x14ac:dyDescent="0.25">
      <c r="A61" s="4">
        <v>2050</v>
      </c>
      <c r="B61" s="4" t="s">
        <v>47</v>
      </c>
      <c r="C61" s="4" t="s">
        <v>60</v>
      </c>
      <c r="D61" s="4" t="s">
        <v>48</v>
      </c>
      <c r="E61" s="41">
        <v>22.620830065359478</v>
      </c>
      <c r="F61" s="58">
        <v>0.95981336180432353</v>
      </c>
      <c r="G61" s="43">
        <v>31.256076643488193</v>
      </c>
      <c r="H61" s="66">
        <f t="shared" si="16"/>
        <v>0.7</v>
      </c>
      <c r="I61" s="41">
        <v>38.455411111111111</v>
      </c>
      <c r="J61" s="66">
        <f t="shared" si="11"/>
        <v>-0.26086956521739124</v>
      </c>
      <c r="K61" s="43">
        <v>16.719743961352659</v>
      </c>
      <c r="L61" s="67">
        <f t="shared" si="17"/>
        <v>1.333333333333333</v>
      </c>
      <c r="M61" s="41">
        <v>2.2395645108767548</v>
      </c>
      <c r="N61" s="43"/>
      <c r="O61" s="66">
        <f t="shared" si="12"/>
        <v>0.14285714285714302</v>
      </c>
      <c r="P61" s="41">
        <v>25.852377217553691</v>
      </c>
      <c r="Q61" s="66">
        <f t="shared" si="13"/>
        <v>-0.11111111111111105</v>
      </c>
      <c r="R61" s="43">
        <v>20.107404502541758</v>
      </c>
      <c r="S61" s="68">
        <f t="shared" si="14"/>
        <v>0.19999999999999996</v>
      </c>
      <c r="T61" s="3">
        <f t="shared" si="5"/>
        <v>27.144996078431372</v>
      </c>
      <c r="U61" s="43"/>
      <c r="V61" s="67">
        <f t="shared" si="10"/>
        <v>-0.16666666666666674</v>
      </c>
      <c r="W61" s="41">
        <v>26.046730536240158</v>
      </c>
      <c r="X61" s="43"/>
      <c r="Y61" s="66">
        <f t="shared" si="15"/>
        <v>0.15384615384615374</v>
      </c>
      <c r="Z61" s="41">
        <v>26.100957767722473</v>
      </c>
      <c r="AA61" s="66">
        <f t="shared" si="18"/>
        <v>-0.16666666666666674</v>
      </c>
      <c r="AB61" s="41">
        <v>18.850691721132897</v>
      </c>
      <c r="AC61"/>
      <c r="AD61"/>
    </row>
    <row r="62" spans="1:30" x14ac:dyDescent="0.25">
      <c r="C62" s="4"/>
      <c r="E62" s="3"/>
      <c r="F62" s="57"/>
      <c r="G62" s="42"/>
      <c r="H62" s="1"/>
      <c r="I62" s="44"/>
      <c r="J62" s="44"/>
      <c r="K62" s="50"/>
      <c r="L62" s="44"/>
      <c r="M62" s="3"/>
      <c r="N62" s="42"/>
      <c r="O62" s="3"/>
      <c r="P62" s="3"/>
      <c r="Q62" s="3"/>
      <c r="R62" s="42"/>
      <c r="S62" s="3"/>
      <c r="T62" s="3"/>
      <c r="U62" s="42"/>
      <c r="V62" s="3"/>
      <c r="W62" s="3"/>
      <c r="X62" s="42"/>
      <c r="Y62" s="48" t="s">
        <v>138</v>
      </c>
      <c r="Z62" s="3" t="s">
        <v>141</v>
      </c>
      <c r="AA62" s="3" t="s">
        <v>142</v>
      </c>
      <c r="AB62" s="3" t="s">
        <v>143</v>
      </c>
      <c r="AC62"/>
      <c r="AD62"/>
    </row>
    <row r="63" spans="1:30" x14ac:dyDescent="0.25">
      <c r="A63" s="4" t="s">
        <v>0</v>
      </c>
      <c r="B63" s="4" t="s">
        <v>1</v>
      </c>
      <c r="C63" s="4" t="s">
        <v>25</v>
      </c>
      <c r="D63" s="4" t="s">
        <v>7</v>
      </c>
      <c r="E63" s="3"/>
      <c r="F63" s="57"/>
      <c r="G63" s="42"/>
      <c r="H63" s="1"/>
      <c r="I63" s="44"/>
      <c r="J63" s="44"/>
      <c r="K63" s="50"/>
      <c r="L63" s="44"/>
      <c r="M63" s="3"/>
      <c r="N63" s="42"/>
      <c r="O63" s="3"/>
      <c r="P63" s="3"/>
      <c r="Q63" s="3"/>
      <c r="R63" s="42"/>
      <c r="S63" s="3"/>
      <c r="T63" s="3"/>
      <c r="U63" s="42"/>
      <c r="V63" s="3"/>
      <c r="W63" s="3"/>
      <c r="X63" s="42"/>
      <c r="Y63" s="48" t="s">
        <v>148</v>
      </c>
      <c r="Z63" s="47">
        <v>0.15</v>
      </c>
      <c r="AA63" s="47">
        <v>0.18</v>
      </c>
      <c r="AB63" s="47">
        <v>0.21</v>
      </c>
      <c r="AC63"/>
      <c r="AD63"/>
    </row>
    <row r="64" spans="1:30" x14ac:dyDescent="0.25">
      <c r="A64" s="4">
        <v>2010</v>
      </c>
      <c r="B64" s="4" t="s">
        <v>18</v>
      </c>
      <c r="C64" s="4" t="s">
        <v>63</v>
      </c>
      <c r="D64" s="4" t="s">
        <v>49</v>
      </c>
      <c r="E64" s="3">
        <v>61.923782893344644</v>
      </c>
      <c r="F64" s="57">
        <v>1.868406923726895</v>
      </c>
      <c r="G64" s="42">
        <v>16.056459446296238</v>
      </c>
      <c r="H64" s="66">
        <f>I64/E64-1</f>
        <v>0.7</v>
      </c>
      <c r="I64" s="3">
        <v>105.27043091868589</v>
      </c>
      <c r="J64" s="66">
        <f>K64/E64-1</f>
        <v>-0.26086956521739135</v>
      </c>
      <c r="K64" s="42">
        <v>45.769752573341691</v>
      </c>
      <c r="L64" s="44"/>
      <c r="M64" s="3"/>
      <c r="N64" s="42"/>
      <c r="O64" s="66">
        <f>P64/$E64-1</f>
        <v>0.14285714285714302</v>
      </c>
      <c r="P64" s="3">
        <v>70.770037592393891</v>
      </c>
      <c r="Q64" s="66">
        <f>R64/$E64-1</f>
        <v>-0.11111111111111116</v>
      </c>
      <c r="R64" s="42">
        <v>55.043362571861906</v>
      </c>
      <c r="S64" s="68">
        <f>T64/E64-1</f>
        <v>0.20000000000000018</v>
      </c>
      <c r="T64" s="3">
        <f t="shared" si="5"/>
        <v>74.308539472013578</v>
      </c>
      <c r="U64" s="42"/>
      <c r="V64" s="67">
        <f t="shared" ref="V64:V91" si="19">W64/G64-1</f>
        <v>-0.16666666666666663</v>
      </c>
      <c r="W64" s="3">
        <v>13.380382871913532</v>
      </c>
      <c r="X64" s="42"/>
      <c r="Y64" s="66">
        <f>Z64/$E64-1</f>
        <v>0.19999999999999996</v>
      </c>
      <c r="Z64" s="3">
        <v>74.308539472013564</v>
      </c>
      <c r="AA64" s="3"/>
      <c r="AB64" s="3"/>
      <c r="AC64"/>
      <c r="AD64"/>
    </row>
    <row r="65" spans="1:30" x14ac:dyDescent="0.25">
      <c r="A65" s="4">
        <v>2010</v>
      </c>
      <c r="B65" s="4" t="s">
        <v>18</v>
      </c>
      <c r="C65" s="4" t="s">
        <v>63</v>
      </c>
      <c r="D65" s="4" t="s">
        <v>50</v>
      </c>
      <c r="E65" s="3">
        <v>47.061586053073157</v>
      </c>
      <c r="F65" s="57">
        <v>1.9246914063275931</v>
      </c>
      <c r="G65" s="42">
        <v>15.586914297727079</v>
      </c>
      <c r="H65" s="66">
        <f>I65/E65-1</f>
        <v>0.70000000000000018</v>
      </c>
      <c r="I65" s="3">
        <v>80.004696290224373</v>
      </c>
      <c r="J65" s="66">
        <f t="shared" ref="J65:J91" si="20">K65/E65-1</f>
        <v>-0.26086956521739135</v>
      </c>
      <c r="K65" s="42">
        <v>34.784650560967115</v>
      </c>
      <c r="L65" s="44"/>
      <c r="M65" s="3"/>
      <c r="N65" s="42"/>
      <c r="O65" s="66">
        <f t="shared" ref="O65:O91" si="21">P65/$E65-1</f>
        <v>0.14285714285714279</v>
      </c>
      <c r="P65" s="3">
        <v>53.784669774940753</v>
      </c>
      <c r="Q65" s="66">
        <f t="shared" ref="Q65:Q91" si="22">R65/$E65-1</f>
        <v>-0.11111111111111105</v>
      </c>
      <c r="R65" s="42">
        <v>41.832520936065031</v>
      </c>
      <c r="S65" s="68">
        <f t="shared" ref="S65:S91" si="23">T65/E65-1</f>
        <v>0.19999999999999996</v>
      </c>
      <c r="T65" s="3">
        <f t="shared" si="5"/>
        <v>56.473903263687788</v>
      </c>
      <c r="U65" s="42"/>
      <c r="V65" s="67">
        <f t="shared" si="19"/>
        <v>-0.16666666666666652</v>
      </c>
      <c r="W65" s="3">
        <v>12.989095248105901</v>
      </c>
      <c r="X65" s="42"/>
      <c r="Y65" s="66">
        <f t="shared" ref="Y65:Y91" si="24">Z65/$E65-1</f>
        <v>0.19999999999999996</v>
      </c>
      <c r="Z65" s="3">
        <v>56.473903263687788</v>
      </c>
      <c r="AA65" s="3"/>
      <c r="AB65" s="3"/>
      <c r="AC65"/>
      <c r="AD65"/>
    </row>
    <row r="66" spans="1:30" x14ac:dyDescent="0.25">
      <c r="A66" s="4">
        <v>2010</v>
      </c>
      <c r="B66" s="4" t="s">
        <v>18</v>
      </c>
      <c r="C66" s="4" t="s">
        <v>62</v>
      </c>
      <c r="D66" s="4" t="s">
        <v>51</v>
      </c>
      <c r="E66" s="3">
        <v>43.796789711623305</v>
      </c>
      <c r="F66" s="57">
        <v>1.9421036927100523</v>
      </c>
      <c r="G66" s="42">
        <v>15.447166962613293</v>
      </c>
      <c r="H66" s="66">
        <f t="shared" ref="H66:H91" si="25">I66/E66-1</f>
        <v>0.7</v>
      </c>
      <c r="I66" s="3">
        <v>74.454542509759619</v>
      </c>
      <c r="J66" s="66">
        <f t="shared" si="20"/>
        <v>-0.26086956521739124</v>
      </c>
      <c r="K66" s="42">
        <v>32.371540221634618</v>
      </c>
      <c r="L66" s="44"/>
      <c r="M66" s="3"/>
      <c r="N66" s="42"/>
      <c r="O66" s="66">
        <f t="shared" si="21"/>
        <v>0.14285714285714279</v>
      </c>
      <c r="P66" s="3">
        <v>50.05347395614092</v>
      </c>
      <c r="Q66" s="66">
        <f t="shared" si="22"/>
        <v>-0.11111111111111116</v>
      </c>
      <c r="R66" s="42">
        <v>38.93047974366516</v>
      </c>
      <c r="S66" s="68">
        <f t="shared" si="23"/>
        <v>0.19999999999999996</v>
      </c>
      <c r="T66" s="3">
        <f t="shared" si="5"/>
        <v>52.556147653947967</v>
      </c>
      <c r="U66" s="42"/>
      <c r="V66" s="67">
        <f t="shared" si="19"/>
        <v>-0.16666666666666674</v>
      </c>
      <c r="W66" s="3">
        <v>12.872639135511077</v>
      </c>
      <c r="X66" s="42"/>
      <c r="Y66" s="66">
        <f t="shared" si="24"/>
        <v>0.19999999999999996</v>
      </c>
      <c r="Z66" s="3">
        <v>52.556147653947967</v>
      </c>
      <c r="AA66" s="3"/>
      <c r="AB66" s="3"/>
      <c r="AC66"/>
      <c r="AD66"/>
    </row>
    <row r="67" spans="1:30" x14ac:dyDescent="0.25">
      <c r="A67" s="4">
        <v>2010</v>
      </c>
      <c r="B67" s="4" t="s">
        <v>18</v>
      </c>
      <c r="C67" s="4" t="s">
        <v>63</v>
      </c>
      <c r="D67" s="4" t="s">
        <v>52</v>
      </c>
      <c r="E67" s="3">
        <v>45.618144230769232</v>
      </c>
      <c r="F67" s="57">
        <v>1.800088555630637</v>
      </c>
      <c r="G67" s="42">
        <v>16.665846747461767</v>
      </c>
      <c r="H67" s="66">
        <f t="shared" si="25"/>
        <v>0.7</v>
      </c>
      <c r="I67" s="3">
        <v>77.55084519230769</v>
      </c>
      <c r="J67" s="66">
        <f t="shared" si="20"/>
        <v>-0.26086956521739124</v>
      </c>
      <c r="K67" s="42">
        <v>33.717758779264216</v>
      </c>
      <c r="L67" s="44"/>
      <c r="M67" s="3"/>
      <c r="N67" s="42"/>
      <c r="O67" s="66">
        <f t="shared" si="21"/>
        <v>0.14285714285714302</v>
      </c>
      <c r="P67" s="3">
        <v>52.135021978021989</v>
      </c>
      <c r="Q67" s="66">
        <f t="shared" si="22"/>
        <v>-0.11111111111111105</v>
      </c>
      <c r="R67" s="42">
        <v>40.549461538461543</v>
      </c>
      <c r="S67" s="68">
        <f t="shared" si="23"/>
        <v>0.19999999999999996</v>
      </c>
      <c r="T67" s="3">
        <f t="shared" si="5"/>
        <v>54.741773076923081</v>
      </c>
      <c r="U67" s="42"/>
      <c r="V67" s="67">
        <f t="shared" si="19"/>
        <v>-0.16666666666666663</v>
      </c>
      <c r="W67" s="3">
        <v>13.888205622884806</v>
      </c>
      <c r="X67" s="42"/>
      <c r="Y67" s="66">
        <f t="shared" si="24"/>
        <v>0.19999999999999996</v>
      </c>
      <c r="Z67" s="3">
        <v>54.741773076923081</v>
      </c>
      <c r="AA67" s="3"/>
      <c r="AB67" s="3"/>
      <c r="AC67"/>
      <c r="AD67"/>
    </row>
    <row r="68" spans="1:30" x14ac:dyDescent="0.25">
      <c r="A68" s="4">
        <v>2010</v>
      </c>
      <c r="B68" s="4" t="s">
        <v>18</v>
      </c>
      <c r="C68" s="4" t="s">
        <v>63</v>
      </c>
      <c r="D68" s="4" t="s">
        <v>53</v>
      </c>
      <c r="E68" s="3">
        <v>55.446555425490189</v>
      </c>
      <c r="F68" s="57">
        <v>1.9930632330579874</v>
      </c>
      <c r="G68" s="42">
        <v>15.052206825355231</v>
      </c>
      <c r="H68" s="66">
        <f t="shared" si="25"/>
        <v>0.7</v>
      </c>
      <c r="I68" s="3">
        <v>94.259144223333323</v>
      </c>
      <c r="J68" s="66">
        <f t="shared" si="20"/>
        <v>-0.26086956521739135</v>
      </c>
      <c r="K68" s="42">
        <v>40.982236618840574</v>
      </c>
      <c r="L68" s="44"/>
      <c r="M68" s="3"/>
      <c r="N68" s="42"/>
      <c r="O68" s="66">
        <f t="shared" si="21"/>
        <v>0.14285714285714302</v>
      </c>
      <c r="P68" s="3">
        <v>63.367491914845942</v>
      </c>
      <c r="Q68" s="66">
        <f t="shared" si="22"/>
        <v>-0.11111111111111105</v>
      </c>
      <c r="R68" s="42">
        <v>49.285827044880172</v>
      </c>
      <c r="S68" s="68">
        <f t="shared" si="23"/>
        <v>0.20000000000000018</v>
      </c>
      <c r="T68" s="3">
        <f t="shared" si="5"/>
        <v>66.535866510588235</v>
      </c>
      <c r="U68" s="42"/>
      <c r="V68" s="67">
        <f t="shared" si="19"/>
        <v>-0.16666666666666674</v>
      </c>
      <c r="W68" s="3">
        <v>12.543505687796024</v>
      </c>
      <c r="X68" s="42"/>
      <c r="Y68" s="66">
        <f t="shared" si="24"/>
        <v>0.19999999999999996</v>
      </c>
      <c r="Z68" s="3">
        <v>66.535866510588221</v>
      </c>
      <c r="AA68" s="3"/>
      <c r="AB68" s="3"/>
      <c r="AC68"/>
      <c r="AD68"/>
    </row>
    <row r="69" spans="1:30" x14ac:dyDescent="0.25">
      <c r="A69" s="4">
        <v>2010</v>
      </c>
      <c r="B69" s="4" t="s">
        <v>18</v>
      </c>
      <c r="C69" s="4" t="s">
        <v>62</v>
      </c>
      <c r="D69" s="4" t="s">
        <v>54</v>
      </c>
      <c r="E69" s="3">
        <v>54.484127598981907</v>
      </c>
      <c r="F69" s="57">
        <v>2.0069417374432961</v>
      </c>
      <c r="G69" s="42">
        <v>14.94811704809025</v>
      </c>
      <c r="H69" s="66">
        <f t="shared" si="25"/>
        <v>0.7</v>
      </c>
      <c r="I69" s="3">
        <v>92.623016918269244</v>
      </c>
      <c r="J69" s="66">
        <f t="shared" si="20"/>
        <v>-0.26086956521739124</v>
      </c>
      <c r="K69" s="42">
        <v>40.27087692098663</v>
      </c>
      <c r="L69" s="44"/>
      <c r="M69" s="3"/>
      <c r="N69" s="42"/>
      <c r="O69" s="66">
        <f t="shared" si="21"/>
        <v>0.14285714285714302</v>
      </c>
      <c r="P69" s="3">
        <v>62.267574398836473</v>
      </c>
      <c r="Q69" s="66">
        <f t="shared" si="22"/>
        <v>-0.11111111111111116</v>
      </c>
      <c r="R69" s="42">
        <v>48.430335643539472</v>
      </c>
      <c r="S69" s="68">
        <f t="shared" si="23"/>
        <v>0.20000000000000018</v>
      </c>
      <c r="T69" s="3">
        <f t="shared" ref="T69:T91" si="26">E69*30/25</f>
        <v>65.380953118778294</v>
      </c>
      <c r="U69" s="42"/>
      <c r="V69" s="67">
        <f t="shared" si="19"/>
        <v>-0.16666666666666663</v>
      </c>
      <c r="W69" s="3">
        <v>12.456764206741875</v>
      </c>
      <c r="X69" s="42"/>
      <c r="Y69" s="66">
        <f t="shared" si="24"/>
        <v>0.20000000000000018</v>
      </c>
      <c r="Z69" s="3">
        <v>65.380953118778294</v>
      </c>
      <c r="AA69" s="3"/>
      <c r="AB69" s="3"/>
      <c r="AC69"/>
      <c r="AD69"/>
    </row>
    <row r="70" spans="1:30" x14ac:dyDescent="0.25">
      <c r="A70" s="4">
        <v>2010</v>
      </c>
      <c r="B70" s="4" t="s">
        <v>18</v>
      </c>
      <c r="C70" s="4" t="s">
        <v>62</v>
      </c>
      <c r="D70" s="4" t="s">
        <v>149</v>
      </c>
      <c r="E70" s="41">
        <v>54.624937563176267</v>
      </c>
      <c r="F70" s="58">
        <v>1.9699500352180705</v>
      </c>
      <c r="G70" s="43">
        <v>15.228812641778015</v>
      </c>
      <c r="H70" s="66">
        <f>I70/E70-1</f>
        <v>0.7</v>
      </c>
      <c r="I70" s="41">
        <v>92.862393857399653</v>
      </c>
      <c r="J70" s="66">
        <f t="shared" si="20"/>
        <v>-0.26086956521739124</v>
      </c>
      <c r="K70" s="43">
        <v>40.37495385104333</v>
      </c>
      <c r="L70" s="53"/>
      <c r="M70" s="41"/>
      <c r="N70" s="43"/>
      <c r="O70" s="66">
        <f t="shared" si="21"/>
        <v>0.14285714285714302</v>
      </c>
      <c r="P70" s="41">
        <v>62.428500072201459</v>
      </c>
      <c r="Q70" s="66">
        <f t="shared" si="22"/>
        <v>-0.11111111111111105</v>
      </c>
      <c r="R70" s="43">
        <v>48.555500056156689</v>
      </c>
      <c r="S70" s="68">
        <f t="shared" si="23"/>
        <v>0.20000000000000018</v>
      </c>
      <c r="T70" s="3">
        <f t="shared" si="26"/>
        <v>65.549925075811529</v>
      </c>
      <c r="U70" s="43"/>
      <c r="V70" s="67">
        <f t="shared" si="19"/>
        <v>-0.16666666666666674</v>
      </c>
      <c r="W70" s="41">
        <v>12.690677201481678</v>
      </c>
      <c r="X70" s="43"/>
      <c r="Y70" s="66">
        <f t="shared" si="24"/>
        <v>0.20000000000000018</v>
      </c>
      <c r="Z70" s="41">
        <v>65.549925075811529</v>
      </c>
      <c r="AA70" s="3"/>
      <c r="AB70" s="3"/>
      <c r="AC70"/>
      <c r="AD70"/>
    </row>
    <row r="71" spans="1:30" x14ac:dyDescent="0.25">
      <c r="A71" s="4">
        <v>2015</v>
      </c>
      <c r="B71" s="4" t="s">
        <v>18</v>
      </c>
      <c r="C71" s="4" t="s">
        <v>63</v>
      </c>
      <c r="D71" s="4" t="s">
        <v>49</v>
      </c>
      <c r="E71" s="3">
        <v>47.61714222829351</v>
      </c>
      <c r="F71" s="57">
        <v>1.4903467147074128</v>
      </c>
      <c r="G71" s="42">
        <v>20.12954415502546</v>
      </c>
      <c r="H71" s="66">
        <f t="shared" si="25"/>
        <v>0.69999999999999973</v>
      </c>
      <c r="I71" s="3">
        <v>80.949141788098956</v>
      </c>
      <c r="J71" s="66">
        <f t="shared" si="20"/>
        <v>-0.26086956521739135</v>
      </c>
      <c r="K71" s="42">
        <v>35.195279038303894</v>
      </c>
      <c r="L71" s="69">
        <f>M71/G64-1</f>
        <v>-0.16666666666666674</v>
      </c>
      <c r="M71" s="44">
        <f>G64/AA63*Z63</f>
        <v>13.380382871913531</v>
      </c>
      <c r="N71" s="42"/>
      <c r="O71" s="66">
        <f t="shared" si="21"/>
        <v>0.14285714285714302</v>
      </c>
      <c r="P71" s="3">
        <v>54.41959111804973</v>
      </c>
      <c r="Q71" s="66">
        <f t="shared" si="22"/>
        <v>-0.11111111111111116</v>
      </c>
      <c r="R71" s="42">
        <v>42.326348647372008</v>
      </c>
      <c r="S71" s="68">
        <f t="shared" si="23"/>
        <v>0.20000000000000018</v>
      </c>
      <c r="T71" s="3">
        <f t="shared" si="26"/>
        <v>57.140570673952219</v>
      </c>
      <c r="U71" s="42"/>
      <c r="V71" s="67">
        <f t="shared" si="19"/>
        <v>-0.16666666666666663</v>
      </c>
      <c r="W71" s="3">
        <v>16.774620129187884</v>
      </c>
      <c r="X71" s="42"/>
      <c r="Y71" s="66">
        <f t="shared" si="24"/>
        <v>0.19999999999999996</v>
      </c>
      <c r="Z71" s="3">
        <v>57.140570673952205</v>
      </c>
      <c r="AA71" s="3"/>
      <c r="AB71" s="3"/>
      <c r="AC71"/>
      <c r="AD71"/>
    </row>
    <row r="72" spans="1:30" x14ac:dyDescent="0.25">
      <c r="A72" s="4">
        <v>2015</v>
      </c>
      <c r="B72" s="4" t="s">
        <v>18</v>
      </c>
      <c r="C72" s="4" t="s">
        <v>63</v>
      </c>
      <c r="D72" s="4" t="s">
        <v>51</v>
      </c>
      <c r="E72" s="3">
        <v>40.541213638242951</v>
      </c>
      <c r="F72" s="57">
        <v>1.4780057619695837</v>
      </c>
      <c r="G72" s="42">
        <v>20.297620463956878</v>
      </c>
      <c r="H72" s="66">
        <f t="shared" si="25"/>
        <v>0.70000000000000018</v>
      </c>
      <c r="I72" s="3">
        <v>68.920063185013021</v>
      </c>
      <c r="J72" s="66">
        <f t="shared" si="20"/>
        <v>-0.26086956521739135</v>
      </c>
      <c r="K72" s="42">
        <v>29.965244863049136</v>
      </c>
      <c r="L72" s="69">
        <f>M72/G64-1</f>
        <v>0.16666666666666652</v>
      </c>
      <c r="M72" s="44">
        <f>G64/AA63*AB63</f>
        <v>18.732536020678943</v>
      </c>
      <c r="N72" s="42"/>
      <c r="O72" s="66">
        <f t="shared" si="21"/>
        <v>0.14285714285714302</v>
      </c>
      <c r="P72" s="3">
        <v>46.332815586563378</v>
      </c>
      <c r="Q72" s="66">
        <f t="shared" si="22"/>
        <v>-0.11111111111111094</v>
      </c>
      <c r="R72" s="42">
        <v>36.036634345104851</v>
      </c>
      <c r="S72" s="68">
        <f t="shared" si="23"/>
        <v>0.19999999999999996</v>
      </c>
      <c r="T72" s="3">
        <f t="shared" si="26"/>
        <v>48.649456365891538</v>
      </c>
      <c r="U72" s="42"/>
      <c r="V72" s="67">
        <f t="shared" si="19"/>
        <v>-0.16666666666666663</v>
      </c>
      <c r="W72" s="3">
        <v>16.914683719964067</v>
      </c>
      <c r="X72" s="42"/>
      <c r="Y72" s="66">
        <f t="shared" si="24"/>
        <v>0.20000000000000018</v>
      </c>
      <c r="Z72" s="3">
        <v>48.649456365891545</v>
      </c>
      <c r="AA72" s="3"/>
      <c r="AB72" s="3"/>
      <c r="AC72"/>
      <c r="AD72"/>
    </row>
    <row r="73" spans="1:30" x14ac:dyDescent="0.25">
      <c r="A73" s="4">
        <v>2015</v>
      </c>
      <c r="B73" s="4" t="s">
        <v>18</v>
      </c>
      <c r="C73" s="4" t="s">
        <v>62</v>
      </c>
      <c r="D73" s="4" t="s">
        <v>56</v>
      </c>
      <c r="E73" s="3">
        <v>39.343030525382964</v>
      </c>
      <c r="F73" s="57">
        <v>1.6756926806854049</v>
      </c>
      <c r="G73" s="42">
        <v>17.903044123657068</v>
      </c>
      <c r="H73" s="66">
        <f t="shared" si="25"/>
        <v>0.7</v>
      </c>
      <c r="I73" s="3">
        <v>66.883151893151037</v>
      </c>
      <c r="J73" s="66">
        <f t="shared" si="20"/>
        <v>-0.26086956521739135</v>
      </c>
      <c r="K73" s="42">
        <v>29.079631257891755</v>
      </c>
      <c r="L73" s="44"/>
      <c r="M73" s="3"/>
      <c r="N73" s="42"/>
      <c r="O73" s="66">
        <f t="shared" si="21"/>
        <v>0.14285714285714302</v>
      </c>
      <c r="P73" s="3">
        <v>44.963463457580538</v>
      </c>
      <c r="Q73" s="66">
        <f t="shared" si="22"/>
        <v>-0.11111111111111116</v>
      </c>
      <c r="R73" s="42">
        <v>34.971582689229301</v>
      </c>
      <c r="S73" s="68">
        <f t="shared" si="23"/>
        <v>0.19999999999999996</v>
      </c>
      <c r="T73" s="3">
        <f t="shared" si="26"/>
        <v>47.211636630459559</v>
      </c>
      <c r="U73" s="42"/>
      <c r="V73" s="67">
        <f t="shared" si="19"/>
        <v>-0.16666666666666663</v>
      </c>
      <c r="W73" s="3">
        <v>14.91920343638089</v>
      </c>
      <c r="X73" s="42"/>
      <c r="Y73" s="66">
        <f t="shared" si="24"/>
        <v>0.19999999999999996</v>
      </c>
      <c r="Z73" s="3">
        <v>47.211636630459559</v>
      </c>
      <c r="AA73" s="3"/>
      <c r="AB73" s="3"/>
      <c r="AC73"/>
      <c r="AD73"/>
    </row>
    <row r="74" spans="1:30" x14ac:dyDescent="0.25">
      <c r="A74" s="4">
        <v>2015</v>
      </c>
      <c r="B74" s="4" t="s">
        <v>18</v>
      </c>
      <c r="C74" s="4" t="s">
        <v>63</v>
      </c>
      <c r="D74" s="4" t="s">
        <v>52</v>
      </c>
      <c r="E74" s="3">
        <v>35.868444699754903</v>
      </c>
      <c r="F74" s="57">
        <v>1.4504863412912161</v>
      </c>
      <c r="G74" s="42">
        <v>20.682718027730026</v>
      </c>
      <c r="H74" s="66">
        <f t="shared" si="25"/>
        <v>0.70000000000000018</v>
      </c>
      <c r="I74" s="3">
        <v>60.97635598958334</v>
      </c>
      <c r="J74" s="66">
        <f t="shared" si="20"/>
        <v>-0.26086956521739135</v>
      </c>
      <c r="K74" s="42">
        <v>26.511459125905798</v>
      </c>
      <c r="L74" s="44"/>
      <c r="M74" s="3"/>
      <c r="N74" s="42"/>
      <c r="O74" s="66">
        <f t="shared" si="21"/>
        <v>0.14285714285714324</v>
      </c>
      <c r="P74" s="3">
        <v>40.992508228291328</v>
      </c>
      <c r="Q74" s="66">
        <f t="shared" si="22"/>
        <v>-0.11111111111111105</v>
      </c>
      <c r="R74" s="42">
        <v>31.883061955337695</v>
      </c>
      <c r="S74" s="68">
        <f t="shared" si="23"/>
        <v>0.19999999999999996</v>
      </c>
      <c r="T74" s="3">
        <f t="shared" si="26"/>
        <v>43.042133639705881</v>
      </c>
      <c r="U74" s="42"/>
      <c r="V74" s="67">
        <f t="shared" si="19"/>
        <v>-0.16666666666666663</v>
      </c>
      <c r="W74" s="3">
        <v>17.235598356441688</v>
      </c>
      <c r="X74" s="42"/>
      <c r="Y74" s="66">
        <f t="shared" si="24"/>
        <v>0.20000000000000018</v>
      </c>
      <c r="Z74" s="3">
        <v>43.042133639705888</v>
      </c>
      <c r="AA74" s="3"/>
      <c r="AB74" s="3"/>
      <c r="AC74"/>
      <c r="AD74"/>
    </row>
    <row r="75" spans="1:30" x14ac:dyDescent="0.25">
      <c r="A75" s="4">
        <v>2015</v>
      </c>
      <c r="B75" s="4" t="s">
        <v>18</v>
      </c>
      <c r="C75" s="4" t="s">
        <v>63</v>
      </c>
      <c r="D75" s="4" t="s">
        <v>53</v>
      </c>
      <c r="E75" s="3">
        <v>45.666279101838228</v>
      </c>
      <c r="F75" s="57">
        <v>1.5996803477855985</v>
      </c>
      <c r="G75" s="42">
        <v>18.753746672907699</v>
      </c>
      <c r="H75" s="66">
        <f t="shared" si="25"/>
        <v>0.70000000000000018</v>
      </c>
      <c r="I75" s="3">
        <v>77.632674473124993</v>
      </c>
      <c r="J75" s="66">
        <f t="shared" si="20"/>
        <v>-0.26086956521739124</v>
      </c>
      <c r="K75" s="42">
        <v>33.75333672744565</v>
      </c>
      <c r="L75" s="44"/>
      <c r="M75" s="3"/>
      <c r="N75" s="42"/>
      <c r="O75" s="66">
        <f t="shared" si="21"/>
        <v>0.14285714285714279</v>
      </c>
      <c r="P75" s="3">
        <v>52.190033259243691</v>
      </c>
      <c r="Q75" s="66">
        <f t="shared" si="22"/>
        <v>-0.11111111111111105</v>
      </c>
      <c r="R75" s="42">
        <v>40.592248090522872</v>
      </c>
      <c r="S75" s="68">
        <f t="shared" si="23"/>
        <v>0.20000000000000018</v>
      </c>
      <c r="T75" s="3">
        <f t="shared" si="26"/>
        <v>54.799534922205879</v>
      </c>
      <c r="U75" s="42"/>
      <c r="V75" s="67">
        <f t="shared" si="19"/>
        <v>-0.16666666666666663</v>
      </c>
      <c r="W75" s="3">
        <v>15.628122227423082</v>
      </c>
      <c r="X75" s="42"/>
      <c r="Y75" s="66">
        <f t="shared" si="24"/>
        <v>0.19999999999999996</v>
      </c>
      <c r="Z75" s="3">
        <v>54.799534922205872</v>
      </c>
      <c r="AA75" s="3"/>
      <c r="AB75" s="3"/>
      <c r="AC75"/>
      <c r="AD75"/>
    </row>
    <row r="76" spans="1:30" x14ac:dyDescent="0.25">
      <c r="A76" s="4">
        <v>2015</v>
      </c>
      <c r="B76" s="4" t="s">
        <v>18</v>
      </c>
      <c r="C76" s="4" t="s">
        <v>62</v>
      </c>
      <c r="D76" s="4" t="s">
        <v>54</v>
      </c>
      <c r="E76" s="3">
        <v>43.65216648054534</v>
      </c>
      <c r="F76" s="57">
        <v>1.6050833474159691</v>
      </c>
      <c r="G76" s="42">
        <v>18.690618183969782</v>
      </c>
      <c r="H76" s="66">
        <f t="shared" si="25"/>
        <v>0.70000000000000018</v>
      </c>
      <c r="I76" s="3">
        <v>74.208683016927083</v>
      </c>
      <c r="J76" s="66">
        <f t="shared" si="20"/>
        <v>-0.26086956521739135</v>
      </c>
      <c r="K76" s="42">
        <v>32.264644789968294</v>
      </c>
      <c r="L76" s="44"/>
      <c r="M76" s="3"/>
      <c r="N76" s="42"/>
      <c r="O76" s="66">
        <f t="shared" si="21"/>
        <v>0.14285714285714279</v>
      </c>
      <c r="P76" s="3">
        <v>49.888190263480389</v>
      </c>
      <c r="Q76" s="66">
        <f t="shared" si="22"/>
        <v>-0.11111111111111116</v>
      </c>
      <c r="R76" s="42">
        <v>38.801925760484743</v>
      </c>
      <c r="S76" s="68">
        <f t="shared" si="23"/>
        <v>0.19999999999999996</v>
      </c>
      <c r="T76" s="3">
        <f t="shared" si="26"/>
        <v>52.382599776654409</v>
      </c>
      <c r="U76" s="42"/>
      <c r="V76" s="67">
        <f t="shared" si="19"/>
        <v>-0.16666666666666663</v>
      </c>
      <c r="W76" s="3">
        <v>15.575515153308153</v>
      </c>
      <c r="X76" s="42"/>
      <c r="Y76" s="66">
        <f t="shared" si="24"/>
        <v>0.19999999999999996</v>
      </c>
      <c r="Z76" s="3">
        <v>52.382599776654409</v>
      </c>
      <c r="AA76" s="3"/>
      <c r="AB76" s="3"/>
      <c r="AC76"/>
      <c r="AD76"/>
    </row>
    <row r="77" spans="1:30" x14ac:dyDescent="0.25">
      <c r="A77" s="4">
        <v>2015</v>
      </c>
      <c r="B77" s="4" t="s">
        <v>18</v>
      </c>
      <c r="C77" s="4" t="s">
        <v>62</v>
      </c>
      <c r="D77" s="4" t="s">
        <v>149</v>
      </c>
      <c r="E77" s="41">
        <v>44.929533866375301</v>
      </c>
      <c r="F77" s="58">
        <v>1.5475107432197859</v>
      </c>
      <c r="G77" s="43">
        <v>19.38597204022075</v>
      </c>
      <c r="H77" s="66">
        <f t="shared" si="25"/>
        <v>0.70000000000000018</v>
      </c>
      <c r="I77" s="41">
        <v>76.380207572838017</v>
      </c>
      <c r="J77" s="66">
        <f t="shared" si="20"/>
        <v>-0.26086956521739135</v>
      </c>
      <c r="K77" s="43">
        <v>33.208785901233917</v>
      </c>
      <c r="L77" s="53"/>
      <c r="M77" s="41"/>
      <c r="N77" s="43"/>
      <c r="O77" s="66">
        <f t="shared" si="21"/>
        <v>0.14285714285714279</v>
      </c>
      <c r="P77" s="41">
        <v>51.348038704428916</v>
      </c>
      <c r="Q77" s="66">
        <f t="shared" si="22"/>
        <v>-0.11111111111111116</v>
      </c>
      <c r="R77" s="43">
        <v>39.937363436778043</v>
      </c>
      <c r="S77" s="68">
        <f t="shared" si="23"/>
        <v>0.19999999999999996</v>
      </c>
      <c r="T77" s="3">
        <f t="shared" si="26"/>
        <v>53.915440639650363</v>
      </c>
      <c r="U77" s="43"/>
      <c r="V77" s="67">
        <f t="shared" si="19"/>
        <v>-0.16666666666666663</v>
      </c>
      <c r="W77" s="41">
        <v>16.154976700183958</v>
      </c>
      <c r="X77" s="43"/>
      <c r="Y77" s="66">
        <f t="shared" si="24"/>
        <v>0.19999999999999996</v>
      </c>
      <c r="Z77" s="41">
        <v>53.915440639650356</v>
      </c>
      <c r="AA77" s="3"/>
      <c r="AB77" s="3"/>
      <c r="AC77"/>
      <c r="AD77"/>
    </row>
    <row r="78" spans="1:30" x14ac:dyDescent="0.25">
      <c r="A78" s="4">
        <v>2020</v>
      </c>
      <c r="B78" s="4" t="s">
        <v>18</v>
      </c>
      <c r="C78" s="4" t="s">
        <v>63</v>
      </c>
      <c r="D78" s="4" t="s">
        <v>49</v>
      </c>
      <c r="E78" s="3">
        <v>40.210726370683552</v>
      </c>
      <c r="F78" s="57">
        <v>1.3053614875657964</v>
      </c>
      <c r="G78" s="42">
        <v>22.982139649257775</v>
      </c>
      <c r="H78" s="66">
        <f t="shared" si="25"/>
        <v>0.69999999999999973</v>
      </c>
      <c r="I78" s="3">
        <v>68.358234830162033</v>
      </c>
      <c r="J78" s="66">
        <f t="shared" si="20"/>
        <v>-0.26086956521739135</v>
      </c>
      <c r="K78" s="42">
        <v>29.720971665287841</v>
      </c>
      <c r="L78" s="44"/>
      <c r="M78" s="3"/>
      <c r="N78" s="42"/>
      <c r="O78" s="66">
        <f t="shared" si="21"/>
        <v>0.14285714285714302</v>
      </c>
      <c r="P78" s="3">
        <v>45.955115852209779</v>
      </c>
      <c r="Q78" s="66">
        <f t="shared" si="22"/>
        <v>-0.11111111111111105</v>
      </c>
      <c r="R78" s="42">
        <v>35.74286788505205</v>
      </c>
      <c r="S78" s="68">
        <f t="shared" si="23"/>
        <v>0.19999999999999996</v>
      </c>
      <c r="T78" s="3">
        <f t="shared" si="26"/>
        <v>48.25287164482026</v>
      </c>
      <c r="U78" s="42"/>
      <c r="V78" s="67">
        <f t="shared" si="19"/>
        <v>-0.16666666666666674</v>
      </c>
      <c r="W78" s="3">
        <v>19.151783041048144</v>
      </c>
      <c r="X78" s="42"/>
      <c r="Y78" s="66">
        <f t="shared" si="24"/>
        <v>0.20000000000000018</v>
      </c>
      <c r="Z78" s="3">
        <v>48.252871644820267</v>
      </c>
      <c r="AA78" s="3"/>
      <c r="AB78" s="3"/>
      <c r="AC78"/>
      <c r="AD78"/>
    </row>
    <row r="79" spans="1:30" x14ac:dyDescent="0.25">
      <c r="A79" s="4">
        <v>2020</v>
      </c>
      <c r="B79" s="4" t="s">
        <v>18</v>
      </c>
      <c r="C79" s="4" t="s">
        <v>63</v>
      </c>
      <c r="D79" s="4" t="s">
        <v>56</v>
      </c>
      <c r="E79" s="3">
        <v>33.984527950667207</v>
      </c>
      <c r="F79" s="57">
        <v>1.4571019273069528</v>
      </c>
      <c r="G79" s="42">
        <v>20.588813615425412</v>
      </c>
      <c r="H79" s="66">
        <f t="shared" si="25"/>
        <v>0.7</v>
      </c>
      <c r="I79" s="3">
        <v>57.773697516134249</v>
      </c>
      <c r="J79" s="66">
        <f t="shared" si="20"/>
        <v>-0.26086956521739135</v>
      </c>
      <c r="K79" s="42">
        <v>25.11899892005837</v>
      </c>
      <c r="L79" s="44"/>
      <c r="M79" s="3"/>
      <c r="N79" s="42"/>
      <c r="O79" s="66">
        <f t="shared" si="21"/>
        <v>0.14285714285714279</v>
      </c>
      <c r="P79" s="3">
        <v>38.839460515048238</v>
      </c>
      <c r="Q79" s="66">
        <f t="shared" si="22"/>
        <v>-0.11111111111111116</v>
      </c>
      <c r="R79" s="42">
        <v>30.208469289481961</v>
      </c>
      <c r="S79" s="68">
        <f t="shared" si="23"/>
        <v>0.19999999999999996</v>
      </c>
      <c r="T79" s="3">
        <f t="shared" si="26"/>
        <v>40.781433540800649</v>
      </c>
      <c r="U79" s="42"/>
      <c r="V79" s="67">
        <f t="shared" si="19"/>
        <v>-0.16666666666666663</v>
      </c>
      <c r="W79" s="3">
        <v>17.157344679521177</v>
      </c>
      <c r="X79" s="42"/>
      <c r="Y79" s="66">
        <f t="shared" si="24"/>
        <v>0.19999999999999996</v>
      </c>
      <c r="Z79" s="3">
        <v>40.781433540800649</v>
      </c>
      <c r="AA79" s="3"/>
      <c r="AB79" s="3"/>
      <c r="AC79"/>
      <c r="AD79"/>
    </row>
    <row r="80" spans="1:30" x14ac:dyDescent="0.25">
      <c r="A80" s="4">
        <v>2020</v>
      </c>
      <c r="B80" s="4" t="s">
        <v>18</v>
      </c>
      <c r="C80" s="4" t="s">
        <v>62</v>
      </c>
      <c r="D80" s="4" t="s">
        <v>53</v>
      </c>
      <c r="E80" s="3">
        <v>40.082773689651411</v>
      </c>
      <c r="F80" s="57">
        <v>1.3939595072119779</v>
      </c>
      <c r="G80" s="42">
        <v>21.521428595872358</v>
      </c>
      <c r="H80" s="66">
        <f t="shared" si="25"/>
        <v>0.69999999999999973</v>
      </c>
      <c r="I80" s="3">
        <v>68.140715272407391</v>
      </c>
      <c r="J80" s="66">
        <f t="shared" si="20"/>
        <v>-0.26086956521739124</v>
      </c>
      <c r="K80" s="42">
        <v>29.626397944524957</v>
      </c>
      <c r="L80" s="44"/>
      <c r="M80" s="3"/>
      <c r="N80" s="42"/>
      <c r="O80" s="66">
        <f t="shared" si="21"/>
        <v>0.14285714285714324</v>
      </c>
      <c r="P80" s="3">
        <v>45.808884216744481</v>
      </c>
      <c r="Q80" s="66">
        <f t="shared" si="22"/>
        <v>-0.11111111111111105</v>
      </c>
      <c r="R80" s="42">
        <v>35.629132168579034</v>
      </c>
      <c r="S80" s="68">
        <f t="shared" si="23"/>
        <v>0.20000000000000018</v>
      </c>
      <c r="T80" s="3">
        <f t="shared" si="26"/>
        <v>48.099328427581696</v>
      </c>
      <c r="U80" s="42"/>
      <c r="V80" s="67">
        <f t="shared" si="19"/>
        <v>-0.16666666666666663</v>
      </c>
      <c r="W80" s="3">
        <v>17.934523829893632</v>
      </c>
      <c r="X80" s="42"/>
      <c r="Y80" s="66">
        <f t="shared" si="24"/>
        <v>0.19999999999999996</v>
      </c>
      <c r="Z80" s="3">
        <v>48.099328427581689</v>
      </c>
      <c r="AA80" s="3"/>
      <c r="AB80" s="3"/>
      <c r="AC80"/>
      <c r="AD80"/>
    </row>
    <row r="81" spans="1:30" x14ac:dyDescent="0.25">
      <c r="A81" s="4">
        <v>2020</v>
      </c>
      <c r="B81" s="4" t="s">
        <v>18</v>
      </c>
      <c r="C81" s="4" t="s">
        <v>63</v>
      </c>
      <c r="D81" s="4" t="s">
        <v>57</v>
      </c>
      <c r="E81" s="3">
        <v>29.256666794703158</v>
      </c>
      <c r="F81" s="57">
        <v>1.2604574425268962</v>
      </c>
      <c r="G81" s="42">
        <v>23.800882907920826</v>
      </c>
      <c r="H81" s="66">
        <f t="shared" si="25"/>
        <v>0.7</v>
      </c>
      <c r="I81" s="3">
        <v>49.736333550995369</v>
      </c>
      <c r="J81" s="66">
        <f t="shared" si="20"/>
        <v>-0.26086956521739124</v>
      </c>
      <c r="K81" s="42">
        <v>21.624492848258857</v>
      </c>
      <c r="L81" s="44"/>
      <c r="M81" s="3"/>
      <c r="N81" s="42"/>
      <c r="O81" s="66">
        <f t="shared" si="21"/>
        <v>0.14285714285714302</v>
      </c>
      <c r="P81" s="3">
        <v>33.436190622517898</v>
      </c>
      <c r="Q81" s="66">
        <f t="shared" si="22"/>
        <v>-0.11111111111111105</v>
      </c>
      <c r="R81" s="42">
        <v>26.005926039736142</v>
      </c>
      <c r="S81" s="68">
        <f t="shared" si="23"/>
        <v>0.19999999999999996</v>
      </c>
      <c r="T81" s="3">
        <f t="shared" si="26"/>
        <v>35.108000153643786</v>
      </c>
      <c r="U81" s="42"/>
      <c r="V81" s="67">
        <f t="shared" si="19"/>
        <v>-0.16666666666666663</v>
      </c>
      <c r="W81" s="3">
        <v>19.834069089934022</v>
      </c>
      <c r="X81" s="42"/>
      <c r="Y81" s="66">
        <f t="shared" si="24"/>
        <v>0.19999999999999996</v>
      </c>
      <c r="Z81" s="3">
        <v>35.108000153643786</v>
      </c>
      <c r="AA81" s="3"/>
      <c r="AB81" s="3"/>
      <c r="AC81"/>
      <c r="AD81"/>
    </row>
    <row r="82" spans="1:30" x14ac:dyDescent="0.25">
      <c r="A82" s="4">
        <v>2020</v>
      </c>
      <c r="B82" s="4" t="s">
        <v>18</v>
      </c>
      <c r="C82" s="4" t="s">
        <v>63</v>
      </c>
      <c r="D82" s="4" t="s">
        <v>58</v>
      </c>
      <c r="E82" s="3">
        <v>34.649451823188997</v>
      </c>
      <c r="F82" s="57">
        <v>1.2614082313979202</v>
      </c>
      <c r="G82" s="42">
        <v>23.782942946831213</v>
      </c>
      <c r="H82" s="66">
        <f t="shared" si="25"/>
        <v>0.7</v>
      </c>
      <c r="I82" s="3">
        <v>58.904068099421295</v>
      </c>
      <c r="J82" s="66">
        <f t="shared" si="20"/>
        <v>-0.26086956521739124</v>
      </c>
      <c r="K82" s="42">
        <v>25.610464391052737</v>
      </c>
      <c r="L82" s="44"/>
      <c r="M82" s="3"/>
      <c r="N82" s="42"/>
      <c r="O82" s="66">
        <f t="shared" si="21"/>
        <v>0.14285714285714279</v>
      </c>
      <c r="P82" s="3">
        <v>39.599373512215998</v>
      </c>
      <c r="Q82" s="66">
        <f t="shared" si="22"/>
        <v>-0.11111111111111116</v>
      </c>
      <c r="R82" s="42">
        <v>30.799512731723553</v>
      </c>
      <c r="S82" s="68">
        <f t="shared" si="23"/>
        <v>0.19999999999999996</v>
      </c>
      <c r="T82" s="3">
        <f t="shared" si="26"/>
        <v>41.579342187826796</v>
      </c>
      <c r="U82" s="42"/>
      <c r="V82" s="67">
        <f t="shared" si="19"/>
        <v>-0.16666666666666674</v>
      </c>
      <c r="W82" s="3">
        <v>19.819119122359343</v>
      </c>
      <c r="X82" s="42"/>
      <c r="Y82" s="66">
        <f t="shared" si="24"/>
        <v>0.19999999999999996</v>
      </c>
      <c r="Z82" s="3">
        <v>41.579342187826796</v>
      </c>
      <c r="AA82" s="3"/>
      <c r="AB82" s="3"/>
      <c r="AC82"/>
      <c r="AD82"/>
    </row>
    <row r="83" spans="1:30" x14ac:dyDescent="0.25">
      <c r="A83" s="4">
        <v>2020</v>
      </c>
      <c r="B83" s="4" t="s">
        <v>18</v>
      </c>
      <c r="C83" s="4" t="s">
        <v>62</v>
      </c>
      <c r="D83" s="4" t="s">
        <v>59</v>
      </c>
      <c r="E83" s="3">
        <v>33.834939352975219</v>
      </c>
      <c r="F83" s="57">
        <v>1.2105849940102513</v>
      </c>
      <c r="G83" s="42">
        <v>24.7814074587364</v>
      </c>
      <c r="H83" s="66">
        <f t="shared" si="25"/>
        <v>0.7</v>
      </c>
      <c r="I83" s="3">
        <v>57.51939690005787</v>
      </c>
      <c r="J83" s="66">
        <f t="shared" si="20"/>
        <v>-0.26086956521739135</v>
      </c>
      <c r="K83" s="42">
        <v>25.00843343480777</v>
      </c>
      <c r="L83" s="44"/>
      <c r="M83" s="3"/>
      <c r="N83" s="42"/>
      <c r="O83" s="66">
        <f t="shared" si="21"/>
        <v>0.14285714285714302</v>
      </c>
      <c r="P83" s="3">
        <v>38.668502117685968</v>
      </c>
      <c r="Q83" s="66">
        <f t="shared" si="22"/>
        <v>-0.11111111111111116</v>
      </c>
      <c r="R83" s="42">
        <v>30.075501647089084</v>
      </c>
      <c r="S83" s="68">
        <f t="shared" si="23"/>
        <v>0.19999999999999996</v>
      </c>
      <c r="T83" s="3">
        <f t="shared" si="26"/>
        <v>40.601927223570264</v>
      </c>
      <c r="U83" s="42"/>
      <c r="V83" s="67">
        <f t="shared" si="19"/>
        <v>-0.16666666666666663</v>
      </c>
      <c r="W83" s="3">
        <v>20.651172882280335</v>
      </c>
      <c r="X83" s="42"/>
      <c r="Y83" s="66">
        <f t="shared" si="24"/>
        <v>0.19999999999999996</v>
      </c>
      <c r="Z83" s="3">
        <v>40.601927223570264</v>
      </c>
      <c r="AA83" s="3"/>
      <c r="AB83" s="3"/>
      <c r="AC83"/>
      <c r="AD83"/>
    </row>
    <row r="84" spans="1:30" x14ac:dyDescent="0.25">
      <c r="A84" s="4">
        <v>2020</v>
      </c>
      <c r="B84" s="4" t="s">
        <v>18</v>
      </c>
      <c r="C84" s="4" t="s">
        <v>62</v>
      </c>
      <c r="D84" s="4" t="s">
        <v>149</v>
      </c>
      <c r="E84" s="41">
        <v>36.820233979544341</v>
      </c>
      <c r="F84" s="58">
        <v>1.3262936477241847</v>
      </c>
      <c r="G84" s="43">
        <v>22.619425231718207</v>
      </c>
      <c r="H84" s="66">
        <f t="shared" si="25"/>
        <v>0.7</v>
      </c>
      <c r="I84" s="41">
        <v>62.594397765225381</v>
      </c>
      <c r="J84" s="66">
        <f t="shared" si="20"/>
        <v>-0.26086956521739124</v>
      </c>
      <c r="K84" s="43">
        <v>27.214955550097994</v>
      </c>
      <c r="L84" s="53"/>
      <c r="M84" s="41"/>
      <c r="N84" s="43"/>
      <c r="O84" s="66">
        <f t="shared" si="21"/>
        <v>0.14285714285714302</v>
      </c>
      <c r="P84" s="41">
        <v>42.080267405193538</v>
      </c>
      <c r="Q84" s="66">
        <f t="shared" si="22"/>
        <v>-0.11111111111111116</v>
      </c>
      <c r="R84" s="43">
        <v>32.72909687070608</v>
      </c>
      <c r="S84" s="68">
        <f t="shared" si="23"/>
        <v>0.19999999999999996</v>
      </c>
      <c r="T84" s="3">
        <f t="shared" si="26"/>
        <v>44.18428077545321</v>
      </c>
      <c r="U84" s="43"/>
      <c r="V84" s="67">
        <f t="shared" si="19"/>
        <v>-0.16666666666666663</v>
      </c>
      <c r="W84" s="41">
        <v>18.849521026431841</v>
      </c>
      <c r="X84" s="43"/>
      <c r="Y84" s="66">
        <f t="shared" si="24"/>
        <v>0.19999999999999996</v>
      </c>
      <c r="Z84" s="41">
        <v>44.18428077545321</v>
      </c>
      <c r="AA84" s="3"/>
      <c r="AB84" s="3"/>
      <c r="AC84"/>
      <c r="AD84"/>
    </row>
    <row r="85" spans="1:30" x14ac:dyDescent="0.25">
      <c r="A85" s="4">
        <v>2020</v>
      </c>
      <c r="B85" s="4" t="s">
        <v>47</v>
      </c>
      <c r="C85" s="4" t="s">
        <v>63</v>
      </c>
      <c r="D85" s="4" t="s">
        <v>48</v>
      </c>
      <c r="E85" s="41">
        <v>28.393356481481479</v>
      </c>
      <c r="F85" s="58">
        <v>1.2759378705588482</v>
      </c>
      <c r="G85" s="43">
        <v>23.512116610239254</v>
      </c>
      <c r="H85" s="66">
        <f t="shared" si="25"/>
        <v>0.70000000000000018</v>
      </c>
      <c r="I85" s="41">
        <v>48.268706018518522</v>
      </c>
      <c r="J85" s="66">
        <f t="shared" si="20"/>
        <v>-0.26086956521739124</v>
      </c>
      <c r="K85" s="43">
        <v>20.986393921095008</v>
      </c>
      <c r="L85" s="53"/>
      <c r="M85" s="41"/>
      <c r="N85" s="43"/>
      <c r="O85" s="66">
        <f t="shared" si="21"/>
        <v>0.14285714285714302</v>
      </c>
      <c r="P85" s="41">
        <v>32.449550264550268</v>
      </c>
      <c r="Q85" s="66">
        <f t="shared" si="22"/>
        <v>-0.11111111111111105</v>
      </c>
      <c r="R85" s="43">
        <v>25.238539094650207</v>
      </c>
      <c r="S85" s="68">
        <f t="shared" si="23"/>
        <v>0.19999999999999996</v>
      </c>
      <c r="T85" s="3">
        <f t="shared" si="26"/>
        <v>34.072027777777777</v>
      </c>
      <c r="U85" s="43"/>
      <c r="V85" s="67">
        <f t="shared" si="19"/>
        <v>-0.16666666666666663</v>
      </c>
      <c r="W85" s="41">
        <v>19.593430508532713</v>
      </c>
      <c r="X85" s="43"/>
      <c r="Y85" s="66">
        <f t="shared" si="24"/>
        <v>0.19999999999999996</v>
      </c>
      <c r="Z85" s="41">
        <v>34.072027777777777</v>
      </c>
      <c r="AA85" s="3"/>
      <c r="AB85" s="3"/>
      <c r="AC85"/>
      <c r="AD85"/>
    </row>
    <row r="86" spans="1:30" x14ac:dyDescent="0.25">
      <c r="A86" s="4">
        <v>2025</v>
      </c>
      <c r="B86" s="4" t="s">
        <v>47</v>
      </c>
      <c r="C86" s="4" t="s">
        <v>63</v>
      </c>
      <c r="D86" s="4" t="s">
        <v>48</v>
      </c>
      <c r="E86" s="3">
        <v>26.703598856209151</v>
      </c>
      <c r="F86" s="57">
        <v>1.2180564551088724</v>
      </c>
      <c r="G86" s="42">
        <v>24.629400282861717</v>
      </c>
      <c r="H86" s="66">
        <f t="shared" si="25"/>
        <v>0.7</v>
      </c>
      <c r="I86" s="3">
        <v>45.396118055555554</v>
      </c>
      <c r="J86" s="66">
        <f t="shared" si="20"/>
        <v>-0.26086956521739135</v>
      </c>
      <c r="K86" s="42">
        <v>19.737442632850239</v>
      </c>
      <c r="L86" s="67">
        <f t="shared" ref="L86:L91" si="27">M86/F86-1</f>
        <v>1.3333333333333335</v>
      </c>
      <c r="M86" s="3">
        <v>2.8421317285873688</v>
      </c>
      <c r="N86" s="42"/>
      <c r="O86" s="66">
        <f t="shared" si="21"/>
        <v>0.14285714285714302</v>
      </c>
      <c r="P86" s="3">
        <v>30.518398692810461</v>
      </c>
      <c r="Q86" s="66">
        <f t="shared" si="22"/>
        <v>-0.11111111111111116</v>
      </c>
      <c r="R86" s="42">
        <v>23.736532316630356</v>
      </c>
      <c r="S86" s="68">
        <f t="shared" si="23"/>
        <v>0.19999999999999973</v>
      </c>
      <c r="T86" s="3">
        <f t="shared" si="26"/>
        <v>32.044318627450977</v>
      </c>
      <c r="U86" s="42"/>
      <c r="V86" s="67">
        <f t="shared" si="19"/>
        <v>-0.16666666666666663</v>
      </c>
      <c r="W86" s="3">
        <v>20.524500235718097</v>
      </c>
      <c r="X86" s="42"/>
      <c r="Y86" s="66">
        <f t="shared" si="24"/>
        <v>0.20000000000000018</v>
      </c>
      <c r="Z86" s="3">
        <v>32.044318627450984</v>
      </c>
      <c r="AA86" s="66">
        <f>AB86/$E86-1</f>
        <v>-0.14285714285714279</v>
      </c>
      <c r="AB86" s="3">
        <v>22.888799019607845</v>
      </c>
      <c r="AC86"/>
      <c r="AD86"/>
    </row>
    <row r="87" spans="1:30" x14ac:dyDescent="0.25">
      <c r="A87" s="4">
        <v>2030</v>
      </c>
      <c r="B87" s="4" t="s">
        <v>47</v>
      </c>
      <c r="C87" s="4" t="s">
        <v>63</v>
      </c>
      <c r="D87" s="4" t="s">
        <v>48</v>
      </c>
      <c r="E87" s="3">
        <v>26.341973039215688</v>
      </c>
      <c r="F87" s="57">
        <v>1.1765795019926963</v>
      </c>
      <c r="G87" s="42">
        <v>25.497639512834404</v>
      </c>
      <c r="H87" s="66">
        <f t="shared" si="25"/>
        <v>0.70000000000000018</v>
      </c>
      <c r="I87" s="3">
        <v>44.781354166666674</v>
      </c>
      <c r="J87" s="66">
        <f t="shared" si="20"/>
        <v>-0.26086956521739124</v>
      </c>
      <c r="K87" s="42">
        <v>19.470153985507249</v>
      </c>
      <c r="L87" s="67">
        <f t="shared" si="27"/>
        <v>1.3333333333333335</v>
      </c>
      <c r="M87" s="3">
        <v>2.7453521713162914</v>
      </c>
      <c r="N87" s="42"/>
      <c r="O87" s="66">
        <f t="shared" si="21"/>
        <v>0.14285714285714324</v>
      </c>
      <c r="P87" s="3">
        <v>30.105112044817936</v>
      </c>
      <c r="Q87" s="66">
        <f t="shared" si="22"/>
        <v>-0.11111111111111094</v>
      </c>
      <c r="R87" s="42">
        <v>23.415087145969505</v>
      </c>
      <c r="S87" s="68">
        <f t="shared" si="23"/>
        <v>0.19999999999999996</v>
      </c>
      <c r="T87" s="3">
        <f t="shared" si="26"/>
        <v>31.610367647058823</v>
      </c>
      <c r="U87" s="42"/>
      <c r="V87" s="67">
        <f t="shared" si="19"/>
        <v>-0.16666666666666663</v>
      </c>
      <c r="W87" s="3">
        <v>21.248032927362004</v>
      </c>
      <c r="X87" s="42"/>
      <c r="Y87" s="66">
        <f t="shared" si="24"/>
        <v>0.19999999999999996</v>
      </c>
      <c r="Z87" s="3">
        <v>31.610367647058826</v>
      </c>
      <c r="AA87" s="66">
        <f t="shared" ref="AA87:AA91" si="28">AB87/$E87-1</f>
        <v>-0.1428571428571429</v>
      </c>
      <c r="AB87" s="3">
        <v>22.578834033613447</v>
      </c>
      <c r="AC87"/>
      <c r="AD87"/>
    </row>
    <row r="88" spans="1:30" x14ac:dyDescent="0.25">
      <c r="A88" s="4">
        <v>2035</v>
      </c>
      <c r="B88" s="4" t="s">
        <v>47</v>
      </c>
      <c r="C88" s="4" t="s">
        <v>63</v>
      </c>
      <c r="D88" s="4" t="s">
        <v>48</v>
      </c>
      <c r="E88" s="41">
        <v>25.699210239651418</v>
      </c>
      <c r="F88" s="58">
        <v>1.1503831132523779</v>
      </c>
      <c r="G88" s="43">
        <v>26.078268756209066</v>
      </c>
      <c r="H88" s="66">
        <f t="shared" si="25"/>
        <v>0.70000000000000018</v>
      </c>
      <c r="I88" s="41">
        <v>43.688657407407412</v>
      </c>
      <c r="J88" s="66">
        <f t="shared" si="20"/>
        <v>-0.26086956521739124</v>
      </c>
      <c r="K88" s="43">
        <v>18.995068438003223</v>
      </c>
      <c r="L88" s="67">
        <f t="shared" si="27"/>
        <v>1.3333333333333335</v>
      </c>
      <c r="M88" s="41">
        <v>2.6842272642555485</v>
      </c>
      <c r="N88" s="43"/>
      <c r="O88" s="66">
        <f t="shared" si="21"/>
        <v>0.14285714285714279</v>
      </c>
      <c r="P88" s="41">
        <v>29.37052598817305</v>
      </c>
      <c r="Q88" s="66">
        <f t="shared" si="22"/>
        <v>-0.11111111111111105</v>
      </c>
      <c r="R88" s="43">
        <v>22.843742435245705</v>
      </c>
      <c r="S88" s="68">
        <f t="shared" si="23"/>
        <v>0.20000000000000018</v>
      </c>
      <c r="T88" s="3">
        <f t="shared" si="26"/>
        <v>30.839052287581705</v>
      </c>
      <c r="U88" s="43"/>
      <c r="V88" s="67">
        <f t="shared" si="19"/>
        <v>-0.16666666666666674</v>
      </c>
      <c r="W88" s="41">
        <v>21.73189063017422</v>
      </c>
      <c r="X88" s="43"/>
      <c r="Y88" s="66">
        <f t="shared" si="24"/>
        <v>0.19999999999999996</v>
      </c>
      <c r="Z88" s="41">
        <v>30.839052287581701</v>
      </c>
      <c r="AA88" s="66">
        <f t="shared" si="28"/>
        <v>-0.1428571428571429</v>
      </c>
      <c r="AB88" s="41">
        <v>22.027894491129786</v>
      </c>
      <c r="AC88"/>
      <c r="AD88"/>
    </row>
    <row r="89" spans="1:30" x14ac:dyDescent="0.25">
      <c r="A89" s="4">
        <v>2040</v>
      </c>
      <c r="B89" s="4" t="s">
        <v>47</v>
      </c>
      <c r="C89" s="4" t="s">
        <v>62</v>
      </c>
      <c r="D89" s="4" t="s">
        <v>48</v>
      </c>
      <c r="E89" s="3">
        <v>25.360789760348585</v>
      </c>
      <c r="F89" s="57">
        <v>1.133662821417549</v>
      </c>
      <c r="G89" s="42">
        <v>26.462894816015531</v>
      </c>
      <c r="H89" s="66">
        <f t="shared" si="25"/>
        <v>0.69999999999999973</v>
      </c>
      <c r="I89" s="3">
        <v>43.113342592592588</v>
      </c>
      <c r="J89" s="66">
        <f t="shared" si="20"/>
        <v>-0.26086956521739135</v>
      </c>
      <c r="K89" s="42">
        <v>18.744931561996779</v>
      </c>
      <c r="L89" s="67">
        <f t="shared" si="27"/>
        <v>1.333333333333333</v>
      </c>
      <c r="M89" s="3">
        <v>2.6452132499742809</v>
      </c>
      <c r="N89" s="42"/>
      <c r="O89" s="66">
        <f t="shared" si="21"/>
        <v>0.14285714285714302</v>
      </c>
      <c r="P89" s="3">
        <v>28.98375972611267</v>
      </c>
      <c r="Q89" s="66">
        <f t="shared" si="22"/>
        <v>-0.11111111111111105</v>
      </c>
      <c r="R89" s="42">
        <v>22.542924231420965</v>
      </c>
      <c r="S89" s="68">
        <f t="shared" si="23"/>
        <v>0.19999999999999996</v>
      </c>
      <c r="T89" s="3">
        <f t="shared" si="26"/>
        <v>30.432947712418301</v>
      </c>
      <c r="U89" s="42"/>
      <c r="V89" s="67">
        <f t="shared" si="19"/>
        <v>-0.16666666666666663</v>
      </c>
      <c r="W89" s="3">
        <v>22.05241234667961</v>
      </c>
      <c r="X89" s="42"/>
      <c r="Y89" s="66">
        <f t="shared" si="24"/>
        <v>0.20000000000000018</v>
      </c>
      <c r="Z89" s="3">
        <v>30.432947712418304</v>
      </c>
      <c r="AA89" s="66">
        <f t="shared" si="28"/>
        <v>-0.14285714285714279</v>
      </c>
      <c r="AB89" s="3">
        <v>21.737819794584503</v>
      </c>
      <c r="AC89"/>
      <c r="AD89"/>
    </row>
    <row r="90" spans="1:30" x14ac:dyDescent="0.25">
      <c r="A90" s="4">
        <v>2045</v>
      </c>
      <c r="B90" s="4" t="s">
        <v>47</v>
      </c>
      <c r="C90" s="4" t="s">
        <v>63</v>
      </c>
      <c r="D90" s="4" t="s">
        <v>48</v>
      </c>
      <c r="E90" s="3">
        <v>25.032839052287585</v>
      </c>
      <c r="F90" s="57">
        <v>1.1190534109010541</v>
      </c>
      <c r="G90" s="42">
        <v>26.808371886239286</v>
      </c>
      <c r="H90" s="66">
        <f t="shared" si="25"/>
        <v>0.7</v>
      </c>
      <c r="I90" s="3">
        <v>42.555826388888896</v>
      </c>
      <c r="J90" s="66">
        <f t="shared" si="20"/>
        <v>-0.26086956521739124</v>
      </c>
      <c r="K90" s="42">
        <v>18.50253321256039</v>
      </c>
      <c r="L90" s="67">
        <f t="shared" si="27"/>
        <v>1.3333333333333335</v>
      </c>
      <c r="M90" s="3">
        <v>2.6111246254357932</v>
      </c>
      <c r="N90" s="42"/>
      <c r="O90" s="66">
        <f t="shared" si="21"/>
        <v>0.14285714285714302</v>
      </c>
      <c r="P90" s="3">
        <v>28.608958916900104</v>
      </c>
      <c r="Q90" s="66">
        <f t="shared" si="22"/>
        <v>-0.11111111111111105</v>
      </c>
      <c r="R90" s="42">
        <v>22.251412490922299</v>
      </c>
      <c r="S90" s="68">
        <f t="shared" si="23"/>
        <v>0.19999999999999996</v>
      </c>
      <c r="T90" s="3">
        <f t="shared" si="26"/>
        <v>30.0394068627451</v>
      </c>
      <c r="U90" s="42"/>
      <c r="V90" s="67">
        <f t="shared" si="19"/>
        <v>-0.16666666666666663</v>
      </c>
      <c r="W90" s="3">
        <v>22.340309905199405</v>
      </c>
      <c r="X90" s="42"/>
      <c r="Y90" s="66">
        <f t="shared" si="24"/>
        <v>0.19999999999999996</v>
      </c>
      <c r="Z90" s="3">
        <v>30.0394068627451</v>
      </c>
      <c r="AA90" s="66">
        <f t="shared" si="28"/>
        <v>-0.14285714285714302</v>
      </c>
      <c r="AB90" s="3">
        <v>21.45671918767507</v>
      </c>
      <c r="AC90"/>
      <c r="AD90"/>
    </row>
    <row r="91" spans="1:30" x14ac:dyDescent="0.25">
      <c r="A91" s="4">
        <v>2050</v>
      </c>
      <c r="B91" s="4" t="s">
        <v>47</v>
      </c>
      <c r="C91" s="4" t="s">
        <v>63</v>
      </c>
      <c r="D91" s="4" t="s">
        <v>48</v>
      </c>
      <c r="E91" s="41">
        <v>24.809901960784316</v>
      </c>
      <c r="F91" s="58">
        <v>1.1034725909745344</v>
      </c>
      <c r="G91" s="43">
        <v>27.186900921123403</v>
      </c>
      <c r="H91" s="66">
        <f t="shared" si="25"/>
        <v>0.7</v>
      </c>
      <c r="I91" s="41">
        <v>42.176833333333335</v>
      </c>
      <c r="J91" s="66">
        <f t="shared" si="20"/>
        <v>-0.26086956521739124</v>
      </c>
      <c r="K91" s="43">
        <v>18.337753623188409</v>
      </c>
      <c r="L91" s="67">
        <f t="shared" si="27"/>
        <v>1.333333333333333</v>
      </c>
      <c r="M91" s="41">
        <v>2.5747693789405801</v>
      </c>
      <c r="N91" s="43"/>
      <c r="O91" s="66">
        <f t="shared" si="21"/>
        <v>0.14285714285714302</v>
      </c>
      <c r="P91" s="41">
        <v>28.354173669467794</v>
      </c>
      <c r="Q91" s="66">
        <f t="shared" si="22"/>
        <v>-0.11111111111111094</v>
      </c>
      <c r="R91" s="43">
        <v>22.05324618736384</v>
      </c>
      <c r="S91" s="68">
        <f t="shared" si="23"/>
        <v>0.19999999999999996</v>
      </c>
      <c r="T91" s="3">
        <f t="shared" si="26"/>
        <v>29.77188235294118</v>
      </c>
      <c r="U91" s="43"/>
      <c r="V91" s="67">
        <f t="shared" si="19"/>
        <v>-0.16666666666666663</v>
      </c>
      <c r="W91" s="41">
        <v>22.655750767602836</v>
      </c>
      <c r="X91" s="43"/>
      <c r="Y91" s="66">
        <f t="shared" si="24"/>
        <v>0.19999999999999996</v>
      </c>
      <c r="Z91" s="41">
        <v>29.77188235294118</v>
      </c>
      <c r="AA91" s="66">
        <f t="shared" si="28"/>
        <v>-0.1428571428571429</v>
      </c>
      <c r="AB91" s="41">
        <v>21.265630252100841</v>
      </c>
      <c r="AC91"/>
      <c r="AD91"/>
    </row>
    <row r="92" spans="1:30" x14ac:dyDescent="0.25">
      <c r="C92" s="4"/>
      <c r="I92"/>
    </row>
    <row r="93" spans="1:30" x14ac:dyDescent="0.25">
      <c r="E93" s="4" t="s">
        <v>100</v>
      </c>
      <c r="I93"/>
    </row>
    <row r="94" spans="1:30" x14ac:dyDescent="0.25">
      <c r="E94" s="4" t="s">
        <v>102</v>
      </c>
    </row>
    <row r="95" spans="1:30" x14ac:dyDescent="0.25">
      <c r="E95" t="s">
        <v>103</v>
      </c>
      <c r="F95" s="55">
        <v>1000</v>
      </c>
      <c r="G95" t="s">
        <v>105</v>
      </c>
      <c r="H95" s="1" t="s">
        <v>113</v>
      </c>
    </row>
    <row r="96" spans="1:30" x14ac:dyDescent="0.25">
      <c r="E96" t="s">
        <v>109</v>
      </c>
      <c r="F96" s="59">
        <v>1700</v>
      </c>
      <c r="G96" t="s">
        <v>105</v>
      </c>
      <c r="H96" s="1" t="s">
        <v>113</v>
      </c>
    </row>
    <row r="97" spans="5:9" x14ac:dyDescent="0.25">
      <c r="E97" t="s">
        <v>104</v>
      </c>
      <c r="F97" s="55">
        <v>2300</v>
      </c>
      <c r="G97" t="s">
        <v>105</v>
      </c>
      <c r="H97" s="1" t="s">
        <v>113</v>
      </c>
    </row>
    <row r="98" spans="5:9" x14ac:dyDescent="0.25">
      <c r="E98" t="s">
        <v>106</v>
      </c>
      <c r="F98" s="59">
        <v>0.3</v>
      </c>
      <c r="H98" s="1" t="s">
        <v>113</v>
      </c>
    </row>
    <row r="99" spans="5:9" x14ac:dyDescent="0.25">
      <c r="F99" s="55">
        <v>0.7</v>
      </c>
      <c r="H99" s="1" t="s">
        <v>139</v>
      </c>
    </row>
    <row r="101" spans="5:9" x14ac:dyDescent="0.25">
      <c r="E101" t="s">
        <v>107</v>
      </c>
      <c r="F101" s="59">
        <v>30</v>
      </c>
      <c r="G101" t="s">
        <v>108</v>
      </c>
    </row>
    <row r="102" spans="5:9" x14ac:dyDescent="0.25">
      <c r="E102" t="s">
        <v>110</v>
      </c>
      <c r="F102" s="60">
        <v>0.75</v>
      </c>
      <c r="G102" t="s">
        <v>127</v>
      </c>
      <c r="H102" t="s">
        <v>126</v>
      </c>
    </row>
    <row r="103" spans="5:9" x14ac:dyDescent="0.25">
      <c r="F103" s="59">
        <v>0.8</v>
      </c>
      <c r="G103" t="s">
        <v>128</v>
      </c>
    </row>
    <row r="104" spans="5:9" x14ac:dyDescent="0.25">
      <c r="F104" s="55">
        <v>0.9</v>
      </c>
      <c r="G104">
        <v>0.7</v>
      </c>
      <c r="H104" t="s">
        <v>136</v>
      </c>
    </row>
    <row r="105" spans="5:9" ht="56.25" x14ac:dyDescent="0.25">
      <c r="E105" t="s">
        <v>111</v>
      </c>
      <c r="F105" s="59">
        <v>0.14000000000000001</v>
      </c>
      <c r="G105" t="s">
        <v>26</v>
      </c>
      <c r="H105">
        <v>2011</v>
      </c>
      <c r="I105" s="25" t="s">
        <v>112</v>
      </c>
    </row>
    <row r="106" spans="5:9" x14ac:dyDescent="0.25">
      <c r="F106" s="59">
        <v>0.13</v>
      </c>
      <c r="G106" t="s">
        <v>62</v>
      </c>
      <c r="H106">
        <v>2011</v>
      </c>
      <c r="I106" s="24"/>
    </row>
    <row r="107" spans="5:9" x14ac:dyDescent="0.25">
      <c r="F107" s="59">
        <v>0.11</v>
      </c>
      <c r="G107" t="s">
        <v>119</v>
      </c>
      <c r="I107" s="24" t="s">
        <v>120</v>
      </c>
    </row>
    <row r="109" spans="5:9" x14ac:dyDescent="0.25">
      <c r="F109" s="59">
        <v>0.17</v>
      </c>
      <c r="G109" t="s">
        <v>26</v>
      </c>
      <c r="H109">
        <v>2015</v>
      </c>
      <c r="I109" s="1" t="s">
        <v>113</v>
      </c>
    </row>
    <row r="110" spans="5:9" x14ac:dyDescent="0.25">
      <c r="F110" s="59">
        <v>0.16</v>
      </c>
      <c r="G110" t="s">
        <v>62</v>
      </c>
      <c r="H110">
        <v>2015</v>
      </c>
      <c r="I110" s="1" t="s">
        <v>114</v>
      </c>
    </row>
    <row r="111" spans="5:9" x14ac:dyDescent="0.25">
      <c r="I111" s="1" t="s">
        <v>115</v>
      </c>
    </row>
    <row r="112" spans="5:9" ht="112.5" x14ac:dyDescent="0.25">
      <c r="F112" s="59">
        <v>0.13</v>
      </c>
      <c r="G112" t="s">
        <v>119</v>
      </c>
      <c r="H112">
        <v>2015</v>
      </c>
      <c r="I112" s="30" t="s">
        <v>123</v>
      </c>
    </row>
    <row r="113" spans="5:9" x14ac:dyDescent="0.25">
      <c r="F113" s="59">
        <v>0.20499999999999999</v>
      </c>
      <c r="G113" t="s">
        <v>26</v>
      </c>
      <c r="H113">
        <v>2020</v>
      </c>
      <c r="I113" s="1" t="s">
        <v>113</v>
      </c>
    </row>
    <row r="114" spans="5:9" x14ac:dyDescent="0.25">
      <c r="F114" s="59">
        <v>0.18</v>
      </c>
      <c r="G114" t="s">
        <v>62</v>
      </c>
      <c r="H114">
        <v>2020</v>
      </c>
      <c r="I114" s="1" t="s">
        <v>114</v>
      </c>
    </row>
    <row r="115" spans="5:9" x14ac:dyDescent="0.25">
      <c r="I115" s="1" t="s">
        <v>115</v>
      </c>
    </row>
    <row r="116" spans="5:9" ht="112.5" x14ac:dyDescent="0.25">
      <c r="F116" s="59">
        <v>0.15</v>
      </c>
      <c r="H116">
        <v>2020</v>
      </c>
      <c r="I116" s="30" t="s">
        <v>123</v>
      </c>
    </row>
    <row r="119" spans="5:9" x14ac:dyDescent="0.25">
      <c r="F119" s="61">
        <v>0.26700000000000002</v>
      </c>
      <c r="G119" s="31" t="s">
        <v>26</v>
      </c>
      <c r="H119" s="31" t="s">
        <v>116</v>
      </c>
      <c r="I119" s="32"/>
    </row>
    <row r="120" spans="5:9" x14ac:dyDescent="0.25">
      <c r="F120" s="61">
        <v>0.23300000000000001</v>
      </c>
      <c r="G120" s="31" t="s">
        <v>62</v>
      </c>
      <c r="H120" s="31" t="s">
        <v>116</v>
      </c>
      <c r="I120" s="32"/>
    </row>
    <row r="121" spans="5:9" x14ac:dyDescent="0.25">
      <c r="E121" s="26"/>
    </row>
    <row r="122" spans="5:9" x14ac:dyDescent="0.25">
      <c r="F122" s="62" t="s">
        <v>133</v>
      </c>
      <c r="G122" s="31" t="s">
        <v>26</v>
      </c>
      <c r="H122" s="34" t="s">
        <v>134</v>
      </c>
      <c r="I122" s="32">
        <f>0.9*F119</f>
        <v>0.24030000000000001</v>
      </c>
    </row>
    <row r="123" spans="5:9" x14ac:dyDescent="0.25">
      <c r="E123" s="26"/>
      <c r="F123" s="62" t="s">
        <v>118</v>
      </c>
      <c r="G123" s="31" t="s">
        <v>62</v>
      </c>
      <c r="H123" s="34" t="s">
        <v>134</v>
      </c>
      <c r="I123" s="32">
        <f>0.9*F120</f>
        <v>0.20970000000000003</v>
      </c>
    </row>
    <row r="124" spans="5:9" x14ac:dyDescent="0.25">
      <c r="F124" s="61" t="s">
        <v>124</v>
      </c>
      <c r="G124" s="31" t="s">
        <v>125</v>
      </c>
      <c r="H124" s="34" t="s">
        <v>134</v>
      </c>
      <c r="I124" s="32"/>
    </row>
    <row r="128" spans="5:9" x14ac:dyDescent="0.25">
      <c r="F128" s="61" t="s">
        <v>129</v>
      </c>
      <c r="G128" s="31"/>
      <c r="H128" s="31"/>
      <c r="I128" s="32"/>
    </row>
    <row r="129" spans="6:9" x14ac:dyDescent="0.25">
      <c r="F129" s="63">
        <f>F113*(0.995^30)</f>
        <v>0.17637875934251276</v>
      </c>
      <c r="G129" s="34" t="s">
        <v>126</v>
      </c>
      <c r="H129" s="35" t="s">
        <v>132</v>
      </c>
      <c r="I129" s="36" t="s">
        <v>135</v>
      </c>
    </row>
    <row r="130" spans="6:9" x14ac:dyDescent="0.25">
      <c r="F130" s="63">
        <f t="shared" ref="F130" si="29">F114*(0.995^30)</f>
        <v>0.15486915454464534</v>
      </c>
      <c r="G130" s="34" t="s">
        <v>126</v>
      </c>
      <c r="H130" s="35" t="s">
        <v>132</v>
      </c>
      <c r="I130" s="36" t="s">
        <v>131</v>
      </c>
    </row>
    <row r="131" spans="6:9" x14ac:dyDescent="0.25">
      <c r="F131" s="63">
        <f>F116*(0.995^30)</f>
        <v>0.12905762878720445</v>
      </c>
      <c r="G131" s="34" t="s">
        <v>126</v>
      </c>
      <c r="H131" s="35" t="s">
        <v>132</v>
      </c>
      <c r="I131" s="36" t="s">
        <v>130</v>
      </c>
    </row>
  </sheetData>
  <mergeCells count="6">
    <mergeCell ref="H1:K1"/>
    <mergeCell ref="L1:N1"/>
    <mergeCell ref="O1:R1"/>
    <mergeCell ref="V1:X1"/>
    <mergeCell ref="Y1:AB1"/>
    <mergeCell ref="S1:U1"/>
  </mergeCells>
  <hyperlinks>
    <hyperlink ref="G129" r:id="rId1" location="bib43" xr:uid="{B2033654-86C7-4C5D-BEC4-7DBD94C8367E}"/>
    <hyperlink ref="G130" r:id="rId2" location="bib43" display="https://www.sciencedirect.com/science/article/pii/S136403211500146X - bib43" xr:uid="{7E9D4763-122A-43C9-922A-D0602E8E96DE}"/>
    <hyperlink ref="G131" r:id="rId3" location="bib43" display="https://www.sciencedirect.com/science/article/pii/S136403211500146X - bib43" xr:uid="{B3458E77-A78C-4591-9804-FB9C273F9C6D}"/>
    <hyperlink ref="H122" r:id="rId4" xr:uid="{E8C2DECF-0C55-44CE-9236-31EC92DBE538}"/>
    <hyperlink ref="H123" r:id="rId5" xr:uid="{40FC4D02-3B5B-437A-9EC7-E482BC5509A7}"/>
    <hyperlink ref="H124" r:id="rId6" xr:uid="{C0F8B889-23D1-48AB-BA08-5163FF726391}"/>
  </hyperlinks>
  <pageMargins left="0.7" right="0.7" top="0.75" bottom="0.75" header="0.3" footer="0.3"/>
  <pageSetup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448A-83C3-40F8-A06B-D4CA19496D33}">
  <dimension ref="A1:AD131"/>
  <sheetViews>
    <sheetView zoomScale="85" zoomScaleNormal="85" workbookViewId="0">
      <selection activeCell="E4" sqref="E4:E91"/>
    </sheetView>
  </sheetViews>
  <sheetFormatPr defaultRowHeight="15" x14ac:dyDescent="0.25"/>
  <cols>
    <col min="2" max="2" width="24.140625" customWidth="1"/>
    <col min="3" max="3" width="20.42578125" customWidth="1"/>
    <col min="4" max="4" width="44" customWidth="1"/>
    <col min="5" max="5" width="30.7109375" customWidth="1"/>
    <col min="6" max="6" width="15" style="55" customWidth="1"/>
    <col min="9" max="9" width="8.5703125" style="1" customWidth="1"/>
    <col min="10" max="10" width="22.42578125" customWidth="1"/>
    <col min="11" max="11" width="11" customWidth="1"/>
    <col min="12" max="12" width="9.140625" style="42"/>
    <col min="13" max="13" width="17.42578125" style="1" customWidth="1"/>
    <col min="16" max="16" width="9.140625" style="51"/>
    <col min="19" max="19" width="9.140625" style="51"/>
    <col min="23" max="23" width="9.140625" style="51"/>
    <col min="26" max="26" width="9.140625" style="51"/>
    <col min="27" max="27" width="9.140625" style="1"/>
  </cols>
  <sheetData>
    <row r="1" spans="1:30" x14ac:dyDescent="0.25">
      <c r="M1" s="101" t="s">
        <v>121</v>
      </c>
      <c r="N1" s="102"/>
      <c r="O1" s="102"/>
      <c r="P1" s="102"/>
      <c r="Q1" s="102" t="s">
        <v>122</v>
      </c>
      <c r="R1" s="102"/>
      <c r="S1" s="102"/>
      <c r="T1" s="102" t="s">
        <v>121</v>
      </c>
      <c r="U1" s="102"/>
      <c r="V1" s="102"/>
      <c r="W1" s="102"/>
      <c r="X1" s="102" t="s">
        <v>137</v>
      </c>
      <c r="Y1" s="102"/>
      <c r="Z1" s="102"/>
      <c r="AA1" s="102" t="s">
        <v>121</v>
      </c>
      <c r="AB1" s="102"/>
      <c r="AC1" s="102"/>
      <c r="AD1" s="102"/>
    </row>
    <row r="2" spans="1:30" x14ac:dyDescent="0.25">
      <c r="A2" s="4"/>
      <c r="B2" s="4"/>
      <c r="C2" s="4"/>
      <c r="D2" s="4"/>
      <c r="E2" s="4"/>
      <c r="F2" s="56"/>
      <c r="G2" s="4"/>
      <c r="H2" s="4"/>
      <c r="I2" s="4"/>
      <c r="J2" s="3"/>
      <c r="K2" s="3"/>
      <c r="M2" s="1" t="s">
        <v>138</v>
      </c>
      <c r="N2" s="44" t="s">
        <v>141</v>
      </c>
      <c r="O2" s="44" t="s">
        <v>142</v>
      </c>
      <c r="P2" s="50" t="s">
        <v>143</v>
      </c>
      <c r="Q2" s="44" t="s">
        <v>138</v>
      </c>
      <c r="R2" s="44" t="s">
        <v>145</v>
      </c>
      <c r="S2" s="50" t="s">
        <v>142</v>
      </c>
      <c r="T2" s="44" t="s">
        <v>138</v>
      </c>
      <c r="U2" s="44" t="s">
        <v>141</v>
      </c>
      <c r="V2" s="44" t="s">
        <v>142</v>
      </c>
      <c r="W2" s="50" t="s">
        <v>143</v>
      </c>
      <c r="X2" s="44" t="s">
        <v>138</v>
      </c>
      <c r="Y2" s="44" t="s">
        <v>141</v>
      </c>
      <c r="Z2" s="50" t="s">
        <v>142</v>
      </c>
      <c r="AA2" s="1" t="s">
        <v>138</v>
      </c>
      <c r="AB2" s="44" t="s">
        <v>141</v>
      </c>
      <c r="AC2" s="44" t="s">
        <v>142</v>
      </c>
      <c r="AD2" s="44" t="s">
        <v>143</v>
      </c>
    </row>
    <row r="3" spans="1:30" x14ac:dyDescent="0.25">
      <c r="A3" s="4" t="s">
        <v>0</v>
      </c>
      <c r="B3" s="4" t="s">
        <v>1</v>
      </c>
      <c r="C3" s="4" t="s">
        <v>25</v>
      </c>
      <c r="D3" s="4" t="s">
        <v>7</v>
      </c>
      <c r="E3" s="6" t="s">
        <v>121</v>
      </c>
      <c r="F3" s="56" t="s">
        <v>122</v>
      </c>
      <c r="G3" s="13" t="s">
        <v>137</v>
      </c>
      <c r="H3" s="49" t="s">
        <v>140</v>
      </c>
      <c r="I3" s="44">
        <v>1000</v>
      </c>
      <c r="J3" s="44">
        <v>1700</v>
      </c>
      <c r="K3" s="50">
        <v>2300</v>
      </c>
      <c r="L3" s="44" t="s">
        <v>144</v>
      </c>
      <c r="M3" s="45">
        <v>0.7</v>
      </c>
      <c r="N3" s="52">
        <v>0.3</v>
      </c>
      <c r="O3" s="44" t="s">
        <v>110</v>
      </c>
      <c r="P3" s="44">
        <v>0.7</v>
      </c>
      <c r="Q3" s="44">
        <v>0.8</v>
      </c>
      <c r="R3" s="50">
        <v>0.9</v>
      </c>
      <c r="S3" s="44" t="s">
        <v>107</v>
      </c>
      <c r="T3" s="44" t="s">
        <v>146</v>
      </c>
      <c r="U3" s="50" t="s">
        <v>147</v>
      </c>
      <c r="V3" s="1" t="s">
        <v>148</v>
      </c>
      <c r="W3" s="45">
        <v>0.18</v>
      </c>
      <c r="X3" s="46">
        <v>0.20499999999999999</v>
      </c>
      <c r="Y3" s="45">
        <v>0.24</v>
      </c>
      <c r="Z3"/>
      <c r="AA3"/>
    </row>
    <row r="4" spans="1:30" x14ac:dyDescent="0.25">
      <c r="A4" s="4">
        <v>2010</v>
      </c>
      <c r="B4" s="4" t="s">
        <v>18</v>
      </c>
      <c r="C4" s="4" t="s">
        <v>26</v>
      </c>
      <c r="D4" s="4" t="s">
        <v>49</v>
      </c>
      <c r="E4" s="3">
        <v>69.291105473792015</v>
      </c>
      <c r="F4" s="57">
        <v>2.0742766761268645</v>
      </c>
      <c r="G4" s="42">
        <v>14.46287293555104</v>
      </c>
      <c r="H4" s="1" t="s">
        <v>121</v>
      </c>
      <c r="I4" s="3">
        <v>117.79487930544643</v>
      </c>
      <c r="J4" s="44" t="s">
        <v>121</v>
      </c>
      <c r="K4" s="42">
        <v>51.215164915411492</v>
      </c>
      <c r="L4" s="44" t="s">
        <v>122</v>
      </c>
      <c r="M4" s="3"/>
      <c r="N4" s="42"/>
      <c r="O4" s="3" t="s">
        <v>121</v>
      </c>
      <c r="P4" s="3">
        <v>79.189834827190879</v>
      </c>
      <c r="Q4" s="3"/>
      <c r="R4" s="42">
        <v>61.592093754481795</v>
      </c>
      <c r="S4" s="3" t="s">
        <v>137</v>
      </c>
      <c r="T4" s="3">
        <v>12.052394112959201</v>
      </c>
      <c r="U4" s="42"/>
      <c r="V4" s="48" t="s">
        <v>121</v>
      </c>
      <c r="W4" s="3">
        <v>78.914870122929798</v>
      </c>
      <c r="X4" s="3"/>
      <c r="Y4" s="3"/>
      <c r="Z4"/>
      <c r="AA4"/>
    </row>
    <row r="5" spans="1:30" x14ac:dyDescent="0.25">
      <c r="A5" s="4">
        <v>2010</v>
      </c>
      <c r="B5" s="4" t="s">
        <v>18</v>
      </c>
      <c r="C5" s="4" t="s">
        <v>26</v>
      </c>
      <c r="D5" s="4" t="s">
        <v>50</v>
      </c>
      <c r="E5" s="3">
        <v>51.328748673932068</v>
      </c>
      <c r="F5" s="57">
        <v>2.1360807402563466</v>
      </c>
      <c r="G5" s="42">
        <v>14.044412944989974</v>
      </c>
      <c r="H5" s="1"/>
      <c r="I5" s="3">
        <v>87.258872745684528</v>
      </c>
      <c r="J5" s="44"/>
      <c r="K5" s="42">
        <v>37.93864032421066</v>
      </c>
      <c r="L5" s="44"/>
      <c r="M5" s="3"/>
      <c r="N5" s="42"/>
      <c r="O5" s="3"/>
      <c r="P5" s="3">
        <v>58.661427055922374</v>
      </c>
      <c r="Q5" s="3"/>
      <c r="R5" s="42">
        <v>45.625554376828511</v>
      </c>
      <c r="S5" s="3"/>
      <c r="T5" s="3">
        <v>11.70367745415831</v>
      </c>
      <c r="U5" s="42"/>
      <c r="V5" s="48"/>
      <c r="W5" s="3">
        <v>58.457741545311521</v>
      </c>
      <c r="X5" s="3"/>
      <c r="Y5" s="3"/>
      <c r="Z5"/>
      <c r="AA5"/>
    </row>
    <row r="6" spans="1:30" x14ac:dyDescent="0.25">
      <c r="A6" s="4">
        <v>2010</v>
      </c>
      <c r="B6" s="4" t="s">
        <v>18</v>
      </c>
      <c r="C6" s="4" t="s">
        <v>26</v>
      </c>
      <c r="D6" s="4" t="s">
        <v>51</v>
      </c>
      <c r="E6" s="3">
        <v>48.49884674902836</v>
      </c>
      <c r="F6" s="57">
        <v>2.1566954964345553</v>
      </c>
      <c r="G6" s="42">
        <v>13.910169539277074</v>
      </c>
      <c r="H6" s="1"/>
      <c r="I6" s="3">
        <v>82.448039473348203</v>
      </c>
      <c r="J6" s="44"/>
      <c r="K6" s="42">
        <v>35.846973684064437</v>
      </c>
      <c r="L6" s="44"/>
      <c r="M6" s="3"/>
      <c r="N6" s="42"/>
      <c r="O6" s="3"/>
      <c r="P6" s="3">
        <v>55.42725342746099</v>
      </c>
      <c r="Q6" s="3"/>
      <c r="R6" s="42">
        <v>43.110085999136324</v>
      </c>
      <c r="S6" s="3"/>
      <c r="T6" s="3">
        <v>11.591807949397563</v>
      </c>
      <c r="U6" s="42"/>
      <c r="V6" s="48"/>
      <c r="W6" s="3">
        <v>55.234797686393414</v>
      </c>
      <c r="X6" s="3"/>
      <c r="Y6" s="3"/>
      <c r="Z6"/>
      <c r="AA6"/>
    </row>
    <row r="7" spans="1:30" x14ac:dyDescent="0.25">
      <c r="A7" s="4">
        <v>2010</v>
      </c>
      <c r="B7" s="4" t="s">
        <v>18</v>
      </c>
      <c r="C7" s="4" t="s">
        <v>26</v>
      </c>
      <c r="D7" s="4" t="s">
        <v>52</v>
      </c>
      <c r="E7" s="3">
        <v>50.802345413165263</v>
      </c>
      <c r="F7" s="57">
        <v>2.0022573372624399</v>
      </c>
      <c r="G7" s="42">
        <v>14.983089057382157</v>
      </c>
      <c r="H7" s="1"/>
      <c r="I7" s="3">
        <v>86.36398720238094</v>
      </c>
      <c r="J7" s="44"/>
      <c r="K7" s="42">
        <v>37.549559653209108</v>
      </c>
      <c r="L7" s="44"/>
      <c r="M7" s="3"/>
      <c r="N7" s="42"/>
      <c r="O7" s="3"/>
      <c r="P7" s="3">
        <v>58.059823329331735</v>
      </c>
      <c r="Q7" s="3"/>
      <c r="R7" s="42">
        <v>45.157640367258011</v>
      </c>
      <c r="S7" s="3"/>
      <c r="T7" s="3">
        <v>12.485907547818464</v>
      </c>
      <c r="U7" s="42"/>
      <c r="V7" s="48"/>
      <c r="W7" s="3">
        <v>57.858226720549325</v>
      </c>
      <c r="X7" s="3"/>
      <c r="Y7" s="3"/>
      <c r="Z7"/>
      <c r="AA7"/>
    </row>
    <row r="8" spans="1:30" x14ac:dyDescent="0.25">
      <c r="A8" s="4">
        <v>2010</v>
      </c>
      <c r="B8" s="4" t="s">
        <v>18</v>
      </c>
      <c r="C8" s="4" t="s">
        <v>26</v>
      </c>
      <c r="D8" s="4" t="s">
        <v>53</v>
      </c>
      <c r="E8" s="3">
        <v>61.888040962324915</v>
      </c>
      <c r="F8" s="57">
        <v>2.216245445295431</v>
      </c>
      <c r="G8" s="42">
        <v>13.536406837826993</v>
      </c>
      <c r="H8" s="1"/>
      <c r="I8" s="3">
        <v>105.20966963595235</v>
      </c>
      <c r="J8" s="44"/>
      <c r="K8" s="42">
        <v>45.743334624327105</v>
      </c>
      <c r="L8" s="44"/>
      <c r="M8" s="3"/>
      <c r="N8" s="42"/>
      <c r="O8" s="3"/>
      <c r="P8" s="3">
        <v>70.729189671228482</v>
      </c>
      <c r="Q8" s="3"/>
      <c r="R8" s="42">
        <v>55.011591966511034</v>
      </c>
      <c r="S8" s="3"/>
      <c r="T8" s="3">
        <v>11.280339031522495</v>
      </c>
      <c r="U8" s="42"/>
      <c r="V8" s="48"/>
      <c r="W8" s="3">
        <v>70.483602207092261</v>
      </c>
      <c r="X8" s="3"/>
      <c r="Y8" s="3"/>
      <c r="Z8"/>
      <c r="AA8"/>
    </row>
    <row r="9" spans="1:30" x14ac:dyDescent="0.25">
      <c r="A9" s="4">
        <v>2010</v>
      </c>
      <c r="B9" s="4" t="s">
        <v>18</v>
      </c>
      <c r="C9" s="4" t="s">
        <v>26</v>
      </c>
      <c r="D9" s="4" t="s">
        <v>54</v>
      </c>
      <c r="E9" s="3">
        <v>60.699886692051813</v>
      </c>
      <c r="F9" s="57">
        <v>2.2289090502040483</v>
      </c>
      <c r="G9" s="42">
        <v>13.459499389288052</v>
      </c>
      <c r="H9" s="1"/>
      <c r="I9" s="3">
        <v>103.18980737648808</v>
      </c>
      <c r="J9" s="44"/>
      <c r="K9" s="42">
        <v>44.865133641951338</v>
      </c>
      <c r="L9" s="44"/>
      <c r="M9" s="3"/>
      <c r="N9" s="42"/>
      <c r="O9" s="3"/>
      <c r="P9" s="3">
        <v>69.371299076630649</v>
      </c>
      <c r="Q9" s="3"/>
      <c r="R9" s="42">
        <v>53.955454837379392</v>
      </c>
      <c r="S9" s="3"/>
      <c r="T9" s="3">
        <v>11.216249491073377</v>
      </c>
      <c r="U9" s="42"/>
      <c r="V9" s="48"/>
      <c r="W9" s="3">
        <v>69.13042651039234</v>
      </c>
      <c r="X9" s="3"/>
      <c r="Y9" s="3"/>
      <c r="Z9"/>
      <c r="AA9"/>
    </row>
    <row r="10" spans="1:30" x14ac:dyDescent="0.25">
      <c r="A10" s="4">
        <v>2010</v>
      </c>
      <c r="B10" s="4" t="s">
        <v>18</v>
      </c>
      <c r="C10" s="4" t="s">
        <v>26</v>
      </c>
      <c r="D10" s="4" t="s">
        <v>149</v>
      </c>
      <c r="E10" s="41">
        <v>60.85093168655235</v>
      </c>
      <c r="F10" s="58">
        <v>2.1884847644037158</v>
      </c>
      <c r="G10" s="43">
        <v>13.708114622481245</v>
      </c>
      <c r="H10" s="1"/>
      <c r="I10" s="41">
        <v>103.446583867139</v>
      </c>
      <c r="J10" s="53"/>
      <c r="K10" s="43">
        <v>44.976775594408259</v>
      </c>
      <c r="L10" s="53"/>
      <c r="M10" s="41"/>
      <c r="N10" s="43"/>
      <c r="O10" s="41"/>
      <c r="P10" s="41">
        <v>69.543921927488412</v>
      </c>
      <c r="Q10" s="41"/>
      <c r="R10" s="43">
        <v>54.089717054713198</v>
      </c>
      <c r="S10" s="41"/>
      <c r="T10" s="41">
        <v>11.423428852067705</v>
      </c>
      <c r="U10" s="43"/>
      <c r="V10" s="54"/>
      <c r="W10" s="41">
        <v>69.302449976351284</v>
      </c>
      <c r="X10" s="3"/>
      <c r="Y10" s="3"/>
      <c r="Z10"/>
      <c r="AA10"/>
    </row>
    <row r="11" spans="1:30" x14ac:dyDescent="0.25">
      <c r="A11" s="4">
        <v>2015</v>
      </c>
      <c r="B11" s="4" t="s">
        <v>18</v>
      </c>
      <c r="C11" s="4" t="s">
        <v>26</v>
      </c>
      <c r="D11" s="4" t="s">
        <v>49</v>
      </c>
      <c r="E11" s="3">
        <v>53.94327198187716</v>
      </c>
      <c r="F11" s="57">
        <v>1.6761640024684124</v>
      </c>
      <c r="G11" s="42">
        <v>17.89800995357276</v>
      </c>
      <c r="H11" s="1"/>
      <c r="I11" s="3">
        <v>91.703562369191175</v>
      </c>
      <c r="J11" s="44"/>
      <c r="K11" s="42">
        <v>39.87111407356138</v>
      </c>
      <c r="L11" s="44"/>
      <c r="M11" s="3"/>
      <c r="N11" s="42"/>
      <c r="O11" s="3"/>
      <c r="P11" s="3">
        <v>61.649453693573911</v>
      </c>
      <c r="Q11" s="3"/>
      <c r="R11" s="42">
        <v>47.949575095001926</v>
      </c>
      <c r="S11" s="3"/>
      <c r="T11" s="3">
        <v>14.915008294643966</v>
      </c>
      <c r="U11" s="42"/>
      <c r="V11" s="48"/>
      <c r="W11" s="3">
        <v>61.435393090471216</v>
      </c>
      <c r="X11" s="3"/>
      <c r="Y11" s="3"/>
      <c r="Z11"/>
      <c r="AA11"/>
    </row>
    <row r="12" spans="1:30" x14ac:dyDescent="0.25">
      <c r="A12" s="4">
        <v>2015</v>
      </c>
      <c r="B12" s="4" t="s">
        <v>18</v>
      </c>
      <c r="C12" s="4" t="s">
        <v>26</v>
      </c>
      <c r="D12" s="4" t="s">
        <v>51</v>
      </c>
      <c r="E12" s="3">
        <v>45.658609087435117</v>
      </c>
      <c r="F12" s="57">
        <v>1.6601795534030077</v>
      </c>
      <c r="G12" s="42">
        <v>18.070334584296326</v>
      </c>
      <c r="H12" s="1"/>
      <c r="I12" s="3">
        <v>77.619635448639698</v>
      </c>
      <c r="J12" s="44"/>
      <c r="K12" s="42">
        <v>33.74766758636509</v>
      </c>
      <c r="L12" s="44"/>
      <c r="M12" s="3"/>
      <c r="N12" s="42"/>
      <c r="O12" s="3"/>
      <c r="P12" s="3">
        <v>52.181267528497287</v>
      </c>
      <c r="Q12" s="3"/>
      <c r="R12" s="42">
        <v>40.585430299942331</v>
      </c>
      <c r="S12" s="3"/>
      <c r="T12" s="3">
        <v>15.058612153580272</v>
      </c>
      <c r="U12" s="42"/>
      <c r="V12" s="48"/>
      <c r="W12" s="3">
        <v>52.000082571801109</v>
      </c>
      <c r="X12" s="3"/>
      <c r="Y12" s="3"/>
      <c r="Z12"/>
      <c r="AA12"/>
    </row>
    <row r="13" spans="1:30" x14ac:dyDescent="0.25">
      <c r="A13" s="4">
        <v>2015</v>
      </c>
      <c r="B13" s="4" t="s">
        <v>18</v>
      </c>
      <c r="C13" s="4" t="s">
        <v>26</v>
      </c>
      <c r="D13" s="4" t="s">
        <v>56</v>
      </c>
      <c r="E13" s="3">
        <v>44.311391763220868</v>
      </c>
      <c r="F13" s="57">
        <v>1.8903677887324488</v>
      </c>
      <c r="G13" s="42">
        <v>15.869927629329711</v>
      </c>
      <c r="H13" s="1"/>
      <c r="I13" s="3">
        <v>75.329365997475463</v>
      </c>
      <c r="J13" s="44"/>
      <c r="K13" s="42">
        <v>32.751898259771941</v>
      </c>
      <c r="L13" s="44"/>
      <c r="M13" s="3"/>
      <c r="N13" s="42"/>
      <c r="O13" s="3"/>
      <c r="P13" s="3">
        <v>50.641590586538136</v>
      </c>
      <c r="Q13" s="3"/>
      <c r="R13" s="42">
        <v>39.387903789529659</v>
      </c>
      <c r="S13" s="3"/>
      <c r="T13" s="3">
        <v>13.224939691108093</v>
      </c>
      <c r="U13" s="42"/>
      <c r="V13" s="48"/>
      <c r="W13" s="3">
        <v>50.465751730334873</v>
      </c>
      <c r="X13" s="3"/>
      <c r="Y13" s="3"/>
      <c r="Z13"/>
      <c r="AA13"/>
    </row>
    <row r="14" spans="1:30" x14ac:dyDescent="0.25">
      <c r="A14" s="4">
        <v>2015</v>
      </c>
      <c r="B14" s="4" t="s">
        <v>18</v>
      </c>
      <c r="C14" s="4" t="s">
        <v>26</v>
      </c>
      <c r="D14" s="4" t="s">
        <v>52</v>
      </c>
      <c r="E14" s="3">
        <v>40.448540513264128</v>
      </c>
      <c r="F14" s="57">
        <v>1.6349013851886962</v>
      </c>
      <c r="G14" s="42">
        <v>18.349730614814714</v>
      </c>
      <c r="H14" s="1"/>
      <c r="I14" s="3">
        <v>68.762518872549009</v>
      </c>
      <c r="J14" s="44"/>
      <c r="K14" s="42">
        <v>29.896747335890876</v>
      </c>
      <c r="L14" s="44"/>
      <c r="M14" s="3"/>
      <c r="N14" s="42"/>
      <c r="O14" s="3"/>
      <c r="P14" s="3">
        <v>46.226903443730443</v>
      </c>
      <c r="Q14" s="3"/>
      <c r="R14" s="42">
        <v>35.954258234012563</v>
      </c>
      <c r="S14" s="3"/>
      <c r="T14" s="3">
        <v>15.291442179012263</v>
      </c>
      <c r="U14" s="42"/>
      <c r="V14" s="48"/>
      <c r="W14" s="3">
        <v>46.06639336232859</v>
      </c>
      <c r="X14" s="3"/>
      <c r="Y14" s="3"/>
      <c r="Z14"/>
      <c r="AA14"/>
    </row>
    <row r="15" spans="1:30" x14ac:dyDescent="0.25">
      <c r="A15" s="4">
        <v>2015</v>
      </c>
      <c r="B15" s="4" t="s">
        <v>18</v>
      </c>
      <c r="C15" s="4" t="s">
        <v>26</v>
      </c>
      <c r="D15" s="4" t="s">
        <v>53</v>
      </c>
      <c r="E15" s="3">
        <v>51.680859281545551</v>
      </c>
      <c r="F15" s="57">
        <v>1.8023574404690577</v>
      </c>
      <c r="G15" s="42">
        <v>16.644867064877317</v>
      </c>
      <c r="H15" s="1"/>
      <c r="I15" s="3">
        <v>87.857460778627441</v>
      </c>
      <c r="J15" s="44"/>
      <c r="K15" s="42">
        <v>38.198895990707584</v>
      </c>
      <c r="L15" s="44"/>
      <c r="M15" s="3"/>
      <c r="N15" s="42"/>
      <c r="O15" s="3"/>
      <c r="P15" s="3">
        <v>59.063839178909213</v>
      </c>
      <c r="Q15" s="3"/>
      <c r="R15" s="42">
        <v>45.938541583596049</v>
      </c>
      <c r="S15" s="3"/>
      <c r="T15" s="3">
        <v>13.870722554064432</v>
      </c>
      <c r="U15" s="42"/>
      <c r="V15" s="48"/>
      <c r="W15" s="3">
        <v>58.858756403982426</v>
      </c>
      <c r="X15" s="3"/>
      <c r="Y15" s="3"/>
      <c r="Z15"/>
      <c r="AA15"/>
    </row>
    <row r="16" spans="1:30" x14ac:dyDescent="0.25">
      <c r="A16" s="4">
        <v>2015</v>
      </c>
      <c r="B16" s="4" t="s">
        <v>18</v>
      </c>
      <c r="C16" s="4" t="s">
        <v>26</v>
      </c>
      <c r="D16" s="4" t="s">
        <v>54</v>
      </c>
      <c r="E16" s="3">
        <v>49.27416850994809</v>
      </c>
      <c r="F16" s="57">
        <v>1.8059723191352453</v>
      </c>
      <c r="G16" s="42">
        <v>16.611550289079137</v>
      </c>
      <c r="H16" s="1"/>
      <c r="I16" s="3">
        <v>83.766086466911759</v>
      </c>
      <c r="J16" s="44"/>
      <c r="K16" s="42">
        <v>36.420037594309463</v>
      </c>
      <c r="L16" s="44"/>
      <c r="M16" s="3"/>
      <c r="N16" s="42"/>
      <c r="O16" s="3"/>
      <c r="P16" s="3">
        <v>56.313335439940687</v>
      </c>
      <c r="Q16" s="3"/>
      <c r="R16" s="42">
        <v>43.799260897731642</v>
      </c>
      <c r="S16" s="3"/>
      <c r="T16" s="3">
        <v>13.842958574232615</v>
      </c>
      <c r="U16" s="42"/>
      <c r="V16" s="48"/>
      <c r="W16" s="3">
        <v>56.117803025218663</v>
      </c>
      <c r="X16" s="3"/>
      <c r="Y16" s="3"/>
      <c r="Z16"/>
      <c r="AA16"/>
    </row>
    <row r="17" spans="1:27" x14ac:dyDescent="0.25">
      <c r="A17" s="4">
        <v>2015</v>
      </c>
      <c r="B17" s="4" t="s">
        <v>18</v>
      </c>
      <c r="C17" s="4" t="s">
        <v>26</v>
      </c>
      <c r="D17" s="4" t="s">
        <v>149</v>
      </c>
      <c r="E17" s="41">
        <v>50.820759184142389</v>
      </c>
      <c r="F17" s="58">
        <v>1.7420982990097498</v>
      </c>
      <c r="G17" s="43">
        <v>17.22061264685966</v>
      </c>
      <c r="H17" s="1"/>
      <c r="I17" s="41">
        <v>86.395290613042064</v>
      </c>
      <c r="J17" s="53"/>
      <c r="K17" s="43">
        <v>37.563169831757421</v>
      </c>
      <c r="L17" s="53"/>
      <c r="M17" s="41"/>
      <c r="N17" s="43"/>
      <c r="O17" s="41"/>
      <c r="P17" s="41">
        <v>58.080867639019885</v>
      </c>
      <c r="Q17" s="41"/>
      <c r="R17" s="43">
        <v>45.174008163682124</v>
      </c>
      <c r="S17" s="41"/>
      <c r="T17" s="41">
        <v>14.350510539049715</v>
      </c>
      <c r="U17" s="43"/>
      <c r="V17" s="54"/>
      <c r="W17" s="41">
        <v>57.879197959717715</v>
      </c>
      <c r="X17" s="3"/>
      <c r="Y17" s="3"/>
      <c r="Z17"/>
      <c r="AA17"/>
    </row>
    <row r="18" spans="1:27" x14ac:dyDescent="0.25">
      <c r="A18" s="4">
        <v>2020</v>
      </c>
      <c r="B18" s="4" t="s">
        <v>18</v>
      </c>
      <c r="C18" s="4" t="s">
        <v>26</v>
      </c>
      <c r="D18" s="4" t="s">
        <v>49</v>
      </c>
      <c r="E18" s="3">
        <v>42.45065930969632</v>
      </c>
      <c r="F18" s="57">
        <v>1.3691237334412876</v>
      </c>
      <c r="G18" s="42">
        <v>21.911825255263896</v>
      </c>
      <c r="H18" s="1"/>
      <c r="I18" s="3">
        <v>72.166120826483748</v>
      </c>
      <c r="J18" s="44"/>
      <c r="K18" s="42">
        <v>31.376574272384239</v>
      </c>
      <c r="L18" s="44"/>
      <c r="M18" s="3"/>
      <c r="N18" s="42"/>
      <c r="O18" s="3"/>
      <c r="P18" s="3">
        <v>48.515039211081515</v>
      </c>
      <c r="Q18" s="3"/>
      <c r="R18" s="42">
        <v>37.733919386396728</v>
      </c>
      <c r="S18" s="3"/>
      <c r="T18" s="3">
        <v>18.259854379386582</v>
      </c>
      <c r="U18" s="42"/>
      <c r="V18" s="48"/>
      <c r="W18" s="3">
        <v>48.346584213820812</v>
      </c>
      <c r="X18" s="3"/>
      <c r="Y18" s="3"/>
      <c r="Z18"/>
      <c r="AA18"/>
    </row>
    <row r="19" spans="1:27" x14ac:dyDescent="0.25">
      <c r="A19" s="4">
        <v>2020</v>
      </c>
      <c r="B19" s="4" t="s">
        <v>18</v>
      </c>
      <c r="C19" s="4" t="s">
        <v>26</v>
      </c>
      <c r="D19" s="4" t="s">
        <v>56</v>
      </c>
      <c r="E19" s="3">
        <v>35.677305508094207</v>
      </c>
      <c r="F19" s="57">
        <v>1.5324983079421739</v>
      </c>
      <c r="G19" s="42">
        <v>19.575878057760306</v>
      </c>
      <c r="H19" s="1"/>
      <c r="I19" s="3">
        <v>60.651419363760148</v>
      </c>
      <c r="J19" s="44"/>
      <c r="K19" s="42">
        <v>26.370182332069628</v>
      </c>
      <c r="L19" s="44"/>
      <c r="M19" s="3"/>
      <c r="N19" s="42"/>
      <c r="O19" s="3"/>
      <c r="P19" s="3">
        <v>40.774063437821958</v>
      </c>
      <c r="Q19" s="3"/>
      <c r="R19" s="42">
        <v>31.713160451639297</v>
      </c>
      <c r="S19" s="3"/>
      <c r="T19" s="3">
        <v>16.313231714800256</v>
      </c>
      <c r="U19" s="42"/>
      <c r="V19" s="48"/>
      <c r="W19" s="3">
        <v>40.632486828662849</v>
      </c>
      <c r="X19" s="3"/>
      <c r="Y19" s="3"/>
      <c r="Z19"/>
      <c r="AA19"/>
    </row>
    <row r="20" spans="1:27" x14ac:dyDescent="0.25">
      <c r="A20" s="4">
        <v>2020</v>
      </c>
      <c r="B20" s="4" t="s">
        <v>18</v>
      </c>
      <c r="C20" s="4" t="s">
        <v>26</v>
      </c>
      <c r="D20" s="4" t="s">
        <v>53</v>
      </c>
      <c r="E20" s="3">
        <v>42.306599710282157</v>
      </c>
      <c r="F20" s="57">
        <v>1.4643954602744478</v>
      </c>
      <c r="G20" s="42">
        <v>20.486269463289368</v>
      </c>
      <c r="H20" s="1"/>
      <c r="I20" s="3">
        <v>71.921219507479663</v>
      </c>
      <c r="J20" s="44"/>
      <c r="K20" s="42">
        <v>31.270095438034634</v>
      </c>
      <c r="L20" s="44"/>
      <c r="M20" s="3"/>
      <c r="N20" s="42"/>
      <c r="O20" s="3"/>
      <c r="P20" s="3">
        <v>48.3503996688939</v>
      </c>
      <c r="Q20" s="3"/>
      <c r="R20" s="42">
        <v>37.605866409139701</v>
      </c>
      <c r="S20" s="3"/>
      <c r="T20" s="3">
        <v>17.071891219407807</v>
      </c>
      <c r="U20" s="42"/>
      <c r="V20" s="48"/>
      <c r="W20" s="3">
        <v>48.182516336710229</v>
      </c>
      <c r="X20" s="3"/>
      <c r="Y20" s="3"/>
      <c r="Z20"/>
      <c r="AA20"/>
    </row>
    <row r="21" spans="1:27" x14ac:dyDescent="0.25">
      <c r="A21" s="4">
        <v>2020</v>
      </c>
      <c r="B21" s="4" t="s">
        <v>18</v>
      </c>
      <c r="C21" s="4" t="s">
        <v>26</v>
      </c>
      <c r="D21" s="4" t="s">
        <v>57</v>
      </c>
      <c r="E21" s="3">
        <v>30.515814316152561</v>
      </c>
      <c r="F21" s="57">
        <v>1.3168509372058614</v>
      </c>
      <c r="G21" s="42">
        <v>22.781621786027664</v>
      </c>
      <c r="H21" s="1"/>
      <c r="I21" s="3">
        <v>51.876884337459359</v>
      </c>
      <c r="J21" s="44"/>
      <c r="K21" s="42">
        <v>22.5551671032432</v>
      </c>
      <c r="L21" s="44"/>
      <c r="M21" s="3"/>
      <c r="N21" s="42"/>
      <c r="O21" s="3"/>
      <c r="P21" s="3">
        <v>34.875216361317214</v>
      </c>
      <c r="Q21" s="3"/>
      <c r="R21" s="42">
        <v>27.125168281024497</v>
      </c>
      <c r="S21" s="3"/>
      <c r="T21" s="3">
        <v>18.984684821689722</v>
      </c>
      <c r="U21" s="42"/>
      <c r="V21" s="48"/>
      <c r="W21" s="3">
        <v>34.754121860062632</v>
      </c>
      <c r="X21" s="3"/>
      <c r="Y21" s="3"/>
      <c r="Z21"/>
      <c r="AA21"/>
    </row>
    <row r="22" spans="1:27" x14ac:dyDescent="0.25">
      <c r="A22" s="4">
        <v>2020</v>
      </c>
      <c r="B22" s="4" t="s">
        <v>18</v>
      </c>
      <c r="C22" s="4" t="s">
        <v>26</v>
      </c>
      <c r="D22" s="4" t="s">
        <v>58</v>
      </c>
      <c r="E22" s="3">
        <v>36.433225034612626</v>
      </c>
      <c r="F22" s="57">
        <v>1.3210990859753402</v>
      </c>
      <c r="G22" s="42">
        <v>22.708364814174114</v>
      </c>
      <c r="H22" s="1"/>
      <c r="I22" s="3">
        <v>61.936482558841462</v>
      </c>
      <c r="J22" s="44"/>
      <c r="K22" s="42">
        <v>26.928905460365851</v>
      </c>
      <c r="L22" s="44"/>
      <c r="M22" s="3"/>
      <c r="N22" s="42"/>
      <c r="O22" s="3"/>
      <c r="P22" s="3">
        <v>41.637971468128718</v>
      </c>
      <c r="Q22" s="3"/>
      <c r="R22" s="42">
        <v>32.385088919655672</v>
      </c>
      <c r="S22" s="3"/>
      <c r="T22" s="3">
        <v>18.923637345145096</v>
      </c>
      <c r="U22" s="42"/>
      <c r="V22" s="48"/>
      <c r="W22" s="3">
        <v>41.493395178308823</v>
      </c>
      <c r="X22" s="3"/>
      <c r="Y22" s="3"/>
      <c r="Z22"/>
      <c r="AA22"/>
    </row>
    <row r="23" spans="1:27" x14ac:dyDescent="0.25">
      <c r="A23" s="4">
        <v>2020</v>
      </c>
      <c r="B23" s="4" t="s">
        <v>18</v>
      </c>
      <c r="C23" s="4" t="s">
        <v>26</v>
      </c>
      <c r="D23" s="4" t="s">
        <v>59</v>
      </c>
      <c r="E23" s="3">
        <v>35.548471378317792</v>
      </c>
      <c r="F23" s="57">
        <v>1.2667514029971574</v>
      </c>
      <c r="G23" s="42">
        <v>23.682626227229306</v>
      </c>
      <c r="H23" s="1"/>
      <c r="I23" s="3">
        <v>60.432401343140249</v>
      </c>
      <c r="J23" s="44"/>
      <c r="K23" s="42">
        <v>26.274957105713153</v>
      </c>
      <c r="L23" s="44"/>
      <c r="M23" s="3"/>
      <c r="N23" s="42"/>
      <c r="O23" s="3"/>
      <c r="P23" s="3">
        <v>40.626824432363193</v>
      </c>
      <c r="Q23" s="3"/>
      <c r="R23" s="42">
        <v>31.59864122517137</v>
      </c>
      <c r="S23" s="3"/>
      <c r="T23" s="3">
        <v>19.73552185602442</v>
      </c>
      <c r="U23" s="42"/>
      <c r="V23" s="48"/>
      <c r="W23" s="3">
        <v>40.48575906975082</v>
      </c>
      <c r="X23" s="3"/>
      <c r="Y23" s="3"/>
      <c r="Z23"/>
      <c r="AA23"/>
    </row>
    <row r="24" spans="1:27" x14ac:dyDescent="0.25">
      <c r="A24" s="4">
        <v>2020</v>
      </c>
      <c r="B24" s="4" t="s">
        <v>18</v>
      </c>
      <c r="C24" s="4" t="s">
        <v>26</v>
      </c>
      <c r="D24" s="4" t="s">
        <v>149</v>
      </c>
      <c r="E24" s="41">
        <v>38.772980602666927</v>
      </c>
      <c r="F24" s="58">
        <v>1.3912965117423564</v>
      </c>
      <c r="G24" s="43">
        <v>21.562621444676971</v>
      </c>
      <c r="H24" s="1"/>
      <c r="I24" s="41">
        <v>65.914067024533779</v>
      </c>
      <c r="J24" s="53"/>
      <c r="K24" s="43">
        <v>28.65829001066686</v>
      </c>
      <c r="L24" s="53"/>
      <c r="M24" s="41"/>
      <c r="N24" s="43"/>
      <c r="O24" s="41"/>
      <c r="P24" s="41">
        <v>44.311977831619345</v>
      </c>
      <c r="Q24" s="41"/>
      <c r="R24" s="43">
        <v>34.464871646815048</v>
      </c>
      <c r="S24" s="41"/>
      <c r="T24" s="41">
        <v>17.968851203897476</v>
      </c>
      <c r="U24" s="43"/>
      <c r="V24" s="54"/>
      <c r="W24" s="41">
        <v>44.158116797481775</v>
      </c>
      <c r="X24" s="3"/>
      <c r="Y24" s="3"/>
      <c r="Z24"/>
      <c r="AA24"/>
    </row>
    <row r="25" spans="1:27" x14ac:dyDescent="0.25">
      <c r="A25" s="4">
        <v>2020</v>
      </c>
      <c r="B25" s="4" t="s">
        <v>47</v>
      </c>
      <c r="C25" s="4" t="s">
        <v>26</v>
      </c>
      <c r="D25" s="4" t="s">
        <v>48</v>
      </c>
      <c r="E25" s="41">
        <v>29.711414395026303</v>
      </c>
      <c r="F25" s="58">
        <v>1.3388489608439744</v>
      </c>
      <c r="G25" s="43">
        <v>22.407307229852726</v>
      </c>
      <c r="H25" s="1"/>
      <c r="I25" s="41">
        <v>50.50940447154472</v>
      </c>
      <c r="J25" s="53"/>
      <c r="K25" s="43">
        <v>21.960610639802052</v>
      </c>
      <c r="L25" s="53"/>
      <c r="M25" s="41"/>
      <c r="N25" s="43"/>
      <c r="O25" s="41"/>
      <c r="P25" s="41">
        <v>33.955902165744348</v>
      </c>
      <c r="Q25" s="41"/>
      <c r="R25" s="43">
        <v>26.41014612891227</v>
      </c>
      <c r="S25" s="41"/>
      <c r="T25" s="41">
        <v>18.67275602487727</v>
      </c>
      <c r="U25" s="43"/>
      <c r="V25" s="54"/>
      <c r="W25" s="41">
        <v>33.837999727668844</v>
      </c>
      <c r="X25" s="3"/>
      <c r="Y25" s="3"/>
      <c r="Z25"/>
      <c r="AA25"/>
    </row>
    <row r="26" spans="1:27" x14ac:dyDescent="0.25">
      <c r="A26" s="4">
        <v>2025</v>
      </c>
      <c r="B26" s="4" t="s">
        <v>47</v>
      </c>
      <c r="C26" s="4" t="s">
        <v>26</v>
      </c>
      <c r="D26" s="4" t="s">
        <v>48</v>
      </c>
      <c r="E26" s="3">
        <v>27.88509445241511</v>
      </c>
      <c r="F26" s="57">
        <v>1.2762524945784146</v>
      </c>
      <c r="G26" s="42">
        <v>23.506320361716451</v>
      </c>
      <c r="H26" s="1"/>
      <c r="I26" s="3">
        <v>47.404660569105687</v>
      </c>
      <c r="J26" s="44"/>
      <c r="K26" s="42">
        <v>20.610721986567693</v>
      </c>
      <c r="L26" s="44"/>
      <c r="M26" s="3">
        <v>2.9779224873496339</v>
      </c>
      <c r="N26" s="42"/>
      <c r="O26" s="3"/>
      <c r="P26" s="3">
        <v>31.868679374188702</v>
      </c>
      <c r="Q26" s="3"/>
      <c r="R26" s="42">
        <v>24.786750624368988</v>
      </c>
      <c r="S26" s="3"/>
      <c r="T26" s="3">
        <v>19.588600301430375</v>
      </c>
      <c r="U26" s="42"/>
      <c r="V26" s="48"/>
      <c r="W26" s="3">
        <v>31.758024237472764</v>
      </c>
      <c r="X26" s="3"/>
      <c r="Y26" s="3">
        <v>23.818518178104572</v>
      </c>
      <c r="Z26"/>
      <c r="AA26"/>
    </row>
    <row r="27" spans="1:27" x14ac:dyDescent="0.25">
      <c r="A27" s="4">
        <v>2030</v>
      </c>
      <c r="B27" s="4" t="s">
        <v>47</v>
      </c>
      <c r="C27" s="4" t="s">
        <v>26</v>
      </c>
      <c r="D27" s="4" t="s">
        <v>48</v>
      </c>
      <c r="E27" s="3">
        <v>27.492465327594452</v>
      </c>
      <c r="F27" s="57">
        <v>1.2313570258547994</v>
      </c>
      <c r="G27" s="42">
        <v>24.363364458958774</v>
      </c>
      <c r="H27" s="1"/>
      <c r="I27" s="3">
        <v>46.737191056910568</v>
      </c>
      <c r="J27" s="44"/>
      <c r="K27" s="42">
        <v>20.320517850830683</v>
      </c>
      <c r="L27" s="44"/>
      <c r="M27" s="3">
        <v>2.8731663936611986</v>
      </c>
      <c r="N27" s="42"/>
      <c r="O27" s="3"/>
      <c r="P27" s="3">
        <v>31.419960374393664</v>
      </c>
      <c r="Q27" s="3"/>
      <c r="R27" s="42">
        <v>24.437746957861734</v>
      </c>
      <c r="S27" s="3"/>
      <c r="T27" s="3">
        <v>20.30280371579898</v>
      </c>
      <c r="U27" s="42"/>
      <c r="V27" s="48"/>
      <c r="W27" s="3">
        <v>31.310863289760348</v>
      </c>
      <c r="X27" s="3"/>
      <c r="Y27" s="3">
        <v>23.483147467320261</v>
      </c>
      <c r="Z27"/>
      <c r="AA27"/>
    </row>
    <row r="28" spans="1:27" x14ac:dyDescent="0.25">
      <c r="A28" s="4">
        <v>2035</v>
      </c>
      <c r="B28" s="4" t="s">
        <v>47</v>
      </c>
      <c r="C28" s="4" t="s">
        <v>26</v>
      </c>
      <c r="D28" s="4" t="s">
        <v>48</v>
      </c>
      <c r="E28" s="41">
        <v>26.796368962219034</v>
      </c>
      <c r="F28" s="58">
        <v>1.2029573379031206</v>
      </c>
      <c r="G28" s="43">
        <v>24.938540258038667</v>
      </c>
      <c r="H28" s="1"/>
      <c r="I28" s="41">
        <v>45.55382723577236</v>
      </c>
      <c r="J28" s="53"/>
      <c r="K28" s="43">
        <v>19.806011841640156</v>
      </c>
      <c r="L28" s="53"/>
      <c r="M28" s="41">
        <v>2.8069004551072814</v>
      </c>
      <c r="N28" s="43"/>
      <c r="O28" s="41"/>
      <c r="P28" s="41">
        <v>30.624421671107473</v>
      </c>
      <c r="Q28" s="41"/>
      <c r="R28" s="43">
        <v>23.818994633083587</v>
      </c>
      <c r="S28" s="41"/>
      <c r="T28" s="41">
        <v>20.78211688169889</v>
      </c>
      <c r="U28" s="43"/>
      <c r="V28" s="54"/>
      <c r="W28" s="41">
        <v>30.518086873638342</v>
      </c>
      <c r="X28" s="41"/>
      <c r="Y28" s="41">
        <v>22.888565155228758</v>
      </c>
      <c r="Z28"/>
      <c r="AA28"/>
    </row>
    <row r="29" spans="1:27" x14ac:dyDescent="0.25">
      <c r="A29" s="4">
        <v>2040</v>
      </c>
      <c r="B29" s="4" t="s">
        <v>47</v>
      </c>
      <c r="C29" s="4" t="s">
        <v>26</v>
      </c>
      <c r="D29" s="4" t="s">
        <v>48</v>
      </c>
      <c r="E29" s="3">
        <v>26.429733381157341</v>
      </c>
      <c r="F29" s="57">
        <v>1.1848370041816139</v>
      </c>
      <c r="G29" s="42">
        <v>25.319938433828277</v>
      </c>
      <c r="H29" s="1"/>
      <c r="I29" s="3">
        <v>44.930546747967476</v>
      </c>
      <c r="J29" s="44"/>
      <c r="K29" s="42">
        <v>19.535020325203252</v>
      </c>
      <c r="L29" s="44"/>
      <c r="M29" s="3">
        <v>2.7646196764237656</v>
      </c>
      <c r="N29" s="42"/>
      <c r="O29" s="3"/>
      <c r="P29" s="3">
        <v>30.205409578465535</v>
      </c>
      <c r="Q29" s="3"/>
      <c r="R29" s="42">
        <v>23.493096338806524</v>
      </c>
      <c r="S29" s="3"/>
      <c r="T29" s="3">
        <v>21.099948694856899</v>
      </c>
      <c r="U29" s="42"/>
      <c r="V29" s="48"/>
      <c r="W29" s="3">
        <v>30.100529684095861</v>
      </c>
      <c r="X29" s="3"/>
      <c r="Y29" s="3">
        <v>22.575397263071896</v>
      </c>
      <c r="Z29"/>
      <c r="AA29"/>
    </row>
    <row r="30" spans="1:27" x14ac:dyDescent="0.25">
      <c r="A30" s="4">
        <v>2045</v>
      </c>
      <c r="B30" s="4" t="s">
        <v>47</v>
      </c>
      <c r="C30" s="4" t="s">
        <v>26</v>
      </c>
      <c r="D30" s="4" t="s">
        <v>48</v>
      </c>
      <c r="E30" s="3">
        <v>26.074881635581061</v>
      </c>
      <c r="F30" s="57">
        <v>1.169019960203264</v>
      </c>
      <c r="G30" s="42">
        <v>25.662521617495507</v>
      </c>
      <c r="H30" s="1"/>
      <c r="I30" s="3">
        <v>44.327298780487808</v>
      </c>
      <c r="J30" s="44"/>
      <c r="K30" s="42">
        <v>19.27273860021209</v>
      </c>
      <c r="L30" s="44"/>
      <c r="M30" s="3">
        <v>2.7277132404742828</v>
      </c>
      <c r="N30" s="42"/>
      <c r="O30" s="3"/>
      <c r="P30" s="3">
        <v>29.79986472637836</v>
      </c>
      <c r="Q30" s="3"/>
      <c r="R30" s="42">
        <v>23.177672564960943</v>
      </c>
      <c r="S30" s="3"/>
      <c r="T30" s="3">
        <v>21.385434681246256</v>
      </c>
      <c r="U30" s="42"/>
      <c r="V30" s="48"/>
      <c r="W30" s="3">
        <v>29.696392973856206</v>
      </c>
      <c r="X30" s="3"/>
      <c r="Y30" s="3">
        <v>22.272294730392154</v>
      </c>
      <c r="Z30"/>
      <c r="AA30"/>
    </row>
    <row r="31" spans="1:27" x14ac:dyDescent="0.25">
      <c r="A31" s="4">
        <v>2050</v>
      </c>
      <c r="B31" s="4" t="s">
        <v>47</v>
      </c>
      <c r="C31" s="4" t="s">
        <v>26</v>
      </c>
      <c r="D31" s="4" t="s">
        <v>48</v>
      </c>
      <c r="E31" s="41">
        <v>25.833961023433766</v>
      </c>
      <c r="F31" s="58">
        <v>1.1521888013533643</v>
      </c>
      <c r="G31" s="43">
        <v>26.037399395621545</v>
      </c>
      <c r="H31" s="1"/>
      <c r="I31" s="41">
        <v>43.917733739837402</v>
      </c>
      <c r="J31" s="53"/>
      <c r="K31" s="43">
        <v>19.094666843407566</v>
      </c>
      <c r="L31" s="53"/>
      <c r="M31" s="41">
        <v>2.6884405364911834</v>
      </c>
      <c r="N31" s="43"/>
      <c r="O31" s="41"/>
      <c r="P31" s="41">
        <v>29.52452688392431</v>
      </c>
      <c r="Q31" s="41"/>
      <c r="R31" s="43">
        <v>22.963520909718905</v>
      </c>
      <c r="S31" s="41"/>
      <c r="T31" s="41">
        <v>21.697832829684621</v>
      </c>
      <c r="U31" s="43"/>
      <c r="V31" s="54"/>
      <c r="W31" s="41">
        <v>29.422011165577342</v>
      </c>
      <c r="X31" s="41"/>
      <c r="Y31" s="41">
        <v>22.066508374183009</v>
      </c>
      <c r="Z31"/>
      <c r="AA31"/>
    </row>
    <row r="32" spans="1:27" x14ac:dyDescent="0.25">
      <c r="E32" s="3"/>
      <c r="F32" s="57"/>
      <c r="G32" s="42"/>
      <c r="H32" s="1"/>
      <c r="I32" s="44"/>
      <c r="J32" s="44"/>
      <c r="K32" s="50"/>
      <c r="L32" s="44"/>
      <c r="M32" s="3"/>
      <c r="N32" s="42"/>
      <c r="O32" s="3"/>
      <c r="P32" s="3"/>
      <c r="Q32" s="3"/>
      <c r="R32" s="42"/>
      <c r="S32" s="3"/>
      <c r="T32" s="3"/>
      <c r="U32" s="42"/>
      <c r="V32" s="48" t="s">
        <v>138</v>
      </c>
      <c r="W32" s="3" t="s">
        <v>141</v>
      </c>
      <c r="X32" s="3" t="s">
        <v>142</v>
      </c>
      <c r="Y32" s="3" t="s">
        <v>143</v>
      </c>
      <c r="Z32"/>
      <c r="AA32"/>
    </row>
    <row r="33" spans="1:27" x14ac:dyDescent="0.25">
      <c r="A33" s="4" t="s">
        <v>0</v>
      </c>
      <c r="B33" s="4" t="s">
        <v>1</v>
      </c>
      <c r="C33" s="4" t="s">
        <v>25</v>
      </c>
      <c r="D33" s="4" t="s">
        <v>7</v>
      </c>
      <c r="E33" s="3"/>
      <c r="F33" s="57"/>
      <c r="G33" s="42"/>
      <c r="H33" s="1"/>
      <c r="I33" s="44"/>
      <c r="J33" s="44"/>
      <c r="K33" s="50"/>
      <c r="L33" s="44"/>
      <c r="M33" s="3"/>
      <c r="N33" s="42"/>
      <c r="O33" s="3"/>
      <c r="P33" s="3"/>
      <c r="Q33" s="3"/>
      <c r="R33" s="42"/>
      <c r="S33" s="3"/>
      <c r="T33" s="3"/>
      <c r="U33" s="42"/>
      <c r="V33" s="48" t="s">
        <v>148</v>
      </c>
      <c r="W33" s="47">
        <v>0.13</v>
      </c>
      <c r="X33" s="47">
        <v>0.15</v>
      </c>
      <c r="Y33" s="47">
        <v>0.18</v>
      </c>
      <c r="Z33"/>
      <c r="AA33"/>
    </row>
    <row r="34" spans="1:27" x14ac:dyDescent="0.25">
      <c r="A34" s="4">
        <v>2010</v>
      </c>
      <c r="B34" s="4" t="s">
        <v>18</v>
      </c>
      <c r="C34" s="4" t="s">
        <v>60</v>
      </c>
      <c r="D34" s="4" t="s">
        <v>49</v>
      </c>
      <c r="E34" s="3">
        <v>55.288813483235295</v>
      </c>
      <c r="F34" s="57">
        <v>1.607427070930773</v>
      </c>
      <c r="G34" s="42">
        <v>18.663366159827483</v>
      </c>
      <c r="H34" s="1"/>
      <c r="I34" s="3">
        <v>93.990982921500006</v>
      </c>
      <c r="J34" s="44"/>
      <c r="K34" s="42">
        <v>40.86564474847826</v>
      </c>
      <c r="L34" s="44"/>
      <c r="M34" s="3"/>
      <c r="N34" s="42"/>
      <c r="O34" s="3"/>
      <c r="P34" s="3">
        <v>63.187215409411778</v>
      </c>
      <c r="Q34" s="3"/>
      <c r="R34" s="42">
        <v>49.145611985098043</v>
      </c>
      <c r="S34" s="3"/>
      <c r="T34" s="3">
        <v>15.552805133189567</v>
      </c>
      <c r="U34" s="42"/>
      <c r="V34" s="48" t="s">
        <v>121</v>
      </c>
      <c r="W34" s="3">
        <v>63.794784788348409</v>
      </c>
      <c r="X34" s="3"/>
      <c r="Y34" s="3"/>
      <c r="Z34"/>
      <c r="AA34"/>
    </row>
    <row r="35" spans="1:27" x14ac:dyDescent="0.25">
      <c r="A35" s="4">
        <v>2010</v>
      </c>
      <c r="B35" s="4" t="s">
        <v>18</v>
      </c>
      <c r="C35" s="4" t="s">
        <v>60</v>
      </c>
      <c r="D35" s="4" t="s">
        <v>50</v>
      </c>
      <c r="E35" s="3">
        <v>41.33407007410873</v>
      </c>
      <c r="F35" s="57">
        <v>1.6731306630351144</v>
      </c>
      <c r="G35" s="42">
        <v>17.930458548634217</v>
      </c>
      <c r="H35" s="1"/>
      <c r="I35" s="3">
        <v>70.267919125984847</v>
      </c>
      <c r="J35" s="44"/>
      <c r="K35" s="42">
        <v>30.551269185210803</v>
      </c>
      <c r="L35" s="44"/>
      <c r="M35" s="3"/>
      <c r="N35" s="42"/>
      <c r="O35" s="3"/>
      <c r="P35" s="3">
        <v>47.238937227552839</v>
      </c>
      <c r="Q35" s="3"/>
      <c r="R35" s="42">
        <v>36.74139562142998</v>
      </c>
      <c r="S35" s="3"/>
      <c r="T35" s="3">
        <v>14.942048790528514</v>
      </c>
      <c r="U35" s="42"/>
      <c r="V35" s="48"/>
      <c r="W35" s="3">
        <v>47.693157777817767</v>
      </c>
      <c r="X35" s="3"/>
      <c r="Y35" s="3"/>
      <c r="Z35"/>
      <c r="AA35"/>
    </row>
    <row r="36" spans="1:27" x14ac:dyDescent="0.25">
      <c r="A36" s="4">
        <v>2010</v>
      </c>
      <c r="B36" s="4" t="s">
        <v>18</v>
      </c>
      <c r="C36" s="4" t="s">
        <v>60</v>
      </c>
      <c r="D36" s="4" t="s">
        <v>51</v>
      </c>
      <c r="E36" s="3">
        <v>39.089499503195185</v>
      </c>
      <c r="F36" s="57">
        <v>1.6724521574192528</v>
      </c>
      <c r="G36" s="42">
        <v>17.937732847493081</v>
      </c>
      <c r="H36" s="1"/>
      <c r="I36" s="3">
        <v>66.452149155431826</v>
      </c>
      <c r="J36" s="44"/>
      <c r="K36" s="42">
        <v>28.892238763231227</v>
      </c>
      <c r="L36" s="44"/>
      <c r="M36" s="3"/>
      <c r="N36" s="42"/>
      <c r="O36" s="3"/>
      <c r="P36" s="3">
        <v>44.67371371793736</v>
      </c>
      <c r="Q36" s="3"/>
      <c r="R36" s="42">
        <v>34.746221780617944</v>
      </c>
      <c r="S36" s="3"/>
      <c r="T36" s="3">
        <v>14.948110706244233</v>
      </c>
      <c r="U36" s="42"/>
      <c r="V36" s="48"/>
      <c r="W36" s="3">
        <v>45.103268657532901</v>
      </c>
      <c r="X36" s="3"/>
      <c r="Y36" s="3"/>
      <c r="Z36"/>
      <c r="AA36"/>
    </row>
    <row r="37" spans="1:27" x14ac:dyDescent="0.25">
      <c r="A37" s="4">
        <v>2010</v>
      </c>
      <c r="B37" s="4" t="s">
        <v>18</v>
      </c>
      <c r="C37" s="4" t="s">
        <v>60</v>
      </c>
      <c r="D37" s="4" t="s">
        <v>52</v>
      </c>
      <c r="E37" s="3">
        <v>40.919113725490199</v>
      </c>
      <c r="F37" s="57">
        <v>1.5527754992165759</v>
      </c>
      <c r="G37" s="42">
        <v>19.320243019764252</v>
      </c>
      <c r="H37" s="1"/>
      <c r="I37" s="3">
        <v>69.562493333333336</v>
      </c>
      <c r="J37" s="44"/>
      <c r="K37" s="42">
        <v>30.244562318840579</v>
      </c>
      <c r="L37" s="44"/>
      <c r="M37" s="3"/>
      <c r="N37" s="42"/>
      <c r="O37" s="3"/>
      <c r="P37" s="3">
        <v>46.764701400560227</v>
      </c>
      <c r="Q37" s="3"/>
      <c r="R37" s="42">
        <v>36.372545533769063</v>
      </c>
      <c r="S37" s="3"/>
      <c r="T37" s="3">
        <v>16.100202516470212</v>
      </c>
      <c r="U37" s="42"/>
      <c r="V37" s="48"/>
      <c r="W37" s="3">
        <v>47.214361990950231</v>
      </c>
      <c r="X37" s="3"/>
      <c r="Y37" s="3"/>
      <c r="Z37"/>
      <c r="AA37"/>
    </row>
    <row r="38" spans="1:27" x14ac:dyDescent="0.25">
      <c r="A38" s="4">
        <v>2010</v>
      </c>
      <c r="B38" s="4" t="s">
        <v>18</v>
      </c>
      <c r="C38" s="4" t="s">
        <v>60</v>
      </c>
      <c r="D38" s="4" t="s">
        <v>53</v>
      </c>
      <c r="E38" s="3">
        <v>49.49538704263815</v>
      </c>
      <c r="F38" s="57">
        <v>1.7174751667324626</v>
      </c>
      <c r="G38" s="42">
        <v>17.467501470240013</v>
      </c>
      <c r="H38" s="1"/>
      <c r="I38" s="3">
        <v>84.142157972484853</v>
      </c>
      <c r="J38" s="44"/>
      <c r="K38" s="42">
        <v>36.583546944558634</v>
      </c>
      <c r="L38" s="44"/>
      <c r="M38" s="3"/>
      <c r="N38" s="42"/>
      <c r="O38" s="3"/>
      <c r="P38" s="3">
        <v>56.566156620157898</v>
      </c>
      <c r="Q38" s="3"/>
      <c r="R38" s="42">
        <v>43.995899593456137</v>
      </c>
      <c r="S38" s="3"/>
      <c r="T38" s="3">
        <v>14.556251225200009</v>
      </c>
      <c r="U38" s="42"/>
      <c r="V38" s="48"/>
      <c r="W38" s="3">
        <v>57.110061972274778</v>
      </c>
      <c r="X38" s="3"/>
      <c r="Y38" s="3"/>
      <c r="Z38"/>
      <c r="AA38"/>
    </row>
    <row r="39" spans="1:27" x14ac:dyDescent="0.25">
      <c r="A39" s="4">
        <v>2010</v>
      </c>
      <c r="B39" s="4" t="s">
        <v>18</v>
      </c>
      <c r="C39" s="4" t="s">
        <v>60</v>
      </c>
      <c r="D39" s="4" t="s">
        <v>54</v>
      </c>
      <c r="E39" s="3">
        <v>48.600935401515152</v>
      </c>
      <c r="F39" s="57">
        <v>1.7285215773247451</v>
      </c>
      <c r="G39" s="42">
        <v>17.355872436623777</v>
      </c>
      <c r="H39" s="1"/>
      <c r="I39" s="3">
        <v>82.621590182575758</v>
      </c>
      <c r="J39" s="44"/>
      <c r="K39" s="42">
        <v>35.922430514163374</v>
      </c>
      <c r="L39" s="44"/>
      <c r="M39" s="3"/>
      <c r="N39" s="42"/>
      <c r="O39" s="3"/>
      <c r="P39" s="3">
        <v>55.54392617316018</v>
      </c>
      <c r="Q39" s="3"/>
      <c r="R39" s="42">
        <v>43.200831468013469</v>
      </c>
      <c r="S39" s="3"/>
      <c r="T39" s="3">
        <v>14.463227030519816</v>
      </c>
      <c r="U39" s="42"/>
      <c r="V39" s="48"/>
      <c r="W39" s="3">
        <v>56.078002386363629</v>
      </c>
      <c r="X39" s="3"/>
      <c r="Y39" s="3"/>
      <c r="Z39"/>
      <c r="AA39"/>
    </row>
    <row r="40" spans="1:27" x14ac:dyDescent="0.25">
      <c r="A40" s="4">
        <v>2010</v>
      </c>
      <c r="B40" s="4" t="s">
        <v>18</v>
      </c>
      <c r="C40" s="4" t="s">
        <v>60</v>
      </c>
      <c r="D40" s="4" t="s">
        <v>149</v>
      </c>
      <c r="E40" s="41">
        <v>48.710876737213169</v>
      </c>
      <c r="F40" s="58">
        <v>1.6976472124197679</v>
      </c>
      <c r="G40" s="43">
        <v>17.671516072670382</v>
      </c>
      <c r="H40" s="1"/>
      <c r="I40" s="41">
        <v>82.808490453262394</v>
      </c>
      <c r="J40" s="53"/>
      <c r="K40" s="43">
        <v>36.00369150141843</v>
      </c>
      <c r="L40" s="53"/>
      <c r="M40" s="41"/>
      <c r="N40" s="43"/>
      <c r="O40" s="41"/>
      <c r="P40" s="41">
        <v>55.669573413957913</v>
      </c>
      <c r="Q40" s="41"/>
      <c r="R40" s="43">
        <v>43.29855709974504</v>
      </c>
      <c r="S40" s="41"/>
      <c r="T40" s="41">
        <v>14.726263393891987</v>
      </c>
      <c r="U40" s="43"/>
      <c r="V40" s="54"/>
      <c r="W40" s="41">
        <v>56.204857773707502</v>
      </c>
      <c r="X40" s="3"/>
      <c r="Y40" s="3"/>
      <c r="Z40"/>
      <c r="AA40"/>
    </row>
    <row r="41" spans="1:27" x14ac:dyDescent="0.25">
      <c r="A41" s="4">
        <v>2015</v>
      </c>
      <c r="B41" s="4" t="s">
        <v>18</v>
      </c>
      <c r="C41" s="4" t="s">
        <v>60</v>
      </c>
      <c r="D41" s="4" t="s">
        <v>49</v>
      </c>
      <c r="E41" s="3">
        <v>44.279627623069381</v>
      </c>
      <c r="F41" s="57">
        <v>1.3344010247288209</v>
      </c>
      <c r="G41" s="42">
        <v>22.481997123838127</v>
      </c>
      <c r="H41" s="1"/>
      <c r="I41" s="3">
        <v>75.275366959217948</v>
      </c>
      <c r="J41" s="44"/>
      <c r="K41" s="42">
        <v>32.728420417051282</v>
      </c>
      <c r="L41" s="44"/>
      <c r="M41" s="3"/>
      <c r="N41" s="42"/>
      <c r="O41" s="3"/>
      <c r="P41" s="3">
        <v>50.6052887120793</v>
      </c>
      <c r="Q41" s="3"/>
      <c r="R41" s="42">
        <v>39.359668998283894</v>
      </c>
      <c r="S41" s="3"/>
      <c r="T41" s="3">
        <v>18.73499760319844</v>
      </c>
      <c r="U41" s="42"/>
      <c r="V41" s="48"/>
      <c r="W41" s="3">
        <v>51.09187802661851</v>
      </c>
      <c r="X41" s="3"/>
      <c r="Y41" s="3"/>
      <c r="Z41"/>
      <c r="AA41"/>
    </row>
    <row r="42" spans="1:27" x14ac:dyDescent="0.25">
      <c r="A42" s="4">
        <v>2015</v>
      </c>
      <c r="B42" s="4" t="s">
        <v>18</v>
      </c>
      <c r="C42" s="4" t="s">
        <v>60</v>
      </c>
      <c r="D42" s="4" t="s">
        <v>51</v>
      </c>
      <c r="E42" s="3">
        <v>37.665979217635751</v>
      </c>
      <c r="F42" s="57">
        <v>1.322177877637795</v>
      </c>
      <c r="G42" s="42">
        <v>22.689836600199396</v>
      </c>
      <c r="H42" s="1"/>
      <c r="I42" s="3">
        <v>64.032164669980773</v>
      </c>
      <c r="J42" s="44"/>
      <c r="K42" s="42">
        <v>27.840071595643817</v>
      </c>
      <c r="L42" s="44"/>
      <c r="M42" s="3"/>
      <c r="N42" s="42"/>
      <c r="O42" s="3"/>
      <c r="P42" s="3">
        <v>43.046833391583718</v>
      </c>
      <c r="Q42" s="3"/>
      <c r="R42" s="42">
        <v>33.480870415676222</v>
      </c>
      <c r="S42" s="3"/>
      <c r="T42" s="3">
        <v>18.908197166832828</v>
      </c>
      <c r="U42" s="42"/>
      <c r="V42" s="48"/>
      <c r="W42" s="3">
        <v>43.460745251118169</v>
      </c>
      <c r="X42" s="3"/>
      <c r="Y42" s="3"/>
      <c r="Z42"/>
      <c r="AA42"/>
    </row>
    <row r="43" spans="1:27" x14ac:dyDescent="0.25">
      <c r="A43" s="4">
        <v>2015</v>
      </c>
      <c r="B43" s="4" t="s">
        <v>18</v>
      </c>
      <c r="C43" s="4" t="s">
        <v>60</v>
      </c>
      <c r="D43" s="4" t="s">
        <v>56</v>
      </c>
      <c r="E43" s="3">
        <v>36.575767095482661</v>
      </c>
      <c r="F43" s="57">
        <v>1.5065347411201002</v>
      </c>
      <c r="G43" s="42">
        <v>19.91324805274332</v>
      </c>
      <c r="H43" s="1"/>
      <c r="I43" s="3">
        <v>62.178804062320523</v>
      </c>
      <c r="J43" s="44"/>
      <c r="K43" s="42">
        <v>27.034262635791531</v>
      </c>
      <c r="L43" s="44"/>
      <c r="M43" s="3"/>
      <c r="N43" s="42"/>
      <c r="O43" s="3"/>
      <c r="P43" s="3">
        <v>41.800876680551617</v>
      </c>
      <c r="Q43" s="3"/>
      <c r="R43" s="42">
        <v>32.511792973762361</v>
      </c>
      <c r="S43" s="3"/>
      <c r="T43" s="3">
        <v>16.5943733772861</v>
      </c>
      <c r="U43" s="42"/>
      <c r="V43" s="48"/>
      <c r="W43" s="3">
        <v>42.202808187095378</v>
      </c>
      <c r="X43" s="3"/>
      <c r="Y43" s="3"/>
      <c r="Z43"/>
      <c r="AA43"/>
    </row>
    <row r="44" spans="1:27" x14ac:dyDescent="0.25">
      <c r="A44" s="4">
        <v>2015</v>
      </c>
      <c r="B44" s="4" t="s">
        <v>18</v>
      </c>
      <c r="C44" s="4" t="s">
        <v>60</v>
      </c>
      <c r="D44" s="4" t="s">
        <v>52</v>
      </c>
      <c r="E44" s="3">
        <v>33.51025874811463</v>
      </c>
      <c r="F44" s="57">
        <v>1.3026453087827021</v>
      </c>
      <c r="G44" s="42">
        <v>23.030060291726258</v>
      </c>
      <c r="H44" s="1"/>
      <c r="I44" s="3">
        <v>56.967439871794873</v>
      </c>
      <c r="J44" s="44"/>
      <c r="K44" s="42">
        <v>24.768452118171684</v>
      </c>
      <c r="L44" s="44"/>
      <c r="M44" s="3"/>
      <c r="N44" s="42"/>
      <c r="O44" s="3"/>
      <c r="P44" s="3">
        <v>38.297438569273865</v>
      </c>
      <c r="Q44" s="3"/>
      <c r="R44" s="42">
        <v>29.786896664990785</v>
      </c>
      <c r="S44" s="3"/>
      <c r="T44" s="3">
        <v>19.19171690977188</v>
      </c>
      <c r="U44" s="42"/>
      <c r="V44" s="48"/>
      <c r="W44" s="3">
        <v>38.665683170901495</v>
      </c>
      <c r="X44" s="3"/>
      <c r="Y44" s="3"/>
      <c r="Z44"/>
      <c r="AA44"/>
    </row>
    <row r="45" spans="1:27" x14ac:dyDescent="0.25">
      <c r="A45" s="4">
        <v>2015</v>
      </c>
      <c r="B45" s="4" t="s">
        <v>18</v>
      </c>
      <c r="C45" s="4" t="s">
        <v>60</v>
      </c>
      <c r="D45" s="4" t="s">
        <v>53</v>
      </c>
      <c r="E45" s="3">
        <v>42.453570333212674</v>
      </c>
      <c r="F45" s="57">
        <v>1.4349675944055451</v>
      </c>
      <c r="G45" s="42">
        <v>20.906395459353845</v>
      </c>
      <c r="H45" s="1"/>
      <c r="I45" s="3">
        <v>72.171069566461554</v>
      </c>
      <c r="J45" s="44"/>
      <c r="K45" s="42">
        <v>31.378725898461543</v>
      </c>
      <c r="L45" s="44"/>
      <c r="M45" s="3"/>
      <c r="N45" s="42"/>
      <c r="O45" s="3"/>
      <c r="P45" s="3">
        <v>48.518366095100205</v>
      </c>
      <c r="Q45" s="3"/>
      <c r="R45" s="42">
        <v>37.736506962855714</v>
      </c>
      <c r="S45" s="3"/>
      <c r="T45" s="3">
        <v>17.421996216128203</v>
      </c>
      <c r="U45" s="42"/>
      <c r="V45" s="48"/>
      <c r="W45" s="3">
        <v>48.98488884601462</v>
      </c>
      <c r="X45" s="3"/>
      <c r="Y45" s="3"/>
      <c r="Z45"/>
      <c r="AA45"/>
    </row>
    <row r="46" spans="1:27" x14ac:dyDescent="0.25">
      <c r="A46" s="4">
        <v>2015</v>
      </c>
      <c r="B46" s="4" t="s">
        <v>18</v>
      </c>
      <c r="C46" s="4" t="s">
        <v>60</v>
      </c>
      <c r="D46" s="4" t="s">
        <v>54</v>
      </c>
      <c r="E46" s="3">
        <v>40.551149713800903</v>
      </c>
      <c r="F46" s="57">
        <v>1.4388498281065718</v>
      </c>
      <c r="G46" s="42">
        <v>20.849986853372982</v>
      </c>
      <c r="H46" s="1"/>
      <c r="I46" s="3">
        <v>68.936954513461529</v>
      </c>
      <c r="J46" s="44"/>
      <c r="K46" s="42">
        <v>29.972588918896317</v>
      </c>
      <c r="L46" s="44"/>
      <c r="M46" s="3"/>
      <c r="N46" s="42"/>
      <c r="O46" s="3"/>
      <c r="P46" s="3">
        <v>46.344171101486751</v>
      </c>
      <c r="Q46" s="3"/>
      <c r="R46" s="42">
        <v>36.045466412267473</v>
      </c>
      <c r="S46" s="3"/>
      <c r="T46" s="3">
        <v>17.374989044477484</v>
      </c>
      <c r="U46" s="42"/>
      <c r="V46" s="48"/>
      <c r="W46" s="3">
        <v>46.789788131308732</v>
      </c>
      <c r="X46" s="3"/>
      <c r="Y46" s="3"/>
      <c r="Z46"/>
      <c r="AA46"/>
    </row>
    <row r="47" spans="1:27" x14ac:dyDescent="0.25">
      <c r="A47" s="4">
        <v>2015</v>
      </c>
      <c r="B47" s="4" t="s">
        <v>18</v>
      </c>
      <c r="C47" s="4" t="s">
        <v>60</v>
      </c>
      <c r="D47" s="4" t="s">
        <v>149</v>
      </c>
      <c r="E47" s="41">
        <v>41.778802817666211</v>
      </c>
      <c r="F47" s="58">
        <v>1.3872091931539103</v>
      </c>
      <c r="G47" s="43">
        <v>21.626154258531873</v>
      </c>
      <c r="H47" s="1"/>
      <c r="I47" s="41">
        <v>71.023964790032565</v>
      </c>
      <c r="J47" s="53"/>
      <c r="K47" s="43">
        <v>30.879984691318505</v>
      </c>
      <c r="L47" s="53"/>
      <c r="M47" s="41"/>
      <c r="N47" s="43"/>
      <c r="O47" s="41"/>
      <c r="P47" s="41">
        <v>47.747203220189967</v>
      </c>
      <c r="Q47" s="41"/>
      <c r="R47" s="43">
        <v>37.1367136157033</v>
      </c>
      <c r="S47" s="41"/>
      <c r="T47" s="41">
        <v>18.02179521544323</v>
      </c>
      <c r="U47" s="43"/>
      <c r="V47" s="54"/>
      <c r="W47" s="41">
        <v>48.206310943461006</v>
      </c>
      <c r="X47" s="3"/>
      <c r="Y47" s="3"/>
      <c r="Z47"/>
      <c r="AA47"/>
    </row>
    <row r="48" spans="1:27" x14ac:dyDescent="0.25">
      <c r="A48" s="4">
        <v>2020</v>
      </c>
      <c r="B48" s="4" t="s">
        <v>18</v>
      </c>
      <c r="C48" s="4" t="s">
        <v>60</v>
      </c>
      <c r="D48" s="4" t="s">
        <v>49</v>
      </c>
      <c r="E48" s="3">
        <v>36.461374985745103</v>
      </c>
      <c r="F48" s="57">
        <v>1.1389752245839881</v>
      </c>
      <c r="G48" s="42">
        <v>26.339466699951732</v>
      </c>
      <c r="H48" s="1"/>
      <c r="I48" s="3">
        <v>61.984337475766672</v>
      </c>
      <c r="J48" s="44"/>
      <c r="K48" s="42">
        <v>26.949711945985509</v>
      </c>
      <c r="L48" s="44"/>
      <c r="M48" s="3"/>
      <c r="N48" s="42"/>
      <c r="O48" s="3"/>
      <c r="P48" s="3">
        <v>41.670142840851554</v>
      </c>
      <c r="Q48" s="3"/>
      <c r="R48" s="42">
        <v>32.41011109844009</v>
      </c>
      <c r="S48" s="3"/>
      <c r="T48" s="3">
        <v>21.949555583293108</v>
      </c>
      <c r="U48" s="42"/>
      <c r="V48" s="48"/>
      <c r="W48" s="3">
        <v>42.070817291244346</v>
      </c>
      <c r="X48" s="3"/>
      <c r="Y48" s="3"/>
      <c r="Z48"/>
      <c r="AA48"/>
    </row>
    <row r="49" spans="1:27" x14ac:dyDescent="0.25">
      <c r="A49" s="4">
        <v>2020</v>
      </c>
      <c r="B49" s="4" t="s">
        <v>18</v>
      </c>
      <c r="C49" s="4" t="s">
        <v>60</v>
      </c>
      <c r="D49" s="4" t="s">
        <v>56</v>
      </c>
      <c r="E49" s="3">
        <v>30.803290633078433</v>
      </c>
      <c r="F49" s="57">
        <v>1.2762314252944396</v>
      </c>
      <c r="G49" s="42">
        <v>23.506708427179415</v>
      </c>
      <c r="H49" s="1"/>
      <c r="I49" s="3">
        <v>52.365594076233336</v>
      </c>
      <c r="J49" s="44"/>
      <c r="K49" s="42">
        <v>22.767649598362318</v>
      </c>
      <c r="L49" s="44"/>
      <c r="M49" s="3"/>
      <c r="N49" s="42"/>
      <c r="O49" s="3"/>
      <c r="P49" s="3">
        <v>35.203760723518208</v>
      </c>
      <c r="Q49" s="3"/>
      <c r="R49" s="42">
        <v>27.380702784958608</v>
      </c>
      <c r="S49" s="3"/>
      <c r="T49" s="3">
        <v>19.588923689316179</v>
      </c>
      <c r="U49" s="42"/>
      <c r="V49" s="48"/>
      <c r="W49" s="3">
        <v>35.542258422782808</v>
      </c>
      <c r="X49" s="3"/>
      <c r="Y49" s="3"/>
      <c r="Z49"/>
      <c r="AA49"/>
    </row>
    <row r="50" spans="1:27" x14ac:dyDescent="0.25">
      <c r="A50" s="4">
        <v>2020</v>
      </c>
      <c r="B50" s="4" t="s">
        <v>18</v>
      </c>
      <c r="C50" s="4" t="s">
        <v>60</v>
      </c>
      <c r="D50" s="4" t="s">
        <v>53</v>
      </c>
      <c r="E50" s="3">
        <v>36.331422720156866</v>
      </c>
      <c r="F50" s="57">
        <v>1.2182851710125511</v>
      </c>
      <c r="G50" s="42">
        <v>24.624776459411514</v>
      </c>
      <c r="H50" s="1"/>
      <c r="I50" s="3">
        <v>61.76341862426667</v>
      </c>
      <c r="J50" s="44"/>
      <c r="K50" s="42">
        <v>26.853660271420292</v>
      </c>
      <c r="L50" s="44"/>
      <c r="M50" s="3"/>
      <c r="N50" s="42"/>
      <c r="O50" s="3"/>
      <c r="P50" s="3">
        <v>41.521625965893563</v>
      </c>
      <c r="Q50" s="3"/>
      <c r="R50" s="42">
        <v>32.294597973472769</v>
      </c>
      <c r="S50" s="3"/>
      <c r="T50" s="3">
        <v>20.520647049509595</v>
      </c>
      <c r="U50" s="42"/>
      <c r="V50" s="48"/>
      <c r="W50" s="3">
        <v>41.920872369411768</v>
      </c>
      <c r="X50" s="3"/>
      <c r="Y50" s="3"/>
      <c r="Z50"/>
      <c r="AA50"/>
    </row>
    <row r="51" spans="1:27" x14ac:dyDescent="0.25">
      <c r="A51" s="4">
        <v>2020</v>
      </c>
      <c r="B51" s="4" t="s">
        <v>18</v>
      </c>
      <c r="C51" s="4" t="s">
        <v>60</v>
      </c>
      <c r="D51" s="4" t="s">
        <v>57</v>
      </c>
      <c r="E51" s="3">
        <v>26.457857976725485</v>
      </c>
      <c r="F51" s="57">
        <v>1.0950012998360239</v>
      </c>
      <c r="G51" s="42">
        <v>27.397227751686223</v>
      </c>
      <c r="H51" s="1"/>
      <c r="I51" s="3">
        <v>44.978358560433328</v>
      </c>
      <c r="J51" s="44"/>
      <c r="K51" s="42">
        <v>19.555808069753621</v>
      </c>
      <c r="L51" s="44"/>
      <c r="M51" s="3"/>
      <c r="N51" s="42"/>
      <c r="O51" s="3"/>
      <c r="P51" s="3">
        <v>30.237551973400556</v>
      </c>
      <c r="Q51" s="3"/>
      <c r="R51" s="42">
        <v>23.518095979311543</v>
      </c>
      <c r="S51" s="3"/>
      <c r="T51" s="3">
        <v>22.831023126405185</v>
      </c>
      <c r="U51" s="42"/>
      <c r="V51" s="48"/>
      <c r="W51" s="3">
        <v>30.528297665452481</v>
      </c>
      <c r="X51" s="3"/>
      <c r="Y51" s="3"/>
      <c r="Z51"/>
      <c r="AA51"/>
    </row>
    <row r="52" spans="1:27" x14ac:dyDescent="0.25">
      <c r="A52" s="4">
        <v>2020</v>
      </c>
      <c r="B52" s="4" t="s">
        <v>18</v>
      </c>
      <c r="C52" s="4" t="s">
        <v>60</v>
      </c>
      <c r="D52" s="4" t="s">
        <v>58</v>
      </c>
      <c r="E52" s="3">
        <v>31.414055605457513</v>
      </c>
      <c r="F52" s="57">
        <v>1.0983780598732134</v>
      </c>
      <c r="G52" s="42">
        <v>27.313000046143422</v>
      </c>
      <c r="H52" s="1"/>
      <c r="I52" s="3">
        <v>53.403894529277771</v>
      </c>
      <c r="J52" s="44"/>
      <c r="K52" s="42">
        <v>23.219084577946859</v>
      </c>
      <c r="L52" s="44"/>
      <c r="M52" s="3"/>
      <c r="N52" s="42"/>
      <c r="O52" s="3"/>
      <c r="P52" s="3">
        <v>35.901777834808591</v>
      </c>
      <c r="Q52" s="3"/>
      <c r="R52" s="42">
        <v>27.923604982628902</v>
      </c>
      <c r="S52" s="3"/>
      <c r="T52" s="3">
        <v>22.760833371786184</v>
      </c>
      <c r="U52" s="42"/>
      <c r="V52" s="48"/>
      <c r="W52" s="3">
        <v>36.246987237066357</v>
      </c>
      <c r="X52" s="3"/>
      <c r="Y52" s="3"/>
      <c r="Z52"/>
      <c r="AA52"/>
    </row>
    <row r="53" spans="1:27" x14ac:dyDescent="0.25">
      <c r="A53" s="4">
        <v>2020</v>
      </c>
      <c r="B53" s="4" t="s">
        <v>18</v>
      </c>
      <c r="C53" s="4" t="s">
        <v>60</v>
      </c>
      <c r="D53" s="4" t="s">
        <v>59</v>
      </c>
      <c r="E53" s="3">
        <v>30.673621075637254</v>
      </c>
      <c r="F53" s="57">
        <v>1.0527593685153502</v>
      </c>
      <c r="G53" s="42">
        <v>28.496540517428386</v>
      </c>
      <c r="H53" s="1"/>
      <c r="I53" s="3">
        <v>52.145155828583327</v>
      </c>
      <c r="J53" s="44"/>
      <c r="K53" s="42">
        <v>22.671806881992751</v>
      </c>
      <c r="L53" s="44"/>
      <c r="M53" s="3"/>
      <c r="N53" s="42"/>
      <c r="O53" s="3"/>
      <c r="P53" s="3">
        <v>35.05556694358544</v>
      </c>
      <c r="Q53" s="3"/>
      <c r="R53" s="42">
        <v>27.265440956122006</v>
      </c>
      <c r="S53" s="3"/>
      <c r="T53" s="3">
        <v>23.747117097856986</v>
      </c>
      <c r="U53" s="42"/>
      <c r="V53" s="48"/>
      <c r="W53" s="3">
        <v>35.392639702658371</v>
      </c>
      <c r="X53" s="3"/>
      <c r="Y53" s="3"/>
      <c r="Z53"/>
      <c r="AA53"/>
    </row>
    <row r="54" spans="1:27" x14ac:dyDescent="0.25">
      <c r="A54" s="4">
        <v>2020</v>
      </c>
      <c r="B54" s="4" t="s">
        <v>18</v>
      </c>
      <c r="C54" s="4" t="s">
        <v>60</v>
      </c>
      <c r="D54" s="4" t="s">
        <v>149</v>
      </c>
      <c r="E54" s="41">
        <v>33.375733115789906</v>
      </c>
      <c r="F54" s="58">
        <v>1.1572114585147146</v>
      </c>
      <c r="G54" s="43">
        <v>25.924388994994153</v>
      </c>
      <c r="H54" s="1"/>
      <c r="I54" s="41">
        <v>56.738746296842834</v>
      </c>
      <c r="J54" s="53"/>
      <c r="K54" s="43">
        <v>24.669020129062105</v>
      </c>
      <c r="L54" s="53"/>
      <c r="M54" s="41"/>
      <c r="N54" s="43"/>
      <c r="O54" s="41"/>
      <c r="P54" s="41">
        <v>38.143694989474184</v>
      </c>
      <c r="Q54" s="41"/>
      <c r="R54" s="43">
        <v>29.667318325146585</v>
      </c>
      <c r="S54" s="41"/>
      <c r="T54" s="41">
        <v>21.603657495828461</v>
      </c>
      <c r="U54" s="43"/>
      <c r="V54" s="54"/>
      <c r="W54" s="41">
        <v>38.510461287449886</v>
      </c>
      <c r="X54" s="3"/>
      <c r="Y54" s="3"/>
      <c r="Z54"/>
      <c r="AA54"/>
    </row>
    <row r="55" spans="1:27" x14ac:dyDescent="0.25">
      <c r="A55" s="4">
        <v>2020</v>
      </c>
      <c r="B55" s="4" t="s">
        <v>47</v>
      </c>
      <c r="C55" s="4" t="s">
        <v>60</v>
      </c>
      <c r="D55" s="4" t="s">
        <v>48</v>
      </c>
      <c r="E55" s="41">
        <v>25.87089705882353</v>
      </c>
      <c r="F55" s="58">
        <v>1.1162650024884118</v>
      </c>
      <c r="G55" s="43">
        <v>26.8753386813374</v>
      </c>
      <c r="H55" s="1"/>
      <c r="I55" s="41">
        <v>43.980525</v>
      </c>
      <c r="J55" s="53"/>
      <c r="K55" s="43">
        <v>19.121967391304349</v>
      </c>
      <c r="L55" s="53"/>
      <c r="M55" s="41"/>
      <c r="N55" s="43"/>
      <c r="O55" s="41"/>
      <c r="P55" s="41">
        <v>29.566739495798323</v>
      </c>
      <c r="Q55" s="41"/>
      <c r="R55" s="43">
        <v>22.996352941176472</v>
      </c>
      <c r="S55" s="41"/>
      <c r="T55" s="41">
        <v>22.396115567781166</v>
      </c>
      <c r="U55" s="43"/>
      <c r="V55" s="54"/>
      <c r="W55" s="41">
        <v>29.851035067873301</v>
      </c>
      <c r="X55" s="3"/>
      <c r="Y55" s="3"/>
      <c r="Z55"/>
      <c r="AA55"/>
    </row>
    <row r="56" spans="1:27" x14ac:dyDescent="0.25">
      <c r="A56" s="4">
        <v>2025</v>
      </c>
      <c r="B56" s="4" t="s">
        <v>47</v>
      </c>
      <c r="C56" s="4" t="s">
        <v>60</v>
      </c>
      <c r="D56" s="4" t="s">
        <v>48</v>
      </c>
      <c r="E56" s="3">
        <v>24.339797385620916</v>
      </c>
      <c r="F56" s="57">
        <v>1.0637922562618825</v>
      </c>
      <c r="G56" s="42">
        <v>28.200994906109425</v>
      </c>
      <c r="H56" s="1"/>
      <c r="I56" s="3">
        <v>41.377655555555556</v>
      </c>
      <c r="J56" s="44"/>
      <c r="K56" s="42">
        <v>17.990285024154588</v>
      </c>
      <c r="L56" s="44"/>
      <c r="M56" s="3">
        <v>2.4821819312777258</v>
      </c>
      <c r="N56" s="42"/>
      <c r="O56" s="3"/>
      <c r="P56" s="3">
        <v>27.816911297852478</v>
      </c>
      <c r="Q56" s="3"/>
      <c r="R56" s="42">
        <v>21.63537545388526</v>
      </c>
      <c r="S56" s="3"/>
      <c r="T56" s="3">
        <v>23.500829088424521</v>
      </c>
      <c r="U56" s="42"/>
      <c r="V56" s="48"/>
      <c r="W56" s="3">
        <v>28.08438159879336</v>
      </c>
      <c r="X56" s="3"/>
      <c r="Y56" s="3">
        <v>20.28316448801743</v>
      </c>
      <c r="Z56"/>
      <c r="AA56"/>
    </row>
    <row r="57" spans="1:27" x14ac:dyDescent="0.25">
      <c r="A57" s="4">
        <v>2030</v>
      </c>
      <c r="B57" s="4" t="s">
        <v>47</v>
      </c>
      <c r="C57" s="4" t="s">
        <v>60</v>
      </c>
      <c r="D57" s="4" t="s">
        <v>48</v>
      </c>
      <c r="E57" s="3">
        <v>24.010880718954247</v>
      </c>
      <c r="F57" s="57">
        <v>1.026163182041</v>
      </c>
      <c r="G57" s="42">
        <v>29.235116329481951</v>
      </c>
      <c r="H57" s="1"/>
      <c r="I57" s="3">
        <v>40.81849722222222</v>
      </c>
      <c r="J57" s="44"/>
      <c r="K57" s="42">
        <v>17.747172705314007</v>
      </c>
      <c r="L57" s="44"/>
      <c r="M57" s="3">
        <v>2.3943807580956666</v>
      </c>
      <c r="N57" s="42"/>
      <c r="O57" s="3"/>
      <c r="P57" s="3">
        <v>27.441006535947714</v>
      </c>
      <c r="Q57" s="3"/>
      <c r="R57" s="42">
        <v>21.343005083514885</v>
      </c>
      <c r="S57" s="3"/>
      <c r="T57" s="3">
        <v>24.362596941234958</v>
      </c>
      <c r="U57" s="42"/>
      <c r="V57" s="48"/>
      <c r="W57" s="3">
        <v>27.704862368024131</v>
      </c>
      <c r="X57" s="3"/>
      <c r="Y57" s="3">
        <v>20.009067265795206</v>
      </c>
      <c r="Z57"/>
      <c r="AA57"/>
    </row>
    <row r="58" spans="1:27" x14ac:dyDescent="0.25">
      <c r="A58" s="4">
        <v>2035</v>
      </c>
      <c r="B58" s="4" t="s">
        <v>47</v>
      </c>
      <c r="C58" s="4" t="s">
        <v>60</v>
      </c>
      <c r="D58" s="4" t="s">
        <v>48</v>
      </c>
      <c r="E58" s="41">
        <v>23.427496732026142</v>
      </c>
      <c r="F58" s="58">
        <v>1.0023660837549706</v>
      </c>
      <c r="G58" s="43">
        <v>29.929185041473861</v>
      </c>
      <c r="H58" s="1"/>
      <c r="I58" s="41">
        <v>39.826744444444444</v>
      </c>
      <c r="J58" s="53"/>
      <c r="K58" s="43">
        <v>17.315975845410627</v>
      </c>
      <c r="L58" s="53"/>
      <c r="M58" s="41">
        <v>2.3388541954282647</v>
      </c>
      <c r="N58" s="43"/>
      <c r="O58" s="41"/>
      <c r="P58" s="41">
        <v>26.774281979458454</v>
      </c>
      <c r="Q58" s="41"/>
      <c r="R58" s="43">
        <v>20.824441539578796</v>
      </c>
      <c r="S58" s="41"/>
      <c r="T58" s="41">
        <v>24.94098753456155</v>
      </c>
      <c r="U58" s="43"/>
      <c r="V58" s="54"/>
      <c r="W58" s="41">
        <v>27.031726998491699</v>
      </c>
      <c r="X58" s="41"/>
      <c r="Y58" s="41">
        <v>19.522913943355118</v>
      </c>
      <c r="Z58"/>
      <c r="AA58"/>
    </row>
    <row r="59" spans="1:27" x14ac:dyDescent="0.25">
      <c r="A59" s="4">
        <v>2040</v>
      </c>
      <c r="B59" s="4" t="s">
        <v>47</v>
      </c>
      <c r="C59" s="4" t="s">
        <v>60</v>
      </c>
      <c r="D59" s="4" t="s">
        <v>48</v>
      </c>
      <c r="E59" s="3">
        <v>23.120246732026143</v>
      </c>
      <c r="F59" s="57">
        <v>0.98718156180344152</v>
      </c>
      <c r="G59" s="42">
        <v>30.389546523938545</v>
      </c>
      <c r="H59" s="1"/>
      <c r="I59" s="3">
        <v>39.304419444444441</v>
      </c>
      <c r="J59" s="44"/>
      <c r="K59" s="42">
        <v>17.088878019323673</v>
      </c>
      <c r="L59" s="44"/>
      <c r="M59" s="3">
        <v>2.30342364420803</v>
      </c>
      <c r="N59" s="42"/>
      <c r="O59" s="3"/>
      <c r="P59" s="3">
        <v>26.423139122315593</v>
      </c>
      <c r="Q59" s="3"/>
      <c r="R59" s="42">
        <v>20.551330428467683</v>
      </c>
      <c r="S59" s="3"/>
      <c r="T59" s="3">
        <v>25.324622103282117</v>
      </c>
      <c r="U59" s="42"/>
      <c r="V59" s="48"/>
      <c r="W59" s="3">
        <v>26.677207767722471</v>
      </c>
      <c r="X59" s="3"/>
      <c r="Y59" s="3">
        <v>19.266872276688453</v>
      </c>
      <c r="Z59"/>
      <c r="AA59"/>
    </row>
    <row r="60" spans="1:27" x14ac:dyDescent="0.25">
      <c r="A60" s="4">
        <v>2045</v>
      </c>
      <c r="B60" s="4" t="s">
        <v>47</v>
      </c>
      <c r="C60" s="4" t="s">
        <v>60</v>
      </c>
      <c r="D60" s="4" t="s">
        <v>48</v>
      </c>
      <c r="E60" s="3">
        <v>22.82281045751634</v>
      </c>
      <c r="F60" s="57">
        <v>0.97392501116552943</v>
      </c>
      <c r="G60" s="42">
        <v>30.803192911226269</v>
      </c>
      <c r="H60" s="1"/>
      <c r="I60" s="3">
        <v>38.798777777777779</v>
      </c>
      <c r="J60" s="44"/>
      <c r="K60" s="42">
        <v>16.869033816425123</v>
      </c>
      <c r="L60" s="44"/>
      <c r="M60" s="3">
        <v>2.2724916927195684</v>
      </c>
      <c r="N60" s="42"/>
      <c r="O60" s="3"/>
      <c r="P60" s="3">
        <v>26.08321195144725</v>
      </c>
      <c r="Q60" s="3"/>
      <c r="R60" s="42">
        <v>20.286942628903414</v>
      </c>
      <c r="S60" s="3"/>
      <c r="T60" s="3">
        <v>25.669327426021894</v>
      </c>
      <c r="U60" s="42"/>
      <c r="V60" s="48"/>
      <c r="W60" s="3">
        <v>26.334012066365005</v>
      </c>
      <c r="X60" s="3"/>
      <c r="Y60" s="3">
        <v>19.01900871459695</v>
      </c>
      <c r="Z60"/>
      <c r="AA60"/>
    </row>
    <row r="61" spans="1:27" x14ac:dyDescent="0.25">
      <c r="A61" s="4">
        <v>2050</v>
      </c>
      <c r="B61" s="4" t="s">
        <v>47</v>
      </c>
      <c r="C61" s="4" t="s">
        <v>60</v>
      </c>
      <c r="D61" s="4" t="s">
        <v>48</v>
      </c>
      <c r="E61" s="41">
        <v>22.620830065359478</v>
      </c>
      <c r="F61" s="58">
        <v>0.95981336180432353</v>
      </c>
      <c r="G61" s="43">
        <v>31.256076643488193</v>
      </c>
      <c r="H61" s="1"/>
      <c r="I61" s="41">
        <v>38.455411111111111</v>
      </c>
      <c r="J61" s="53"/>
      <c r="K61" s="43">
        <v>16.719743961352659</v>
      </c>
      <c r="L61" s="53"/>
      <c r="M61" s="41">
        <v>2.2395645108767548</v>
      </c>
      <c r="N61" s="43"/>
      <c r="O61" s="41"/>
      <c r="P61" s="41">
        <v>25.852377217553691</v>
      </c>
      <c r="Q61" s="41"/>
      <c r="R61" s="43">
        <v>20.107404502541758</v>
      </c>
      <c r="S61" s="41"/>
      <c r="T61" s="41">
        <v>26.046730536240158</v>
      </c>
      <c r="U61" s="43"/>
      <c r="V61" s="54"/>
      <c r="W61" s="41">
        <v>26.100957767722473</v>
      </c>
      <c r="X61" s="41"/>
      <c r="Y61" s="41">
        <v>18.850691721132897</v>
      </c>
      <c r="Z61"/>
      <c r="AA61"/>
    </row>
    <row r="62" spans="1:27" x14ac:dyDescent="0.25">
      <c r="C62" s="4"/>
      <c r="E62" s="3"/>
      <c r="F62" s="57"/>
      <c r="G62" s="42"/>
      <c r="H62" s="1"/>
      <c r="I62" s="44"/>
      <c r="J62" s="44"/>
      <c r="K62" s="50"/>
      <c r="L62" s="44"/>
      <c r="M62" s="3"/>
      <c r="N62" s="42"/>
      <c r="O62" s="3"/>
      <c r="P62" s="3"/>
      <c r="Q62" s="3"/>
      <c r="R62" s="42"/>
      <c r="S62" s="3"/>
      <c r="T62" s="3"/>
      <c r="U62" s="42"/>
      <c r="V62" s="48" t="s">
        <v>138</v>
      </c>
      <c r="W62" s="3" t="s">
        <v>141</v>
      </c>
      <c r="X62" s="3" t="s">
        <v>142</v>
      </c>
      <c r="Y62" s="3" t="s">
        <v>143</v>
      </c>
      <c r="Z62"/>
      <c r="AA62"/>
    </row>
    <row r="63" spans="1:27" x14ac:dyDescent="0.25">
      <c r="A63" s="4" t="s">
        <v>0</v>
      </c>
      <c r="B63" s="4" t="s">
        <v>1</v>
      </c>
      <c r="C63" s="4" t="s">
        <v>25</v>
      </c>
      <c r="D63" s="4" t="s">
        <v>7</v>
      </c>
      <c r="E63" s="3"/>
      <c r="F63" s="57"/>
      <c r="G63" s="42"/>
      <c r="H63" s="1"/>
      <c r="I63" s="44"/>
      <c r="J63" s="44"/>
      <c r="K63" s="50"/>
      <c r="L63" s="44"/>
      <c r="M63" s="3"/>
      <c r="N63" s="42"/>
      <c r="O63" s="3"/>
      <c r="P63" s="3"/>
      <c r="Q63" s="3"/>
      <c r="R63" s="42"/>
      <c r="S63" s="3"/>
      <c r="T63" s="3"/>
      <c r="U63" s="42"/>
      <c r="V63" s="48" t="s">
        <v>148</v>
      </c>
      <c r="W63" s="47">
        <v>0.15</v>
      </c>
      <c r="X63" s="47">
        <v>0.18</v>
      </c>
      <c r="Y63" s="47">
        <v>0.21</v>
      </c>
      <c r="Z63"/>
      <c r="AA63"/>
    </row>
    <row r="64" spans="1:27" x14ac:dyDescent="0.25">
      <c r="A64" s="4">
        <v>2010</v>
      </c>
      <c r="B64" s="4" t="s">
        <v>18</v>
      </c>
      <c r="C64" s="4" t="s">
        <v>63</v>
      </c>
      <c r="D64" s="4" t="s">
        <v>49</v>
      </c>
      <c r="E64" s="3">
        <v>61.923782893344644</v>
      </c>
      <c r="F64" s="57">
        <v>1.868406923726895</v>
      </c>
      <c r="G64" s="42">
        <v>16.056459446296238</v>
      </c>
      <c r="H64" s="1"/>
      <c r="I64" s="3">
        <v>105.27043091868589</v>
      </c>
      <c r="J64" s="44"/>
      <c r="K64" s="42">
        <v>45.769752573341691</v>
      </c>
      <c r="L64" s="44"/>
      <c r="M64" s="3"/>
      <c r="N64" s="42"/>
      <c r="O64" s="3"/>
      <c r="P64" s="3">
        <v>70.770037592393891</v>
      </c>
      <c r="Q64" s="3"/>
      <c r="R64" s="42">
        <v>55.043362571861906</v>
      </c>
      <c r="S64" s="3"/>
      <c r="T64" s="3">
        <v>13.380382871913532</v>
      </c>
      <c r="U64" s="42"/>
      <c r="V64" s="48" t="s">
        <v>121</v>
      </c>
      <c r="W64" s="3">
        <v>74.308539472013564</v>
      </c>
      <c r="X64" s="3"/>
      <c r="Y64" s="3"/>
      <c r="Z64"/>
      <c r="AA64"/>
    </row>
    <row r="65" spans="1:27" x14ac:dyDescent="0.25">
      <c r="A65" s="4">
        <v>2010</v>
      </c>
      <c r="B65" s="4" t="s">
        <v>18</v>
      </c>
      <c r="C65" s="4" t="s">
        <v>63</v>
      </c>
      <c r="D65" s="4" t="s">
        <v>50</v>
      </c>
      <c r="E65" s="3">
        <v>47.061586053073157</v>
      </c>
      <c r="F65" s="57">
        <v>1.9246914063275931</v>
      </c>
      <c r="G65" s="42">
        <v>15.586914297727079</v>
      </c>
      <c r="H65" s="1"/>
      <c r="I65" s="3">
        <v>80.004696290224373</v>
      </c>
      <c r="J65" s="44"/>
      <c r="K65" s="42">
        <v>34.784650560967115</v>
      </c>
      <c r="L65" s="44"/>
      <c r="M65" s="3"/>
      <c r="N65" s="42"/>
      <c r="O65" s="3"/>
      <c r="P65" s="3">
        <v>53.784669774940753</v>
      </c>
      <c r="Q65" s="3"/>
      <c r="R65" s="42">
        <v>41.832520936065031</v>
      </c>
      <c r="S65" s="3"/>
      <c r="T65" s="3">
        <v>12.989095248105901</v>
      </c>
      <c r="U65" s="42"/>
      <c r="V65" s="48"/>
      <c r="W65" s="3">
        <v>56.473903263687788</v>
      </c>
      <c r="X65" s="3"/>
      <c r="Y65" s="3"/>
      <c r="Z65"/>
      <c r="AA65"/>
    </row>
    <row r="66" spans="1:27" x14ac:dyDescent="0.25">
      <c r="A66" s="4">
        <v>2010</v>
      </c>
      <c r="B66" s="4" t="s">
        <v>18</v>
      </c>
      <c r="C66" s="4" t="s">
        <v>62</v>
      </c>
      <c r="D66" s="4" t="s">
        <v>51</v>
      </c>
      <c r="E66" s="3">
        <v>43.796789711623305</v>
      </c>
      <c r="F66" s="57">
        <v>1.9421036927100523</v>
      </c>
      <c r="G66" s="42">
        <v>15.447166962613293</v>
      </c>
      <c r="H66" s="1"/>
      <c r="I66" s="3">
        <v>74.454542509759619</v>
      </c>
      <c r="J66" s="44"/>
      <c r="K66" s="42">
        <v>32.371540221634618</v>
      </c>
      <c r="L66" s="44"/>
      <c r="M66" s="3"/>
      <c r="N66" s="42"/>
      <c r="O66" s="3"/>
      <c r="P66" s="3">
        <v>50.05347395614092</v>
      </c>
      <c r="Q66" s="3"/>
      <c r="R66" s="42">
        <v>38.93047974366516</v>
      </c>
      <c r="S66" s="3"/>
      <c r="T66" s="3">
        <v>12.872639135511077</v>
      </c>
      <c r="U66" s="42"/>
      <c r="V66" s="48"/>
      <c r="W66" s="3">
        <v>52.556147653947967</v>
      </c>
      <c r="X66" s="3"/>
      <c r="Y66" s="3"/>
      <c r="Z66"/>
      <c r="AA66"/>
    </row>
    <row r="67" spans="1:27" x14ac:dyDescent="0.25">
      <c r="A67" s="4">
        <v>2010</v>
      </c>
      <c r="B67" s="4" t="s">
        <v>18</v>
      </c>
      <c r="C67" s="4" t="s">
        <v>63</v>
      </c>
      <c r="D67" s="4" t="s">
        <v>52</v>
      </c>
      <c r="E67" s="3">
        <v>45.618144230769232</v>
      </c>
      <c r="F67" s="57">
        <v>1.800088555630637</v>
      </c>
      <c r="G67" s="42">
        <v>16.665846747461767</v>
      </c>
      <c r="H67" s="1"/>
      <c r="I67" s="3">
        <v>77.55084519230769</v>
      </c>
      <c r="J67" s="44"/>
      <c r="K67" s="42">
        <v>33.717758779264216</v>
      </c>
      <c r="L67" s="44"/>
      <c r="M67" s="3"/>
      <c r="N67" s="42"/>
      <c r="O67" s="3"/>
      <c r="P67" s="3">
        <v>52.135021978021989</v>
      </c>
      <c r="Q67" s="3"/>
      <c r="R67" s="42">
        <v>40.549461538461543</v>
      </c>
      <c r="S67" s="3"/>
      <c r="T67" s="3">
        <v>13.888205622884806</v>
      </c>
      <c r="U67" s="42"/>
      <c r="V67" s="48"/>
      <c r="W67" s="3">
        <v>54.741773076923081</v>
      </c>
      <c r="X67" s="3"/>
      <c r="Y67" s="3"/>
      <c r="Z67"/>
      <c r="AA67"/>
    </row>
    <row r="68" spans="1:27" x14ac:dyDescent="0.25">
      <c r="A68" s="4">
        <v>2010</v>
      </c>
      <c r="B68" s="4" t="s">
        <v>18</v>
      </c>
      <c r="C68" s="4" t="s">
        <v>63</v>
      </c>
      <c r="D68" s="4" t="s">
        <v>53</v>
      </c>
      <c r="E68" s="3">
        <v>55.446555425490189</v>
      </c>
      <c r="F68" s="57">
        <v>1.9930632330579874</v>
      </c>
      <c r="G68" s="42">
        <v>15.052206825355231</v>
      </c>
      <c r="H68" s="1"/>
      <c r="I68" s="3">
        <v>94.259144223333323</v>
      </c>
      <c r="J68" s="44"/>
      <c r="K68" s="42">
        <v>40.982236618840574</v>
      </c>
      <c r="L68" s="44"/>
      <c r="M68" s="3"/>
      <c r="N68" s="42"/>
      <c r="O68" s="3"/>
      <c r="P68" s="3">
        <v>63.367491914845942</v>
      </c>
      <c r="Q68" s="3"/>
      <c r="R68" s="42">
        <v>49.285827044880172</v>
      </c>
      <c r="S68" s="3"/>
      <c r="T68" s="3">
        <v>12.543505687796024</v>
      </c>
      <c r="U68" s="42"/>
      <c r="V68" s="48"/>
      <c r="W68" s="3">
        <v>66.535866510588221</v>
      </c>
      <c r="X68" s="3"/>
      <c r="Y68" s="3"/>
      <c r="Z68"/>
      <c r="AA68"/>
    </row>
    <row r="69" spans="1:27" x14ac:dyDescent="0.25">
      <c r="A69" s="4">
        <v>2010</v>
      </c>
      <c r="B69" s="4" t="s">
        <v>18</v>
      </c>
      <c r="C69" s="4" t="s">
        <v>62</v>
      </c>
      <c r="D69" s="4" t="s">
        <v>54</v>
      </c>
      <c r="E69" s="3">
        <v>54.484127598981907</v>
      </c>
      <c r="F69" s="57">
        <v>2.0069417374432961</v>
      </c>
      <c r="G69" s="42">
        <v>14.94811704809025</v>
      </c>
      <c r="H69" s="1"/>
      <c r="I69" s="3">
        <v>92.623016918269244</v>
      </c>
      <c r="J69" s="44"/>
      <c r="K69" s="42">
        <v>40.27087692098663</v>
      </c>
      <c r="L69" s="44"/>
      <c r="M69" s="3"/>
      <c r="N69" s="42"/>
      <c r="O69" s="3"/>
      <c r="P69" s="3">
        <v>62.267574398836473</v>
      </c>
      <c r="Q69" s="3"/>
      <c r="R69" s="42">
        <v>48.430335643539472</v>
      </c>
      <c r="S69" s="3"/>
      <c r="T69" s="3">
        <v>12.456764206741875</v>
      </c>
      <c r="U69" s="42"/>
      <c r="V69" s="48"/>
      <c r="W69" s="3">
        <v>65.380953118778294</v>
      </c>
      <c r="X69" s="3"/>
      <c r="Y69" s="3"/>
      <c r="Z69"/>
      <c r="AA69"/>
    </row>
    <row r="70" spans="1:27" x14ac:dyDescent="0.25">
      <c r="A70" s="4">
        <v>2010</v>
      </c>
      <c r="B70" s="4" t="s">
        <v>18</v>
      </c>
      <c r="C70" s="4" t="s">
        <v>62</v>
      </c>
      <c r="D70" s="4" t="s">
        <v>149</v>
      </c>
      <c r="E70" s="41">
        <v>54.624937563176267</v>
      </c>
      <c r="F70" s="58">
        <v>1.9699500352180705</v>
      </c>
      <c r="G70" s="43">
        <v>15.228812641778015</v>
      </c>
      <c r="H70" s="1"/>
      <c r="I70" s="41">
        <v>92.862393857399653</v>
      </c>
      <c r="J70" s="53"/>
      <c r="K70" s="43">
        <v>40.37495385104333</v>
      </c>
      <c r="L70" s="53"/>
      <c r="M70" s="41"/>
      <c r="N70" s="43"/>
      <c r="O70" s="41"/>
      <c r="P70" s="41">
        <v>62.428500072201459</v>
      </c>
      <c r="Q70" s="41"/>
      <c r="R70" s="43">
        <v>48.555500056156689</v>
      </c>
      <c r="S70" s="41"/>
      <c r="T70" s="41">
        <v>12.690677201481678</v>
      </c>
      <c r="U70" s="43"/>
      <c r="V70" s="54"/>
      <c r="W70" s="41">
        <v>65.549925075811529</v>
      </c>
      <c r="X70" s="3"/>
      <c r="Y70" s="3"/>
      <c r="Z70"/>
      <c r="AA70"/>
    </row>
    <row r="71" spans="1:27" x14ac:dyDescent="0.25">
      <c r="A71" s="4">
        <v>2015</v>
      </c>
      <c r="B71" s="4" t="s">
        <v>18</v>
      </c>
      <c r="C71" s="4" t="s">
        <v>63</v>
      </c>
      <c r="D71" s="4" t="s">
        <v>49</v>
      </c>
      <c r="E71" s="3">
        <v>47.61714222829351</v>
      </c>
      <c r="F71" s="57">
        <v>1.4903467147074128</v>
      </c>
      <c r="G71" s="42">
        <v>20.12954415502546</v>
      </c>
      <c r="H71" s="1"/>
      <c r="I71" s="3">
        <v>80.949141788098956</v>
      </c>
      <c r="J71" s="44"/>
      <c r="K71" s="42">
        <v>35.195279038303894</v>
      </c>
      <c r="L71" s="44"/>
      <c r="M71" s="3"/>
      <c r="N71" s="42"/>
      <c r="O71" s="3"/>
      <c r="P71" s="3">
        <v>54.41959111804973</v>
      </c>
      <c r="Q71" s="3"/>
      <c r="R71" s="42">
        <v>42.326348647372008</v>
      </c>
      <c r="S71" s="3"/>
      <c r="T71" s="3">
        <v>16.774620129187884</v>
      </c>
      <c r="U71" s="42"/>
      <c r="V71" s="48"/>
      <c r="W71" s="3">
        <v>57.140570673952205</v>
      </c>
      <c r="X71" s="3"/>
      <c r="Y71" s="3"/>
      <c r="Z71"/>
      <c r="AA71"/>
    </row>
    <row r="72" spans="1:27" x14ac:dyDescent="0.25">
      <c r="A72" s="4">
        <v>2015</v>
      </c>
      <c r="B72" s="4" t="s">
        <v>18</v>
      </c>
      <c r="C72" s="4" t="s">
        <v>63</v>
      </c>
      <c r="D72" s="4" t="s">
        <v>51</v>
      </c>
      <c r="E72" s="3">
        <v>40.541213638242951</v>
      </c>
      <c r="F72" s="57">
        <v>1.4780057619695837</v>
      </c>
      <c r="G72" s="42">
        <v>20.297620463956878</v>
      </c>
      <c r="H72" s="1"/>
      <c r="I72" s="3">
        <v>68.920063185013021</v>
      </c>
      <c r="J72" s="44"/>
      <c r="K72" s="42">
        <v>29.965244863049136</v>
      </c>
      <c r="L72" s="44"/>
      <c r="M72" s="3"/>
      <c r="N72" s="42"/>
      <c r="O72" s="3"/>
      <c r="P72" s="3">
        <v>46.332815586563378</v>
      </c>
      <c r="Q72" s="3"/>
      <c r="R72" s="42">
        <v>36.036634345104851</v>
      </c>
      <c r="S72" s="3"/>
      <c r="T72" s="3">
        <v>16.914683719964067</v>
      </c>
      <c r="U72" s="42"/>
      <c r="V72" s="48"/>
      <c r="W72" s="3">
        <v>48.649456365891545</v>
      </c>
      <c r="X72" s="3"/>
      <c r="Y72" s="3"/>
      <c r="Z72"/>
      <c r="AA72"/>
    </row>
    <row r="73" spans="1:27" x14ac:dyDescent="0.25">
      <c r="A73" s="4">
        <v>2015</v>
      </c>
      <c r="B73" s="4" t="s">
        <v>18</v>
      </c>
      <c r="C73" s="4" t="s">
        <v>62</v>
      </c>
      <c r="D73" s="4" t="s">
        <v>56</v>
      </c>
      <c r="E73" s="3">
        <v>39.343030525382964</v>
      </c>
      <c r="F73" s="57">
        <v>1.6756926806854049</v>
      </c>
      <c r="G73" s="42">
        <v>17.903044123657068</v>
      </c>
      <c r="H73" s="1"/>
      <c r="I73" s="3">
        <v>66.883151893151037</v>
      </c>
      <c r="J73" s="44"/>
      <c r="K73" s="42">
        <v>29.079631257891755</v>
      </c>
      <c r="L73" s="44"/>
      <c r="M73" s="3"/>
      <c r="N73" s="42"/>
      <c r="O73" s="3"/>
      <c r="P73" s="3">
        <v>44.963463457580538</v>
      </c>
      <c r="Q73" s="3"/>
      <c r="R73" s="42">
        <v>34.971582689229301</v>
      </c>
      <c r="S73" s="3"/>
      <c r="T73" s="3">
        <v>14.91920343638089</v>
      </c>
      <c r="U73" s="42"/>
      <c r="V73" s="48"/>
      <c r="W73" s="3">
        <v>47.211636630459559</v>
      </c>
      <c r="X73" s="3"/>
      <c r="Y73" s="3"/>
      <c r="Z73"/>
      <c r="AA73"/>
    </row>
    <row r="74" spans="1:27" x14ac:dyDescent="0.25">
      <c r="A74" s="4">
        <v>2015</v>
      </c>
      <c r="B74" s="4" t="s">
        <v>18</v>
      </c>
      <c r="C74" s="4" t="s">
        <v>63</v>
      </c>
      <c r="D74" s="4" t="s">
        <v>52</v>
      </c>
      <c r="E74" s="3">
        <v>35.868444699754903</v>
      </c>
      <c r="F74" s="57">
        <v>1.4504863412912161</v>
      </c>
      <c r="G74" s="42">
        <v>20.682718027730026</v>
      </c>
      <c r="H74" s="1"/>
      <c r="I74" s="3">
        <v>60.97635598958334</v>
      </c>
      <c r="J74" s="44"/>
      <c r="K74" s="42">
        <v>26.511459125905798</v>
      </c>
      <c r="L74" s="44"/>
      <c r="M74" s="3"/>
      <c r="N74" s="42"/>
      <c r="O74" s="3"/>
      <c r="P74" s="3">
        <v>40.992508228291328</v>
      </c>
      <c r="Q74" s="3"/>
      <c r="R74" s="42">
        <v>31.883061955337695</v>
      </c>
      <c r="S74" s="3"/>
      <c r="T74" s="3">
        <v>17.235598356441688</v>
      </c>
      <c r="U74" s="42"/>
      <c r="V74" s="48"/>
      <c r="W74" s="3">
        <v>43.042133639705888</v>
      </c>
      <c r="X74" s="3"/>
      <c r="Y74" s="3"/>
      <c r="Z74"/>
      <c r="AA74"/>
    </row>
    <row r="75" spans="1:27" x14ac:dyDescent="0.25">
      <c r="A75" s="4">
        <v>2015</v>
      </c>
      <c r="B75" s="4" t="s">
        <v>18</v>
      </c>
      <c r="C75" s="4" t="s">
        <v>63</v>
      </c>
      <c r="D75" s="4" t="s">
        <v>53</v>
      </c>
      <c r="E75" s="3">
        <v>45.666279101838228</v>
      </c>
      <c r="F75" s="57">
        <v>1.5996803477855985</v>
      </c>
      <c r="G75" s="42">
        <v>18.753746672907699</v>
      </c>
      <c r="H75" s="1"/>
      <c r="I75" s="3">
        <v>77.632674473124993</v>
      </c>
      <c r="J75" s="44"/>
      <c r="K75" s="42">
        <v>33.75333672744565</v>
      </c>
      <c r="L75" s="44"/>
      <c r="M75" s="3"/>
      <c r="N75" s="42"/>
      <c r="O75" s="3"/>
      <c r="P75" s="3">
        <v>52.190033259243691</v>
      </c>
      <c r="Q75" s="3"/>
      <c r="R75" s="42">
        <v>40.592248090522872</v>
      </c>
      <c r="S75" s="3"/>
      <c r="T75" s="3">
        <v>15.628122227423082</v>
      </c>
      <c r="U75" s="42"/>
      <c r="V75" s="48"/>
      <c r="W75" s="3">
        <v>54.799534922205872</v>
      </c>
      <c r="X75" s="3"/>
      <c r="Y75" s="3"/>
      <c r="Z75"/>
      <c r="AA75"/>
    </row>
    <row r="76" spans="1:27" x14ac:dyDescent="0.25">
      <c r="A76" s="4">
        <v>2015</v>
      </c>
      <c r="B76" s="4" t="s">
        <v>18</v>
      </c>
      <c r="C76" s="4" t="s">
        <v>62</v>
      </c>
      <c r="D76" s="4" t="s">
        <v>54</v>
      </c>
      <c r="E76" s="3">
        <v>43.65216648054534</v>
      </c>
      <c r="F76" s="57">
        <v>1.6050833474159691</v>
      </c>
      <c r="G76" s="42">
        <v>18.690618183969782</v>
      </c>
      <c r="H76" s="1"/>
      <c r="I76" s="3">
        <v>74.208683016927083</v>
      </c>
      <c r="J76" s="44"/>
      <c r="K76" s="42">
        <v>32.264644789968294</v>
      </c>
      <c r="L76" s="44"/>
      <c r="M76" s="3"/>
      <c r="N76" s="42"/>
      <c r="O76" s="3"/>
      <c r="P76" s="3">
        <v>49.888190263480389</v>
      </c>
      <c r="Q76" s="3"/>
      <c r="R76" s="42">
        <v>38.801925760484743</v>
      </c>
      <c r="S76" s="3"/>
      <c r="T76" s="3">
        <v>15.575515153308153</v>
      </c>
      <c r="U76" s="42"/>
      <c r="V76" s="48"/>
      <c r="W76" s="3">
        <v>52.382599776654409</v>
      </c>
      <c r="X76" s="3"/>
      <c r="Y76" s="3"/>
      <c r="Z76"/>
      <c r="AA76"/>
    </row>
    <row r="77" spans="1:27" x14ac:dyDescent="0.25">
      <c r="A77" s="4">
        <v>2015</v>
      </c>
      <c r="B77" s="4" t="s">
        <v>18</v>
      </c>
      <c r="C77" s="4" t="s">
        <v>62</v>
      </c>
      <c r="D77" s="4" t="s">
        <v>149</v>
      </c>
      <c r="E77" s="41">
        <v>44.929533866375301</v>
      </c>
      <c r="F77" s="58">
        <v>1.5475107432197859</v>
      </c>
      <c r="G77" s="43">
        <v>19.38597204022075</v>
      </c>
      <c r="H77" s="1"/>
      <c r="I77" s="41">
        <v>76.380207572838017</v>
      </c>
      <c r="J77" s="53"/>
      <c r="K77" s="43">
        <v>33.208785901233917</v>
      </c>
      <c r="L77" s="53"/>
      <c r="M77" s="41"/>
      <c r="N77" s="43"/>
      <c r="O77" s="41"/>
      <c r="P77" s="41">
        <v>51.348038704428916</v>
      </c>
      <c r="Q77" s="41"/>
      <c r="R77" s="43">
        <v>39.937363436778043</v>
      </c>
      <c r="S77" s="41"/>
      <c r="T77" s="41">
        <v>16.154976700183958</v>
      </c>
      <c r="U77" s="43"/>
      <c r="V77" s="54"/>
      <c r="W77" s="41">
        <v>53.915440639650356</v>
      </c>
      <c r="X77" s="3"/>
      <c r="Y77" s="3"/>
      <c r="Z77"/>
      <c r="AA77"/>
    </row>
    <row r="78" spans="1:27" x14ac:dyDescent="0.25">
      <c r="A78" s="4">
        <v>2020</v>
      </c>
      <c r="B78" s="4" t="s">
        <v>18</v>
      </c>
      <c r="C78" s="4" t="s">
        <v>63</v>
      </c>
      <c r="D78" s="4" t="s">
        <v>49</v>
      </c>
      <c r="E78" s="3">
        <v>40.210726370683552</v>
      </c>
      <c r="F78" s="57">
        <v>1.3053614875657964</v>
      </c>
      <c r="G78" s="42">
        <v>22.982139649257775</v>
      </c>
      <c r="H78" s="1"/>
      <c r="I78" s="3">
        <v>68.358234830162033</v>
      </c>
      <c r="J78" s="44"/>
      <c r="K78" s="42">
        <v>29.720971665287841</v>
      </c>
      <c r="L78" s="44"/>
      <c r="M78" s="3"/>
      <c r="N78" s="42"/>
      <c r="O78" s="3"/>
      <c r="P78" s="3">
        <v>45.955115852209779</v>
      </c>
      <c r="Q78" s="3"/>
      <c r="R78" s="42">
        <v>35.74286788505205</v>
      </c>
      <c r="S78" s="3"/>
      <c r="T78" s="3">
        <v>19.151783041048144</v>
      </c>
      <c r="U78" s="42"/>
      <c r="V78" s="48"/>
      <c r="W78" s="3">
        <v>48.252871644820267</v>
      </c>
      <c r="X78" s="3"/>
      <c r="Y78" s="3"/>
      <c r="Z78"/>
      <c r="AA78"/>
    </row>
    <row r="79" spans="1:27" x14ac:dyDescent="0.25">
      <c r="A79" s="4">
        <v>2020</v>
      </c>
      <c r="B79" s="4" t="s">
        <v>18</v>
      </c>
      <c r="C79" s="4" t="s">
        <v>63</v>
      </c>
      <c r="D79" s="4" t="s">
        <v>56</v>
      </c>
      <c r="E79" s="3">
        <v>33.984527950667207</v>
      </c>
      <c r="F79" s="57">
        <v>1.4571019273069528</v>
      </c>
      <c r="G79" s="42">
        <v>20.588813615425412</v>
      </c>
      <c r="H79" s="1"/>
      <c r="I79" s="3">
        <v>57.773697516134249</v>
      </c>
      <c r="J79" s="44"/>
      <c r="K79" s="42">
        <v>25.11899892005837</v>
      </c>
      <c r="L79" s="44"/>
      <c r="M79" s="3"/>
      <c r="N79" s="42"/>
      <c r="O79" s="3"/>
      <c r="P79" s="3">
        <v>38.839460515048238</v>
      </c>
      <c r="Q79" s="3"/>
      <c r="R79" s="42">
        <v>30.208469289481961</v>
      </c>
      <c r="S79" s="3"/>
      <c r="T79" s="3">
        <v>17.157344679521177</v>
      </c>
      <c r="U79" s="42"/>
      <c r="V79" s="48"/>
      <c r="W79" s="3">
        <v>40.781433540800649</v>
      </c>
      <c r="X79" s="3"/>
      <c r="Y79" s="3"/>
      <c r="Z79"/>
      <c r="AA79"/>
    </row>
    <row r="80" spans="1:27" x14ac:dyDescent="0.25">
      <c r="A80" s="4">
        <v>2020</v>
      </c>
      <c r="B80" s="4" t="s">
        <v>18</v>
      </c>
      <c r="C80" s="4" t="s">
        <v>62</v>
      </c>
      <c r="D80" s="4" t="s">
        <v>53</v>
      </c>
      <c r="E80" s="3">
        <v>40.082773689651411</v>
      </c>
      <c r="F80" s="57">
        <v>1.3939595072119779</v>
      </c>
      <c r="G80" s="42">
        <v>21.521428595872358</v>
      </c>
      <c r="H80" s="1"/>
      <c r="I80" s="3">
        <v>68.140715272407391</v>
      </c>
      <c r="J80" s="44"/>
      <c r="K80" s="42">
        <v>29.626397944524957</v>
      </c>
      <c r="L80" s="44"/>
      <c r="M80" s="3"/>
      <c r="N80" s="42"/>
      <c r="O80" s="3"/>
      <c r="P80" s="3">
        <v>45.808884216744481</v>
      </c>
      <c r="Q80" s="3"/>
      <c r="R80" s="42">
        <v>35.629132168579034</v>
      </c>
      <c r="S80" s="3"/>
      <c r="T80" s="3">
        <v>17.934523829893632</v>
      </c>
      <c r="U80" s="42"/>
      <c r="V80" s="48"/>
      <c r="W80" s="3">
        <v>48.099328427581689</v>
      </c>
      <c r="X80" s="3"/>
      <c r="Y80" s="3"/>
      <c r="Z80"/>
      <c r="AA80"/>
    </row>
    <row r="81" spans="1:27" x14ac:dyDescent="0.25">
      <c r="A81" s="4">
        <v>2020</v>
      </c>
      <c r="B81" s="4" t="s">
        <v>18</v>
      </c>
      <c r="C81" s="4" t="s">
        <v>63</v>
      </c>
      <c r="D81" s="4" t="s">
        <v>57</v>
      </c>
      <c r="E81" s="3">
        <v>29.256666794703158</v>
      </c>
      <c r="F81" s="57">
        <v>1.2604574425268962</v>
      </c>
      <c r="G81" s="42">
        <v>23.800882907920826</v>
      </c>
      <c r="H81" s="1"/>
      <c r="I81" s="3">
        <v>49.736333550995369</v>
      </c>
      <c r="J81" s="44"/>
      <c r="K81" s="42">
        <v>21.624492848258857</v>
      </c>
      <c r="L81" s="44"/>
      <c r="M81" s="3"/>
      <c r="N81" s="42"/>
      <c r="O81" s="3"/>
      <c r="P81" s="3">
        <v>33.436190622517898</v>
      </c>
      <c r="Q81" s="3"/>
      <c r="R81" s="42">
        <v>26.005926039736142</v>
      </c>
      <c r="S81" s="3"/>
      <c r="T81" s="3">
        <v>19.834069089934022</v>
      </c>
      <c r="U81" s="42"/>
      <c r="V81" s="48"/>
      <c r="W81" s="3">
        <v>35.108000153643786</v>
      </c>
      <c r="X81" s="3"/>
      <c r="Y81" s="3"/>
      <c r="Z81"/>
      <c r="AA81"/>
    </row>
    <row r="82" spans="1:27" x14ac:dyDescent="0.25">
      <c r="A82" s="4">
        <v>2020</v>
      </c>
      <c r="B82" s="4" t="s">
        <v>18</v>
      </c>
      <c r="C82" s="4" t="s">
        <v>63</v>
      </c>
      <c r="D82" s="4" t="s">
        <v>58</v>
      </c>
      <c r="E82" s="3">
        <v>34.649451823188997</v>
      </c>
      <c r="F82" s="57">
        <v>1.2614082313979202</v>
      </c>
      <c r="G82" s="42">
        <v>23.782942946831213</v>
      </c>
      <c r="H82" s="1"/>
      <c r="I82" s="3">
        <v>58.904068099421295</v>
      </c>
      <c r="J82" s="44"/>
      <c r="K82" s="42">
        <v>25.610464391052737</v>
      </c>
      <c r="L82" s="44"/>
      <c r="M82" s="3"/>
      <c r="N82" s="42"/>
      <c r="O82" s="3"/>
      <c r="P82" s="3">
        <v>39.599373512215998</v>
      </c>
      <c r="Q82" s="3"/>
      <c r="R82" s="42">
        <v>30.799512731723553</v>
      </c>
      <c r="S82" s="3"/>
      <c r="T82" s="3">
        <v>19.819119122359343</v>
      </c>
      <c r="U82" s="42"/>
      <c r="V82" s="48"/>
      <c r="W82" s="3">
        <v>41.579342187826796</v>
      </c>
      <c r="X82" s="3"/>
      <c r="Y82" s="3"/>
      <c r="Z82"/>
      <c r="AA82"/>
    </row>
    <row r="83" spans="1:27" x14ac:dyDescent="0.25">
      <c r="A83" s="4">
        <v>2020</v>
      </c>
      <c r="B83" s="4" t="s">
        <v>18</v>
      </c>
      <c r="C83" s="4" t="s">
        <v>62</v>
      </c>
      <c r="D83" s="4" t="s">
        <v>59</v>
      </c>
      <c r="E83" s="3">
        <v>33.834939352975219</v>
      </c>
      <c r="F83" s="57">
        <v>1.2105849940102513</v>
      </c>
      <c r="G83" s="42">
        <v>24.7814074587364</v>
      </c>
      <c r="H83" s="1"/>
      <c r="I83" s="3">
        <v>57.51939690005787</v>
      </c>
      <c r="J83" s="44"/>
      <c r="K83" s="42">
        <v>25.00843343480777</v>
      </c>
      <c r="L83" s="44"/>
      <c r="M83" s="3"/>
      <c r="N83" s="42"/>
      <c r="O83" s="3"/>
      <c r="P83" s="3">
        <v>38.668502117685968</v>
      </c>
      <c r="Q83" s="3"/>
      <c r="R83" s="42">
        <v>30.075501647089084</v>
      </c>
      <c r="S83" s="3"/>
      <c r="T83" s="3">
        <v>20.651172882280335</v>
      </c>
      <c r="U83" s="42"/>
      <c r="V83" s="48"/>
      <c r="W83" s="3">
        <v>40.601927223570264</v>
      </c>
      <c r="X83" s="3"/>
      <c r="Y83" s="3"/>
      <c r="Z83"/>
      <c r="AA83"/>
    </row>
    <row r="84" spans="1:27" x14ac:dyDescent="0.25">
      <c r="A84" s="4">
        <v>2020</v>
      </c>
      <c r="B84" s="4" t="s">
        <v>18</v>
      </c>
      <c r="C84" s="4" t="s">
        <v>62</v>
      </c>
      <c r="D84" s="4" t="s">
        <v>149</v>
      </c>
      <c r="E84" s="41">
        <v>36.820233979544341</v>
      </c>
      <c r="F84" s="58">
        <v>1.3262936477241847</v>
      </c>
      <c r="G84" s="43">
        <v>22.619425231718207</v>
      </c>
      <c r="H84" s="1"/>
      <c r="I84" s="41">
        <v>62.594397765225381</v>
      </c>
      <c r="J84" s="53"/>
      <c r="K84" s="43">
        <v>27.214955550097994</v>
      </c>
      <c r="L84" s="53"/>
      <c r="M84" s="41"/>
      <c r="N84" s="43"/>
      <c r="O84" s="41"/>
      <c r="P84" s="41">
        <v>42.080267405193538</v>
      </c>
      <c r="Q84" s="41"/>
      <c r="R84" s="43">
        <v>32.72909687070608</v>
      </c>
      <c r="S84" s="41"/>
      <c r="T84" s="41">
        <v>18.849521026431841</v>
      </c>
      <c r="U84" s="43"/>
      <c r="V84" s="54"/>
      <c r="W84" s="41">
        <v>44.18428077545321</v>
      </c>
      <c r="X84" s="3"/>
      <c r="Y84" s="3"/>
      <c r="Z84"/>
      <c r="AA84"/>
    </row>
    <row r="85" spans="1:27" x14ac:dyDescent="0.25">
      <c r="A85" s="4">
        <v>2020</v>
      </c>
      <c r="B85" s="4" t="s">
        <v>47</v>
      </c>
      <c r="C85" s="4" t="s">
        <v>63</v>
      </c>
      <c r="D85" s="4" t="s">
        <v>48</v>
      </c>
      <c r="E85" s="41">
        <v>28.393356481481479</v>
      </c>
      <c r="F85" s="58">
        <v>1.2759378705588482</v>
      </c>
      <c r="G85" s="43">
        <v>23.512116610239254</v>
      </c>
      <c r="H85" s="1"/>
      <c r="I85" s="41">
        <v>48.268706018518522</v>
      </c>
      <c r="J85" s="53"/>
      <c r="K85" s="43">
        <v>20.986393921095008</v>
      </c>
      <c r="L85" s="53"/>
      <c r="M85" s="41"/>
      <c r="N85" s="43"/>
      <c r="O85" s="41"/>
      <c r="P85" s="41">
        <v>32.449550264550268</v>
      </c>
      <c r="Q85" s="41"/>
      <c r="R85" s="43">
        <v>25.238539094650207</v>
      </c>
      <c r="S85" s="41"/>
      <c r="T85" s="41">
        <v>19.593430508532713</v>
      </c>
      <c r="U85" s="43"/>
      <c r="V85" s="54"/>
      <c r="W85" s="41">
        <v>34.072027777777777</v>
      </c>
      <c r="X85" s="3"/>
      <c r="Y85" s="3"/>
      <c r="Z85"/>
      <c r="AA85"/>
    </row>
    <row r="86" spans="1:27" x14ac:dyDescent="0.25">
      <c r="A86" s="4">
        <v>2025</v>
      </c>
      <c r="B86" s="4" t="s">
        <v>47</v>
      </c>
      <c r="C86" s="4" t="s">
        <v>63</v>
      </c>
      <c r="D86" s="4" t="s">
        <v>48</v>
      </c>
      <c r="E86" s="3">
        <v>26.703598856209151</v>
      </c>
      <c r="F86" s="57">
        <v>1.2180564551088724</v>
      </c>
      <c r="G86" s="42">
        <v>24.629400282861717</v>
      </c>
      <c r="H86" s="1"/>
      <c r="I86" s="3">
        <v>45.396118055555554</v>
      </c>
      <c r="J86" s="44"/>
      <c r="K86" s="42">
        <v>19.737442632850239</v>
      </c>
      <c r="L86" s="44"/>
      <c r="M86" s="3">
        <v>2.8421317285873688</v>
      </c>
      <c r="N86" s="42"/>
      <c r="O86" s="3"/>
      <c r="P86" s="3">
        <v>30.518398692810461</v>
      </c>
      <c r="Q86" s="3"/>
      <c r="R86" s="42">
        <v>23.736532316630356</v>
      </c>
      <c r="S86" s="3"/>
      <c r="T86" s="3">
        <v>20.524500235718097</v>
      </c>
      <c r="U86" s="42"/>
      <c r="V86" s="48"/>
      <c r="W86" s="3">
        <v>32.044318627450984</v>
      </c>
      <c r="X86" s="3"/>
      <c r="Y86" s="3">
        <v>22.888799019607845</v>
      </c>
      <c r="Z86"/>
      <c r="AA86"/>
    </row>
    <row r="87" spans="1:27" x14ac:dyDescent="0.25">
      <c r="A87" s="4">
        <v>2030</v>
      </c>
      <c r="B87" s="4" t="s">
        <v>47</v>
      </c>
      <c r="C87" s="4" t="s">
        <v>63</v>
      </c>
      <c r="D87" s="4" t="s">
        <v>48</v>
      </c>
      <c r="E87" s="3">
        <v>26.341973039215688</v>
      </c>
      <c r="F87" s="57">
        <v>1.1765795019926963</v>
      </c>
      <c r="G87" s="42">
        <v>25.497639512834404</v>
      </c>
      <c r="H87" s="1"/>
      <c r="I87" s="3">
        <v>44.781354166666674</v>
      </c>
      <c r="J87" s="44"/>
      <c r="K87" s="42">
        <v>19.470153985507249</v>
      </c>
      <c r="L87" s="44"/>
      <c r="M87" s="3">
        <v>2.7453521713162914</v>
      </c>
      <c r="N87" s="42"/>
      <c r="O87" s="3"/>
      <c r="P87" s="3">
        <v>30.105112044817936</v>
      </c>
      <c r="Q87" s="3"/>
      <c r="R87" s="42">
        <v>23.415087145969505</v>
      </c>
      <c r="S87" s="3"/>
      <c r="T87" s="3">
        <v>21.248032927362004</v>
      </c>
      <c r="U87" s="42"/>
      <c r="V87" s="48"/>
      <c r="W87" s="3">
        <v>31.610367647058826</v>
      </c>
      <c r="X87" s="3"/>
      <c r="Y87" s="3">
        <v>22.578834033613447</v>
      </c>
      <c r="Z87"/>
      <c r="AA87"/>
    </row>
    <row r="88" spans="1:27" x14ac:dyDescent="0.25">
      <c r="A88" s="4">
        <v>2035</v>
      </c>
      <c r="B88" s="4" t="s">
        <v>47</v>
      </c>
      <c r="C88" s="4" t="s">
        <v>63</v>
      </c>
      <c r="D88" s="4" t="s">
        <v>48</v>
      </c>
      <c r="E88" s="41">
        <v>25.699210239651418</v>
      </c>
      <c r="F88" s="58">
        <v>1.1503831132523779</v>
      </c>
      <c r="G88" s="43">
        <v>26.078268756209066</v>
      </c>
      <c r="H88" s="1"/>
      <c r="I88" s="41">
        <v>43.688657407407412</v>
      </c>
      <c r="J88" s="53"/>
      <c r="K88" s="43">
        <v>18.995068438003223</v>
      </c>
      <c r="L88" s="53"/>
      <c r="M88" s="41">
        <v>2.6842272642555485</v>
      </c>
      <c r="N88" s="43"/>
      <c r="O88" s="41"/>
      <c r="P88" s="41">
        <v>29.37052598817305</v>
      </c>
      <c r="Q88" s="41"/>
      <c r="R88" s="43">
        <v>22.843742435245705</v>
      </c>
      <c r="S88" s="41"/>
      <c r="T88" s="41">
        <v>21.73189063017422</v>
      </c>
      <c r="U88" s="43"/>
      <c r="V88" s="54"/>
      <c r="W88" s="41">
        <v>30.839052287581701</v>
      </c>
      <c r="X88" s="41"/>
      <c r="Y88" s="41">
        <v>22.027894491129786</v>
      </c>
      <c r="Z88"/>
      <c r="AA88"/>
    </row>
    <row r="89" spans="1:27" x14ac:dyDescent="0.25">
      <c r="A89" s="4">
        <v>2040</v>
      </c>
      <c r="B89" s="4" t="s">
        <v>47</v>
      </c>
      <c r="C89" s="4" t="s">
        <v>62</v>
      </c>
      <c r="D89" s="4" t="s">
        <v>48</v>
      </c>
      <c r="E89" s="3">
        <v>25.360789760348585</v>
      </c>
      <c r="F89" s="57">
        <v>1.133662821417549</v>
      </c>
      <c r="G89" s="42">
        <v>26.462894816015531</v>
      </c>
      <c r="H89" s="1"/>
      <c r="I89" s="3">
        <v>43.113342592592588</v>
      </c>
      <c r="J89" s="44"/>
      <c r="K89" s="42">
        <v>18.744931561996779</v>
      </c>
      <c r="L89" s="44"/>
      <c r="M89" s="3">
        <v>2.6452132499742809</v>
      </c>
      <c r="N89" s="42"/>
      <c r="O89" s="3"/>
      <c r="P89" s="3">
        <v>28.98375972611267</v>
      </c>
      <c r="Q89" s="3"/>
      <c r="R89" s="42">
        <v>22.542924231420965</v>
      </c>
      <c r="S89" s="3"/>
      <c r="T89" s="3">
        <v>22.05241234667961</v>
      </c>
      <c r="U89" s="42"/>
      <c r="V89" s="48"/>
      <c r="W89" s="3">
        <v>30.432947712418304</v>
      </c>
      <c r="X89" s="3"/>
      <c r="Y89" s="3">
        <v>21.737819794584503</v>
      </c>
      <c r="Z89"/>
      <c r="AA89"/>
    </row>
    <row r="90" spans="1:27" x14ac:dyDescent="0.25">
      <c r="A90" s="4">
        <v>2045</v>
      </c>
      <c r="B90" s="4" t="s">
        <v>47</v>
      </c>
      <c r="C90" s="4" t="s">
        <v>63</v>
      </c>
      <c r="D90" s="4" t="s">
        <v>48</v>
      </c>
      <c r="E90" s="3">
        <v>25.032839052287585</v>
      </c>
      <c r="F90" s="57">
        <v>1.1190534109010541</v>
      </c>
      <c r="G90" s="42">
        <v>26.808371886239286</v>
      </c>
      <c r="H90" s="1"/>
      <c r="I90" s="3">
        <v>42.555826388888896</v>
      </c>
      <c r="J90" s="44"/>
      <c r="K90" s="42">
        <v>18.50253321256039</v>
      </c>
      <c r="L90" s="44"/>
      <c r="M90" s="3">
        <v>2.6111246254357932</v>
      </c>
      <c r="N90" s="42"/>
      <c r="O90" s="3"/>
      <c r="P90" s="3">
        <v>28.608958916900104</v>
      </c>
      <c r="Q90" s="3"/>
      <c r="R90" s="42">
        <v>22.251412490922299</v>
      </c>
      <c r="S90" s="3"/>
      <c r="T90" s="3">
        <v>22.340309905199405</v>
      </c>
      <c r="U90" s="42"/>
      <c r="V90" s="48"/>
      <c r="W90" s="3">
        <v>30.0394068627451</v>
      </c>
      <c r="X90" s="3"/>
      <c r="Y90" s="3">
        <v>21.45671918767507</v>
      </c>
      <c r="Z90"/>
      <c r="AA90"/>
    </row>
    <row r="91" spans="1:27" x14ac:dyDescent="0.25">
      <c r="A91" s="4">
        <v>2050</v>
      </c>
      <c r="B91" s="4" t="s">
        <v>47</v>
      </c>
      <c r="C91" s="4" t="s">
        <v>63</v>
      </c>
      <c r="D91" s="4" t="s">
        <v>48</v>
      </c>
      <c r="E91" s="41">
        <v>24.809901960784316</v>
      </c>
      <c r="F91" s="58">
        <v>1.1034725909745344</v>
      </c>
      <c r="G91" s="43">
        <v>27.186900921123403</v>
      </c>
      <c r="H91" s="1"/>
      <c r="I91" s="41">
        <v>42.176833333333335</v>
      </c>
      <c r="J91" s="53"/>
      <c r="K91" s="43">
        <v>18.337753623188409</v>
      </c>
      <c r="L91" s="53"/>
      <c r="M91" s="41">
        <v>2.5747693789405801</v>
      </c>
      <c r="N91" s="43"/>
      <c r="O91" s="41"/>
      <c r="P91" s="41">
        <v>28.354173669467794</v>
      </c>
      <c r="Q91" s="41"/>
      <c r="R91" s="43">
        <v>22.05324618736384</v>
      </c>
      <c r="S91" s="41"/>
      <c r="T91" s="41">
        <v>22.655750767602836</v>
      </c>
      <c r="U91" s="43"/>
      <c r="V91" s="54"/>
      <c r="W91" s="41">
        <v>29.77188235294118</v>
      </c>
      <c r="X91" s="41"/>
      <c r="Y91" s="41">
        <v>21.265630252100841</v>
      </c>
      <c r="Z91"/>
      <c r="AA91"/>
    </row>
    <row r="92" spans="1:27" x14ac:dyDescent="0.25">
      <c r="C92" s="4"/>
      <c r="I92"/>
    </row>
    <row r="93" spans="1:27" x14ac:dyDescent="0.25">
      <c r="E93" s="4" t="s">
        <v>100</v>
      </c>
      <c r="I93"/>
    </row>
    <row r="94" spans="1:27" x14ac:dyDescent="0.25">
      <c r="E94" s="4" t="s">
        <v>102</v>
      </c>
    </row>
    <row r="95" spans="1:27" x14ac:dyDescent="0.25">
      <c r="E95" t="s">
        <v>103</v>
      </c>
      <c r="F95" s="55">
        <v>1000</v>
      </c>
      <c r="G95" t="s">
        <v>105</v>
      </c>
      <c r="H95" s="1" t="s">
        <v>113</v>
      </c>
    </row>
    <row r="96" spans="1:27" x14ac:dyDescent="0.25">
      <c r="E96" t="s">
        <v>109</v>
      </c>
      <c r="F96" s="59">
        <v>1700</v>
      </c>
      <c r="G96" t="s">
        <v>105</v>
      </c>
      <c r="H96" s="1" t="s">
        <v>113</v>
      </c>
    </row>
    <row r="97" spans="5:9" x14ac:dyDescent="0.25">
      <c r="E97" t="s">
        <v>104</v>
      </c>
      <c r="F97" s="55">
        <v>2300</v>
      </c>
      <c r="G97" t="s">
        <v>105</v>
      </c>
      <c r="H97" s="1" t="s">
        <v>113</v>
      </c>
    </row>
    <row r="98" spans="5:9" x14ac:dyDescent="0.25">
      <c r="E98" t="s">
        <v>106</v>
      </c>
      <c r="F98" s="59">
        <v>0.3</v>
      </c>
      <c r="H98" s="1" t="s">
        <v>113</v>
      </c>
    </row>
    <row r="99" spans="5:9" x14ac:dyDescent="0.25">
      <c r="F99" s="55">
        <v>0.7</v>
      </c>
      <c r="H99" s="1" t="s">
        <v>139</v>
      </c>
    </row>
    <row r="101" spans="5:9" x14ac:dyDescent="0.25">
      <c r="E101" t="s">
        <v>107</v>
      </c>
      <c r="F101" s="59">
        <v>30</v>
      </c>
      <c r="G101" t="s">
        <v>108</v>
      </c>
    </row>
    <row r="102" spans="5:9" x14ac:dyDescent="0.25">
      <c r="E102" t="s">
        <v>110</v>
      </c>
      <c r="F102" s="60">
        <v>0.75</v>
      </c>
      <c r="G102" t="s">
        <v>127</v>
      </c>
      <c r="H102" t="s">
        <v>126</v>
      </c>
    </row>
    <row r="103" spans="5:9" x14ac:dyDescent="0.25">
      <c r="F103" s="59">
        <v>0.8</v>
      </c>
      <c r="G103" t="s">
        <v>128</v>
      </c>
    </row>
    <row r="104" spans="5:9" x14ac:dyDescent="0.25">
      <c r="F104" s="55">
        <v>0.9</v>
      </c>
      <c r="G104">
        <v>0.7</v>
      </c>
      <c r="H104" t="s">
        <v>136</v>
      </c>
    </row>
    <row r="105" spans="5:9" ht="56.25" x14ac:dyDescent="0.25">
      <c r="E105" t="s">
        <v>111</v>
      </c>
      <c r="F105" s="59">
        <v>0.14000000000000001</v>
      </c>
      <c r="G105" t="s">
        <v>26</v>
      </c>
      <c r="H105">
        <v>2011</v>
      </c>
      <c r="I105" s="25" t="s">
        <v>112</v>
      </c>
    </row>
    <row r="106" spans="5:9" x14ac:dyDescent="0.25">
      <c r="F106" s="59">
        <v>0.13</v>
      </c>
      <c r="G106" t="s">
        <v>62</v>
      </c>
      <c r="H106">
        <v>2011</v>
      </c>
      <c r="I106" s="24"/>
    </row>
    <row r="107" spans="5:9" x14ac:dyDescent="0.25">
      <c r="F107" s="59">
        <v>0.11</v>
      </c>
      <c r="G107" t="s">
        <v>119</v>
      </c>
      <c r="I107" s="24" t="s">
        <v>120</v>
      </c>
    </row>
    <row r="109" spans="5:9" x14ac:dyDescent="0.25">
      <c r="F109" s="59">
        <v>0.17</v>
      </c>
      <c r="G109" t="s">
        <v>26</v>
      </c>
      <c r="H109">
        <v>2015</v>
      </c>
      <c r="I109" s="1" t="s">
        <v>113</v>
      </c>
    </row>
    <row r="110" spans="5:9" x14ac:dyDescent="0.25">
      <c r="F110" s="59">
        <v>0.16</v>
      </c>
      <c r="G110" t="s">
        <v>62</v>
      </c>
      <c r="H110">
        <v>2015</v>
      </c>
      <c r="I110" s="1" t="s">
        <v>114</v>
      </c>
    </row>
    <row r="111" spans="5:9" x14ac:dyDescent="0.25">
      <c r="I111" s="1" t="s">
        <v>115</v>
      </c>
    </row>
    <row r="112" spans="5:9" ht="112.5" x14ac:dyDescent="0.25">
      <c r="F112" s="59">
        <v>0.13</v>
      </c>
      <c r="G112" t="s">
        <v>119</v>
      </c>
      <c r="H112">
        <v>2015</v>
      </c>
      <c r="I112" s="30" t="s">
        <v>123</v>
      </c>
    </row>
    <row r="113" spans="5:9" x14ac:dyDescent="0.25">
      <c r="F113" s="59">
        <v>0.20499999999999999</v>
      </c>
      <c r="G113" t="s">
        <v>26</v>
      </c>
      <c r="H113">
        <v>2020</v>
      </c>
      <c r="I113" s="1" t="s">
        <v>113</v>
      </c>
    </row>
    <row r="114" spans="5:9" x14ac:dyDescent="0.25">
      <c r="F114" s="59">
        <v>0.18</v>
      </c>
      <c r="G114" t="s">
        <v>62</v>
      </c>
      <c r="H114">
        <v>2020</v>
      </c>
      <c r="I114" s="1" t="s">
        <v>114</v>
      </c>
    </row>
    <row r="115" spans="5:9" x14ac:dyDescent="0.25">
      <c r="I115" s="1" t="s">
        <v>115</v>
      </c>
    </row>
    <row r="116" spans="5:9" ht="112.5" x14ac:dyDescent="0.25">
      <c r="F116" s="59">
        <v>0.15</v>
      </c>
      <c r="H116">
        <v>2020</v>
      </c>
      <c r="I116" s="30" t="s">
        <v>123</v>
      </c>
    </row>
    <row r="119" spans="5:9" x14ac:dyDescent="0.25">
      <c r="F119" s="61">
        <v>0.26700000000000002</v>
      </c>
      <c r="G119" s="31" t="s">
        <v>26</v>
      </c>
      <c r="H119" s="31" t="s">
        <v>116</v>
      </c>
      <c r="I119" s="32"/>
    </row>
    <row r="120" spans="5:9" x14ac:dyDescent="0.25">
      <c r="F120" s="61">
        <v>0.23300000000000001</v>
      </c>
      <c r="G120" s="31" t="s">
        <v>62</v>
      </c>
      <c r="H120" s="31" t="s">
        <v>116</v>
      </c>
      <c r="I120" s="32"/>
    </row>
    <row r="121" spans="5:9" x14ac:dyDescent="0.25">
      <c r="E121" s="26"/>
    </row>
    <row r="122" spans="5:9" x14ac:dyDescent="0.25">
      <c r="F122" s="62" t="s">
        <v>133</v>
      </c>
      <c r="G122" s="31" t="s">
        <v>26</v>
      </c>
      <c r="H122" s="34" t="s">
        <v>134</v>
      </c>
      <c r="I122" s="32">
        <f>0.9*F119</f>
        <v>0.24030000000000001</v>
      </c>
    </row>
    <row r="123" spans="5:9" x14ac:dyDescent="0.25">
      <c r="E123" s="26"/>
      <c r="F123" s="62" t="s">
        <v>118</v>
      </c>
      <c r="G123" s="31" t="s">
        <v>62</v>
      </c>
      <c r="H123" s="34" t="s">
        <v>134</v>
      </c>
      <c r="I123" s="32">
        <f>0.9*F120</f>
        <v>0.20970000000000003</v>
      </c>
    </row>
    <row r="124" spans="5:9" x14ac:dyDescent="0.25">
      <c r="F124" s="61" t="s">
        <v>124</v>
      </c>
      <c r="G124" s="31" t="s">
        <v>125</v>
      </c>
      <c r="H124" s="34" t="s">
        <v>134</v>
      </c>
      <c r="I124" s="32"/>
    </row>
    <row r="128" spans="5:9" x14ac:dyDescent="0.25">
      <c r="F128" s="61" t="s">
        <v>129</v>
      </c>
      <c r="G128" s="31"/>
      <c r="H128" s="31"/>
      <c r="I128" s="32"/>
    </row>
    <row r="129" spans="6:9" x14ac:dyDescent="0.25">
      <c r="F129" s="63">
        <f>F113*(0.995^30)</f>
        <v>0.17637875934251276</v>
      </c>
      <c r="G129" s="34" t="s">
        <v>126</v>
      </c>
      <c r="H129" s="35" t="s">
        <v>132</v>
      </c>
      <c r="I129" s="36" t="s">
        <v>135</v>
      </c>
    </row>
    <row r="130" spans="6:9" x14ac:dyDescent="0.25">
      <c r="F130" s="63">
        <f t="shared" ref="F130" si="0">F114*(0.995^30)</f>
        <v>0.15486915454464534</v>
      </c>
      <c r="G130" s="34" t="s">
        <v>126</v>
      </c>
      <c r="H130" s="35" t="s">
        <v>132</v>
      </c>
      <c r="I130" s="36" t="s">
        <v>131</v>
      </c>
    </row>
    <row r="131" spans="6:9" x14ac:dyDescent="0.25">
      <c r="F131" s="63">
        <f>F116*(0.995^30)</f>
        <v>0.12905762878720445</v>
      </c>
      <c r="G131" s="34" t="s">
        <v>126</v>
      </c>
      <c r="H131" s="35" t="s">
        <v>132</v>
      </c>
      <c r="I131" s="36" t="s">
        <v>130</v>
      </c>
    </row>
  </sheetData>
  <mergeCells count="5">
    <mergeCell ref="M1:P1"/>
    <mergeCell ref="Q1:S1"/>
    <mergeCell ref="T1:W1"/>
    <mergeCell ref="X1:Z1"/>
    <mergeCell ref="AA1:AD1"/>
  </mergeCells>
  <hyperlinks>
    <hyperlink ref="G129" r:id="rId1" location="bib43" xr:uid="{798199B6-ADA8-4B56-A313-F6800739D63C}"/>
    <hyperlink ref="G130" r:id="rId2" location="bib43" display="https://www.sciencedirect.com/science/article/pii/S136403211500146X - bib43" xr:uid="{668C5A06-D309-4E44-8B71-52C0C5027BFA}"/>
    <hyperlink ref="G131" r:id="rId3" location="bib43" display="https://www.sciencedirect.com/science/article/pii/S136403211500146X - bib43" xr:uid="{52881EE2-01B3-441B-ACD3-3C70F2ADD08D}"/>
    <hyperlink ref="H122" r:id="rId4" xr:uid="{AC1FA978-8751-4334-9502-A32CC7592A76}"/>
    <hyperlink ref="H123" r:id="rId5" xr:uid="{458DF239-63DC-4D93-984E-957BCB2E88A7}"/>
    <hyperlink ref="H124" r:id="rId6" xr:uid="{43F37841-A2DC-41F2-9DF6-12710491FFBA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LCIASilicon (2)</vt:lpstr>
      <vt:lpstr>LCIASilicon</vt:lpstr>
      <vt:lpstr>Sheet1</vt:lpstr>
      <vt:lpstr>calculations</vt:lpstr>
      <vt:lpstr>CarEmi&amp;EPBT Normalized</vt:lpstr>
      <vt:lpstr>Sensitivity%</vt:lpstr>
      <vt:lpstr>EPBT&amp;CarEmi&amp;Sensitivity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Liang</dc:creator>
  <cp:lastModifiedBy>Sherry Liang</cp:lastModifiedBy>
  <dcterms:created xsi:type="dcterms:W3CDTF">2022-06-15T13:22:33Z</dcterms:created>
  <dcterms:modified xsi:type="dcterms:W3CDTF">2023-02-06T21:12:23Z</dcterms:modified>
</cp:coreProperties>
</file>