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FABB3DED-FA3E-4C51-BF3B-3BEC55D26F79}" xr6:coauthVersionLast="47" xr6:coauthVersionMax="47" xr10:uidLastSave="{00000000-0000-0000-0000-000000000000}"/>
  <bookViews>
    <workbookView xWindow="952" yWindow="-98" windowWidth="27946" windowHeight="16395" tabRatio="728" activeTab="4" xr2:uid="{AB0612B0-BE2B-478C-B093-FA64C67216A9}"/>
  </bookViews>
  <sheets>
    <sheet name="Equations" sheetId="1" r:id="rId1"/>
    <sheet name="Conversion Factors" sheetId="2" r:id="rId2"/>
    <sheet name="Model Parameters" sheetId="3" r:id="rId3"/>
    <sheet name="ALCA Data" sheetId="20" r:id="rId4"/>
    <sheet name="CLCA Data" sheetId="19" r:id="rId5"/>
    <sheet name="Poultry Manure Data" sheetId="5" r:id="rId6"/>
    <sheet name="Poultry AD Calculations" sheetId="6" r:id="rId7"/>
    <sheet name="temp" sheetId="4" r:id="rId8"/>
    <sheet name="CAFOs" sheetId="11" r:id="rId9"/>
    <sheet name="Sheet2" sheetId="18" r:id="rId10"/>
  </sheets>
  <definedNames>
    <definedName name="_xlnm._FilterDatabase" localSheetId="8" hidden="1">CAFOs!$A$3:$DM$565</definedName>
    <definedName name="_xlnm._FilterDatabase" localSheetId="9" hidden="1">Sheet2!$A$1:$AA$1</definedName>
    <definedName name="_xlnm._FilterDatabase" localSheetId="7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49" i="20" l="1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K390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K625" i="19"/>
  <c r="I625" i="19"/>
  <c r="K624" i="19"/>
  <c r="I624" i="19"/>
  <c r="I623" i="19"/>
  <c r="K623" i="19" s="1"/>
  <c r="I622" i="19"/>
  <c r="K622" i="19" s="1"/>
  <c r="K621" i="19"/>
  <c r="I621" i="19"/>
  <c r="I620" i="19"/>
  <c r="K620" i="19" s="1"/>
  <c r="K619" i="19"/>
  <c r="I619" i="19"/>
  <c r="K618" i="19"/>
  <c r="I618" i="19"/>
  <c r="I617" i="19"/>
  <c r="K617" i="19" s="1"/>
  <c r="I616" i="19"/>
  <c r="K616" i="19" s="1"/>
  <c r="K615" i="19"/>
  <c r="I615" i="19"/>
  <c r="I614" i="19"/>
  <c r="K614" i="19" s="1"/>
  <c r="K613" i="19"/>
  <c r="I613" i="19"/>
  <c r="K612" i="19"/>
  <c r="I612" i="19"/>
  <c r="I611" i="19"/>
  <c r="K611" i="19" s="1"/>
  <c r="I610" i="19"/>
  <c r="K610" i="19" s="1"/>
  <c r="K609" i="19"/>
  <c r="I609" i="19"/>
  <c r="I549" i="19"/>
  <c r="K549" i="19" s="1"/>
  <c r="K548" i="19"/>
  <c r="I548" i="19"/>
  <c r="I547" i="19"/>
  <c r="K547" i="19" s="1"/>
  <c r="K546" i="19"/>
  <c r="I546" i="19"/>
  <c r="K545" i="19"/>
  <c r="I545" i="19"/>
  <c r="K544" i="19"/>
  <c r="I544" i="19"/>
  <c r="I543" i="19"/>
  <c r="K543" i="19" s="1"/>
  <c r="K542" i="19"/>
  <c r="I542" i="19"/>
  <c r="I541" i="19"/>
  <c r="K541" i="19" s="1"/>
  <c r="K540" i="19"/>
  <c r="I540" i="19"/>
  <c r="K539" i="19"/>
  <c r="I539" i="19"/>
  <c r="K538" i="19"/>
  <c r="I538" i="19"/>
  <c r="I537" i="19"/>
  <c r="K537" i="19" s="1"/>
  <c r="K536" i="19"/>
  <c r="I536" i="19"/>
  <c r="I535" i="19"/>
  <c r="K535" i="19" s="1"/>
  <c r="K534" i="19"/>
  <c r="I534" i="19"/>
  <c r="K533" i="19"/>
  <c r="I533" i="19"/>
  <c r="K532" i="19"/>
  <c r="I532" i="19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I858" i="20"/>
  <c r="J858" i="20" s="1"/>
  <c r="I857" i="20"/>
  <c r="K857" i="20" s="1"/>
  <c r="F857" i="20"/>
  <c r="L857" i="20" s="1"/>
  <c r="D857" i="20"/>
  <c r="I856" i="20"/>
  <c r="L856" i="20" s="1"/>
  <c r="I855" i="20"/>
  <c r="K855" i="20" s="1"/>
  <c r="F855" i="20"/>
  <c r="L855" i="20" s="1"/>
  <c r="D855" i="20"/>
  <c r="J855" i="20" s="1"/>
  <c r="I854" i="20"/>
  <c r="L854" i="20" s="1"/>
  <c r="I853" i="20"/>
  <c r="L853" i="20" s="1"/>
  <c r="F853" i="20"/>
  <c r="D853" i="20"/>
  <c r="J853" i="20" s="1"/>
  <c r="I852" i="20"/>
  <c r="L852" i="20" s="1"/>
  <c r="K851" i="20"/>
  <c r="I851" i="20"/>
  <c r="L851" i="20" s="1"/>
  <c r="F851" i="20"/>
  <c r="D851" i="20"/>
  <c r="J851" i="20" s="1"/>
  <c r="K850" i="20"/>
  <c r="I850" i="20"/>
  <c r="L850" i="20" s="1"/>
  <c r="I849" i="20"/>
  <c r="F849" i="20"/>
  <c r="D849" i="20"/>
  <c r="I848" i="20"/>
  <c r="L848" i="20" s="1"/>
  <c r="I847" i="20"/>
  <c r="L847" i="20" s="1"/>
  <c r="F847" i="20"/>
  <c r="D847" i="20"/>
  <c r="J847" i="20" s="1"/>
  <c r="I846" i="20"/>
  <c r="J846" i="20" s="1"/>
  <c r="K845" i="20"/>
  <c r="I845" i="20"/>
  <c r="F845" i="20"/>
  <c r="L845" i="20" s="1"/>
  <c r="D845" i="20"/>
  <c r="J845" i="20" s="1"/>
  <c r="L842" i="20"/>
  <c r="K842" i="20"/>
  <c r="J842" i="20"/>
  <c r="F840" i="20"/>
  <c r="L840" i="20" s="1"/>
  <c r="E840" i="20"/>
  <c r="K840" i="20" s="1"/>
  <c r="D840" i="20"/>
  <c r="J840" i="20" s="1"/>
  <c r="J839" i="20"/>
  <c r="F839" i="20"/>
  <c r="L839" i="20" s="1"/>
  <c r="E839" i="20"/>
  <c r="K839" i="20" s="1"/>
  <c r="D839" i="20"/>
  <c r="F838" i="20"/>
  <c r="L838" i="20" s="1"/>
  <c r="E838" i="20"/>
  <c r="K838" i="20" s="1"/>
  <c r="D838" i="20"/>
  <c r="J838" i="20" s="1"/>
  <c r="L837" i="20"/>
  <c r="J837" i="20"/>
  <c r="K837" i="20" s="1"/>
  <c r="E837" i="20"/>
  <c r="K836" i="20"/>
  <c r="E836" i="20"/>
  <c r="I834" i="20"/>
  <c r="E834" i="20"/>
  <c r="K834" i="20" s="1"/>
  <c r="K833" i="20"/>
  <c r="I833" i="20"/>
  <c r="E833" i="20"/>
  <c r="I832" i="20"/>
  <c r="K832" i="20" s="1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K745" i="20" s="1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9" i="20" s="1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I585" i="20"/>
  <c r="K585" i="20" s="1"/>
  <c r="I584" i="20"/>
  <c r="K584" i="20" s="1"/>
  <c r="I583" i="20"/>
  <c r="K583" i="20" s="1"/>
  <c r="I582" i="20"/>
  <c r="K582" i="20" s="1"/>
  <c r="I581" i="20"/>
  <c r="K581" i="20" s="1"/>
  <c r="I580" i="20"/>
  <c r="K580" i="20" s="1"/>
  <c r="I579" i="20"/>
  <c r="K579" i="20" s="1"/>
  <c r="I578" i="20"/>
  <c r="K578" i="20" s="1"/>
  <c r="I577" i="20"/>
  <c r="K577" i="20" s="1"/>
  <c r="I576" i="20"/>
  <c r="K576" i="20" s="1"/>
  <c r="I575" i="20"/>
  <c r="K575" i="20" s="1"/>
  <c r="I574" i="20"/>
  <c r="K574" i="20" s="1"/>
  <c r="I573" i="20"/>
  <c r="K573" i="20" s="1"/>
  <c r="I572" i="20"/>
  <c r="K572" i="20" s="1"/>
  <c r="I571" i="20"/>
  <c r="K571" i="20" s="1"/>
  <c r="I570" i="20"/>
  <c r="K570" i="20" s="1"/>
  <c r="I569" i="20"/>
  <c r="K569" i="20" s="1"/>
  <c r="I568" i="20"/>
  <c r="K568" i="20" s="1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I529" i="20"/>
  <c r="K529" i="20" s="1"/>
  <c r="I528" i="20"/>
  <c r="K528" i="20" s="1"/>
  <c r="I527" i="20"/>
  <c r="K527" i="20" s="1"/>
  <c r="I526" i="20"/>
  <c r="K526" i="20" s="1"/>
  <c r="I525" i="20"/>
  <c r="K525" i="20" s="1"/>
  <c r="I524" i="20"/>
  <c r="K524" i="20" s="1"/>
  <c r="I523" i="20"/>
  <c r="K523" i="20" s="1"/>
  <c r="I522" i="20"/>
  <c r="K522" i="20" s="1"/>
  <c r="I521" i="20"/>
  <c r="K521" i="20" s="1"/>
  <c r="I520" i="20"/>
  <c r="K520" i="20" s="1"/>
  <c r="I519" i="20"/>
  <c r="K519" i="20" s="1"/>
  <c r="I518" i="20"/>
  <c r="K518" i="20" s="1"/>
  <c r="I517" i="20"/>
  <c r="K517" i="20" s="1"/>
  <c r="I516" i="20"/>
  <c r="K516" i="20" s="1"/>
  <c r="I515" i="20"/>
  <c r="K515" i="20" s="1"/>
  <c r="I514" i="20"/>
  <c r="K514" i="20" s="1"/>
  <c r="I513" i="20"/>
  <c r="K513" i="20" s="1"/>
  <c r="I512" i="20"/>
  <c r="K512" i="20" s="1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I493" i="20"/>
  <c r="K493" i="20" s="1"/>
  <c r="I492" i="20"/>
  <c r="K492" i="20" s="1"/>
  <c r="I491" i="20"/>
  <c r="K491" i="20" s="1"/>
  <c r="I490" i="20"/>
  <c r="K490" i="20" s="1"/>
  <c r="I489" i="20"/>
  <c r="K489" i="20" s="1"/>
  <c r="I488" i="20"/>
  <c r="K488" i="20" s="1"/>
  <c r="I487" i="20"/>
  <c r="K487" i="20" s="1"/>
  <c r="I486" i="20"/>
  <c r="K486" i="20" s="1"/>
  <c r="I485" i="20"/>
  <c r="K485" i="20" s="1"/>
  <c r="I484" i="20"/>
  <c r="K484" i="20" s="1"/>
  <c r="I483" i="20"/>
  <c r="K483" i="20" s="1"/>
  <c r="I482" i="20"/>
  <c r="K482" i="20" s="1"/>
  <c r="I481" i="20"/>
  <c r="K481" i="20" s="1"/>
  <c r="I480" i="20"/>
  <c r="K480" i="20" s="1"/>
  <c r="I479" i="20"/>
  <c r="K479" i="20" s="1"/>
  <c r="I478" i="20"/>
  <c r="K478" i="20" s="1"/>
  <c r="I477" i="20"/>
  <c r="K477" i="20" s="1"/>
  <c r="I476" i="20"/>
  <c r="K476" i="20" s="1"/>
  <c r="I475" i="20"/>
  <c r="K475" i="20" s="1"/>
  <c r="I474" i="20"/>
  <c r="K474" i="20" s="1"/>
  <c r="I473" i="20"/>
  <c r="K473" i="20" s="1"/>
  <c r="I472" i="20"/>
  <c r="K472" i="20" s="1"/>
  <c r="I471" i="20"/>
  <c r="K471" i="20" s="1"/>
  <c r="I470" i="20"/>
  <c r="K470" i="20" s="1"/>
  <c r="I469" i="20"/>
  <c r="K469" i="20" s="1"/>
  <c r="I468" i="20"/>
  <c r="K468" i="20" s="1"/>
  <c r="I467" i="20"/>
  <c r="K467" i="20" s="1"/>
  <c r="I466" i="20"/>
  <c r="K466" i="20" s="1"/>
  <c r="I465" i="20"/>
  <c r="K465" i="20" s="1"/>
  <c r="I464" i="20"/>
  <c r="K464" i="20" s="1"/>
  <c r="I463" i="20"/>
  <c r="K463" i="20" s="1"/>
  <c r="I462" i="20"/>
  <c r="K462" i="20" s="1"/>
  <c r="I461" i="20"/>
  <c r="K461" i="20" s="1"/>
  <c r="I460" i="20"/>
  <c r="K460" i="20" s="1"/>
  <c r="I459" i="20"/>
  <c r="K459" i="20" s="1"/>
  <c r="I458" i="20"/>
  <c r="K458" i="20" s="1"/>
  <c r="I457" i="20"/>
  <c r="K457" i="20" s="1"/>
  <c r="I456" i="20"/>
  <c r="K456" i="20" s="1"/>
  <c r="I455" i="20"/>
  <c r="K455" i="20" s="1"/>
  <c r="I454" i="20"/>
  <c r="K454" i="20" s="1"/>
  <c r="I453" i="20"/>
  <c r="K453" i="20" s="1"/>
  <c r="I452" i="20"/>
  <c r="K452" i="20" s="1"/>
  <c r="I451" i="20"/>
  <c r="K451" i="20" s="1"/>
  <c r="I450" i="20"/>
  <c r="K450" i="20" s="1"/>
  <c r="I449" i="20"/>
  <c r="K449" i="20" s="1"/>
  <c r="I448" i="20"/>
  <c r="K448" i="20" s="1"/>
  <c r="I447" i="20"/>
  <c r="K447" i="20" s="1"/>
  <c r="I446" i="20"/>
  <c r="K446" i="20" s="1"/>
  <c r="I445" i="20"/>
  <c r="K445" i="20" s="1"/>
  <c r="I444" i="20"/>
  <c r="K444" i="20" s="1"/>
  <c r="I443" i="20"/>
  <c r="K443" i="20" s="1"/>
  <c r="I442" i="20"/>
  <c r="K442" i="20" s="1"/>
  <c r="I441" i="20"/>
  <c r="K441" i="20" s="1"/>
  <c r="I440" i="20"/>
  <c r="K440" i="20" s="1"/>
  <c r="I439" i="20"/>
  <c r="K439" i="20" s="1"/>
  <c r="I438" i="20"/>
  <c r="K438" i="20" s="1"/>
  <c r="I437" i="20"/>
  <c r="K437" i="20" s="1"/>
  <c r="I436" i="20"/>
  <c r="K436" i="20" s="1"/>
  <c r="I435" i="20"/>
  <c r="K435" i="20" s="1"/>
  <c r="I434" i="20"/>
  <c r="K434" i="20" s="1"/>
  <c r="I433" i="20"/>
  <c r="K433" i="20" s="1"/>
  <c r="I432" i="20"/>
  <c r="K432" i="20" s="1"/>
  <c r="I431" i="20"/>
  <c r="K431" i="20" s="1"/>
  <c r="I430" i="20"/>
  <c r="K430" i="20" s="1"/>
  <c r="I429" i="20"/>
  <c r="K429" i="20" s="1"/>
  <c r="I428" i="20"/>
  <c r="K428" i="20" s="1"/>
  <c r="I427" i="20"/>
  <c r="K427" i="20" s="1"/>
  <c r="I426" i="20"/>
  <c r="K426" i="20" s="1"/>
  <c r="I425" i="20"/>
  <c r="K425" i="20" s="1"/>
  <c r="I424" i="20"/>
  <c r="K424" i="20" s="1"/>
  <c r="I423" i="20"/>
  <c r="K423" i="20" s="1"/>
  <c r="I422" i="20"/>
  <c r="K422" i="20" s="1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K373" i="20" s="1"/>
  <c r="E372" i="20"/>
  <c r="K371" i="20" s="1"/>
  <c r="I369" i="20"/>
  <c r="K369" i="20" s="1"/>
  <c r="K368" i="20"/>
  <c r="I368" i="20"/>
  <c r="K367" i="20"/>
  <c r="I367" i="20"/>
  <c r="I366" i="20"/>
  <c r="K366" i="20" s="1"/>
  <c r="K365" i="20"/>
  <c r="I365" i="20"/>
  <c r="K364" i="20"/>
  <c r="I364" i="20"/>
  <c r="I363" i="20"/>
  <c r="K363" i="20" s="1"/>
  <c r="K362" i="20"/>
  <c r="I362" i="20"/>
  <c r="K361" i="20"/>
  <c r="I361" i="20"/>
  <c r="I360" i="20"/>
  <c r="K360" i="20" s="1"/>
  <c r="K359" i="20"/>
  <c r="I359" i="20"/>
  <c r="K358" i="20"/>
  <c r="I358" i="20"/>
  <c r="I357" i="20"/>
  <c r="K357" i="20" s="1"/>
  <c r="K356" i="20"/>
  <c r="I356" i="20"/>
  <c r="K355" i="20"/>
  <c r="I355" i="20"/>
  <c r="I354" i="20"/>
  <c r="K354" i="20" s="1"/>
  <c r="K353" i="20"/>
  <c r="I353" i="20"/>
  <c r="K352" i="20"/>
  <c r="I352" i="20"/>
  <c r="I351" i="20"/>
  <c r="K351" i="20" s="1"/>
  <c r="K350" i="20"/>
  <c r="I350" i="20"/>
  <c r="K349" i="20"/>
  <c r="I349" i="20"/>
  <c r="I348" i="20"/>
  <c r="K348" i="20" s="1"/>
  <c r="K347" i="20"/>
  <c r="I347" i="20"/>
  <c r="K346" i="20"/>
  <c r="I346" i="20"/>
  <c r="I345" i="20"/>
  <c r="K345" i="20" s="1"/>
  <c r="K344" i="20"/>
  <c r="I344" i="20"/>
  <c r="K343" i="20"/>
  <c r="I343" i="20"/>
  <c r="I342" i="20"/>
  <c r="K342" i="20" s="1"/>
  <c r="K341" i="20"/>
  <c r="I341" i="20"/>
  <c r="K340" i="20"/>
  <c r="I340" i="20"/>
  <c r="I339" i="20"/>
  <c r="K339" i="20" s="1"/>
  <c r="K338" i="20"/>
  <c r="I338" i="20"/>
  <c r="K337" i="20"/>
  <c r="I337" i="20"/>
  <c r="I336" i="20"/>
  <c r="K336" i="20" s="1"/>
  <c r="K335" i="20"/>
  <c r="I335" i="20"/>
  <c r="K334" i="20"/>
  <c r="I334" i="20"/>
  <c r="I333" i="20"/>
  <c r="K333" i="20" s="1"/>
  <c r="K332" i="20"/>
  <c r="I332" i="20"/>
  <c r="K331" i="20"/>
  <c r="I331" i="20"/>
  <c r="I330" i="20"/>
  <c r="K330" i="20" s="1"/>
  <c r="K329" i="20"/>
  <c r="I329" i="20"/>
  <c r="K328" i="20"/>
  <c r="I328" i="20"/>
  <c r="I327" i="20"/>
  <c r="K327" i="20" s="1"/>
  <c r="K326" i="20"/>
  <c r="I326" i="20"/>
  <c r="K325" i="20"/>
  <c r="I325" i="20"/>
  <c r="I324" i="20"/>
  <c r="K324" i="20" s="1"/>
  <c r="K323" i="20"/>
  <c r="I323" i="20"/>
  <c r="K322" i="20"/>
  <c r="I322" i="20"/>
  <c r="I321" i="20"/>
  <c r="K321" i="20" s="1"/>
  <c r="K320" i="20"/>
  <c r="I320" i="20"/>
  <c r="K319" i="20"/>
  <c r="I319" i="20"/>
  <c r="I318" i="20"/>
  <c r="K318" i="20" s="1"/>
  <c r="K317" i="20"/>
  <c r="I317" i="20"/>
  <c r="K316" i="20"/>
  <c r="I316" i="20"/>
  <c r="I315" i="20"/>
  <c r="K315" i="20" s="1"/>
  <c r="K314" i="20"/>
  <c r="I314" i="20"/>
  <c r="K313" i="20"/>
  <c r="I313" i="20"/>
  <c r="I312" i="20"/>
  <c r="K312" i="20" s="1"/>
  <c r="K311" i="20"/>
  <c r="I311" i="20"/>
  <c r="K310" i="20"/>
  <c r="I310" i="20"/>
  <c r="I309" i="20"/>
  <c r="K309" i="20" s="1"/>
  <c r="K308" i="20"/>
  <c r="I308" i="20"/>
  <c r="K307" i="20"/>
  <c r="I307" i="20"/>
  <c r="I306" i="20"/>
  <c r="K306" i="20" s="1"/>
  <c r="K305" i="20"/>
  <c r="I305" i="20"/>
  <c r="K304" i="20"/>
  <c r="I304" i="20"/>
  <c r="I303" i="20"/>
  <c r="K303" i="20" s="1"/>
  <c r="K302" i="20"/>
  <c r="I302" i="20"/>
  <c r="K301" i="20"/>
  <c r="I301" i="20"/>
  <c r="I300" i="20"/>
  <c r="K300" i="20" s="1"/>
  <c r="K299" i="20"/>
  <c r="I299" i="20"/>
  <c r="K298" i="20"/>
  <c r="I298" i="20"/>
  <c r="I297" i="20"/>
  <c r="K297" i="20" s="1"/>
  <c r="K296" i="20"/>
  <c r="I296" i="20"/>
  <c r="K295" i="20"/>
  <c r="I295" i="20"/>
  <c r="I294" i="20"/>
  <c r="K294" i="20" s="1"/>
  <c r="K293" i="20"/>
  <c r="I293" i="20"/>
  <c r="K292" i="20"/>
  <c r="I292" i="20"/>
  <c r="I291" i="20"/>
  <c r="K291" i="20" s="1"/>
  <c r="K290" i="20"/>
  <c r="I290" i="20"/>
  <c r="K289" i="20"/>
  <c r="I289" i="20"/>
  <c r="I288" i="20"/>
  <c r="K288" i="20" s="1"/>
  <c r="K287" i="20"/>
  <c r="I287" i="20"/>
  <c r="K286" i="20"/>
  <c r="I286" i="20"/>
  <c r="I285" i="20"/>
  <c r="K285" i="20" s="1"/>
  <c r="K284" i="20"/>
  <c r="I284" i="20"/>
  <c r="K283" i="20"/>
  <c r="I283" i="20"/>
  <c r="I282" i="20"/>
  <c r="K282" i="20" s="1"/>
  <c r="K281" i="20"/>
  <c r="I281" i="20"/>
  <c r="K280" i="20"/>
  <c r="I280" i="20"/>
  <c r="I279" i="20"/>
  <c r="K279" i="20" s="1"/>
  <c r="K278" i="20"/>
  <c r="I278" i="20"/>
  <c r="K277" i="20"/>
  <c r="I277" i="20"/>
  <c r="I276" i="20"/>
  <c r="K276" i="20" s="1"/>
  <c r="K275" i="20"/>
  <c r="I275" i="20"/>
  <c r="K274" i="20"/>
  <c r="I274" i="20"/>
  <c r="I273" i="20"/>
  <c r="K273" i="20" s="1"/>
  <c r="K272" i="20"/>
  <c r="I272" i="20"/>
  <c r="K271" i="20"/>
  <c r="I271" i="20"/>
  <c r="I270" i="20"/>
  <c r="K270" i="20" s="1"/>
  <c r="K269" i="20"/>
  <c r="I269" i="20"/>
  <c r="K268" i="20"/>
  <c r="I268" i="20"/>
  <c r="I267" i="20"/>
  <c r="K267" i="20" s="1"/>
  <c r="K266" i="20"/>
  <c r="I266" i="20"/>
  <c r="K265" i="20"/>
  <c r="I265" i="20"/>
  <c r="I264" i="20"/>
  <c r="K264" i="20" s="1"/>
  <c r="K263" i="20"/>
  <c r="I263" i="20"/>
  <c r="K262" i="20"/>
  <c r="I262" i="20"/>
  <c r="I261" i="20"/>
  <c r="K261" i="20" s="1"/>
  <c r="K260" i="20"/>
  <c r="I260" i="20"/>
  <c r="K259" i="20"/>
  <c r="I259" i="20"/>
  <c r="I258" i="20"/>
  <c r="K258" i="20" s="1"/>
  <c r="K257" i="20"/>
  <c r="I257" i="20"/>
  <c r="K256" i="20"/>
  <c r="I256" i="20"/>
  <c r="I255" i="20"/>
  <c r="K255" i="20" s="1"/>
  <c r="K254" i="20"/>
  <c r="I254" i="20"/>
  <c r="K253" i="20"/>
  <c r="I253" i="20"/>
  <c r="I252" i="20"/>
  <c r="K252" i="20" s="1"/>
  <c r="K251" i="20"/>
  <c r="I251" i="20"/>
  <c r="K250" i="20"/>
  <c r="I250" i="20"/>
  <c r="I249" i="20"/>
  <c r="K249" i="20" s="1"/>
  <c r="K248" i="20"/>
  <c r="I248" i="20"/>
  <c r="K247" i="20"/>
  <c r="I247" i="20"/>
  <c r="I246" i="20"/>
  <c r="K246" i="20" s="1"/>
  <c r="K245" i="20"/>
  <c r="I245" i="20"/>
  <c r="K244" i="20"/>
  <c r="I244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I200" i="20"/>
  <c r="K200" i="20" s="1"/>
  <c r="I199" i="20"/>
  <c r="K199" i="20" s="1"/>
  <c r="I198" i="20"/>
  <c r="K198" i="20" s="1"/>
  <c r="I197" i="20"/>
  <c r="K197" i="20" s="1"/>
  <c r="I196" i="20"/>
  <c r="K196" i="20" s="1"/>
  <c r="I195" i="20"/>
  <c r="K195" i="20" s="1"/>
  <c r="I194" i="20"/>
  <c r="K194" i="20" s="1"/>
  <c r="I193" i="20"/>
  <c r="K193" i="20" s="1"/>
  <c r="I192" i="20"/>
  <c r="K192" i="20" s="1"/>
  <c r="I191" i="20"/>
  <c r="K191" i="20" s="1"/>
  <c r="I190" i="20"/>
  <c r="K190" i="20" s="1"/>
  <c r="I189" i="20"/>
  <c r="K189" i="20" s="1"/>
  <c r="I188" i="20"/>
  <c r="K188" i="20" s="1"/>
  <c r="I187" i="20"/>
  <c r="K187" i="20" s="1"/>
  <c r="I186" i="20"/>
  <c r="K186" i="20" s="1"/>
  <c r="I185" i="20"/>
  <c r="K185" i="20" s="1"/>
  <c r="I184" i="20"/>
  <c r="K184" i="20" s="1"/>
  <c r="K183" i="20"/>
  <c r="I183" i="20"/>
  <c r="I182" i="20"/>
  <c r="K182" i="20" s="1"/>
  <c r="I181" i="20"/>
  <c r="K181" i="20" s="1"/>
  <c r="I180" i="20"/>
  <c r="K180" i="20" s="1"/>
  <c r="I179" i="20"/>
  <c r="K179" i="20" s="1"/>
  <c r="I178" i="20"/>
  <c r="K178" i="20" s="1"/>
  <c r="K177" i="20"/>
  <c r="I177" i="20"/>
  <c r="I176" i="20"/>
  <c r="K176" i="20" s="1"/>
  <c r="I175" i="20"/>
  <c r="K175" i="20" s="1"/>
  <c r="I174" i="20"/>
  <c r="K174" i="20" s="1"/>
  <c r="I173" i="20"/>
  <c r="K173" i="20" s="1"/>
  <c r="I172" i="20"/>
  <c r="K172" i="20" s="1"/>
  <c r="K171" i="20"/>
  <c r="I171" i="20"/>
  <c r="I170" i="20"/>
  <c r="K170" i="20" s="1"/>
  <c r="I169" i="20"/>
  <c r="K169" i="20" s="1"/>
  <c r="I168" i="20"/>
  <c r="K168" i="20" s="1"/>
  <c r="I167" i="20"/>
  <c r="K167" i="20" s="1"/>
  <c r="I166" i="20"/>
  <c r="K166" i="20" s="1"/>
  <c r="K165" i="20"/>
  <c r="I165" i="20"/>
  <c r="I164" i="20"/>
  <c r="K164" i="20" s="1"/>
  <c r="I163" i="20"/>
  <c r="K163" i="20" s="1"/>
  <c r="I162" i="20"/>
  <c r="K162" i="20" s="1"/>
  <c r="I161" i="20"/>
  <c r="K161" i="20" s="1"/>
  <c r="I160" i="20"/>
  <c r="K160" i="20" s="1"/>
  <c r="K159" i="20"/>
  <c r="I159" i="20"/>
  <c r="I158" i="20"/>
  <c r="K158" i="20" s="1"/>
  <c r="I157" i="20"/>
  <c r="K157" i="20" s="1"/>
  <c r="I156" i="20"/>
  <c r="K156" i="20" s="1"/>
  <c r="I155" i="20"/>
  <c r="K155" i="20" s="1"/>
  <c r="I154" i="20"/>
  <c r="K154" i="20" s="1"/>
  <c r="K153" i="20"/>
  <c r="I153" i="20"/>
  <c r="I152" i="20"/>
  <c r="K152" i="20" s="1"/>
  <c r="I151" i="20"/>
  <c r="K151" i="20" s="1"/>
  <c r="I150" i="20"/>
  <c r="K150" i="20" s="1"/>
  <c r="I149" i="20"/>
  <c r="K149" i="20" s="1"/>
  <c r="I148" i="20"/>
  <c r="K148" i="20" s="1"/>
  <c r="K147" i="20"/>
  <c r="I147" i="20"/>
  <c r="I146" i="20"/>
  <c r="K146" i="20" s="1"/>
  <c r="I145" i="20"/>
  <c r="K145" i="20" s="1"/>
  <c r="I144" i="20"/>
  <c r="K144" i="20" s="1"/>
  <c r="I143" i="20"/>
  <c r="K143" i="20" s="1"/>
  <c r="I142" i="20"/>
  <c r="K142" i="20" s="1"/>
  <c r="K141" i="20"/>
  <c r="I141" i="20"/>
  <c r="I140" i="20"/>
  <c r="K140" i="20" s="1"/>
  <c r="I139" i="20"/>
  <c r="K139" i="20" s="1"/>
  <c r="I138" i="20"/>
  <c r="K138" i="20" s="1"/>
  <c r="I137" i="20"/>
  <c r="K137" i="20" s="1"/>
  <c r="I136" i="20"/>
  <c r="K136" i="20" s="1"/>
  <c r="K135" i="20"/>
  <c r="I135" i="20"/>
  <c r="I134" i="20"/>
  <c r="K134" i="20" s="1"/>
  <c r="I133" i="20"/>
  <c r="K133" i="20" s="1"/>
  <c r="I132" i="20"/>
  <c r="K132" i="20" s="1"/>
  <c r="I131" i="20"/>
  <c r="K131" i="20" s="1"/>
  <c r="I130" i="20"/>
  <c r="K130" i="20" s="1"/>
  <c r="K129" i="20"/>
  <c r="I129" i="20"/>
  <c r="I128" i="20"/>
  <c r="K128" i="20" s="1"/>
  <c r="I127" i="20"/>
  <c r="K127" i="20" s="1"/>
  <c r="I126" i="20"/>
  <c r="K126" i="20" s="1"/>
  <c r="I125" i="20"/>
  <c r="K125" i="20" s="1"/>
  <c r="I124" i="20"/>
  <c r="K124" i="20" s="1"/>
  <c r="K123" i="20"/>
  <c r="I123" i="20"/>
  <c r="I122" i="20"/>
  <c r="K122" i="20" s="1"/>
  <c r="I121" i="20"/>
  <c r="K121" i="20" s="1"/>
  <c r="I120" i="20"/>
  <c r="K120" i="20" s="1"/>
  <c r="I119" i="20"/>
  <c r="K119" i="20" s="1"/>
  <c r="I118" i="20"/>
  <c r="K118" i="20" s="1"/>
  <c r="K117" i="20"/>
  <c r="I117" i="20"/>
  <c r="I116" i="20"/>
  <c r="K116" i="20" s="1"/>
  <c r="I115" i="20"/>
  <c r="K115" i="20" s="1"/>
  <c r="I114" i="20"/>
  <c r="K114" i="20" s="1"/>
  <c r="I113" i="20"/>
  <c r="K113" i="20" s="1"/>
  <c r="I112" i="20"/>
  <c r="K112" i="20" s="1"/>
  <c r="K111" i="20"/>
  <c r="I111" i="20"/>
  <c r="I110" i="20"/>
  <c r="K110" i="20" s="1"/>
  <c r="I109" i="20"/>
  <c r="K109" i="20" s="1"/>
  <c r="I108" i="20"/>
  <c r="K108" i="20" s="1"/>
  <c r="I107" i="20"/>
  <c r="K107" i="20" s="1"/>
  <c r="I106" i="20"/>
  <c r="K106" i="20" s="1"/>
  <c r="K105" i="20"/>
  <c r="I105" i="20"/>
  <c r="I104" i="20"/>
  <c r="K104" i="20" s="1"/>
  <c r="I103" i="20"/>
  <c r="K103" i="20" s="1"/>
  <c r="I102" i="20"/>
  <c r="K102" i="20" s="1"/>
  <c r="I101" i="20"/>
  <c r="K101" i="20" s="1"/>
  <c r="I100" i="20"/>
  <c r="K100" i="20" s="1"/>
  <c r="K99" i="20"/>
  <c r="I99" i="20"/>
  <c r="I98" i="20"/>
  <c r="K98" i="20" s="1"/>
  <c r="I97" i="20"/>
  <c r="K97" i="20" s="1"/>
  <c r="I96" i="20"/>
  <c r="K96" i="20" s="1"/>
  <c r="I95" i="20"/>
  <c r="K95" i="20" s="1"/>
  <c r="I94" i="20"/>
  <c r="K94" i="20" s="1"/>
  <c r="K93" i="20"/>
  <c r="I93" i="20"/>
  <c r="I92" i="20"/>
  <c r="K92" i="20" s="1"/>
  <c r="I91" i="20"/>
  <c r="K91" i="20" s="1"/>
  <c r="I90" i="20"/>
  <c r="K90" i="20" s="1"/>
  <c r="I89" i="20"/>
  <c r="K89" i="20" s="1"/>
  <c r="I88" i="20"/>
  <c r="K88" i="20" s="1"/>
  <c r="K87" i="20"/>
  <c r="I87" i="20"/>
  <c r="I86" i="20"/>
  <c r="K86" i="20" s="1"/>
  <c r="I85" i="20"/>
  <c r="K85" i="20" s="1"/>
  <c r="I84" i="20"/>
  <c r="K84" i="20" s="1"/>
  <c r="I83" i="20"/>
  <c r="K83" i="20" s="1"/>
  <c r="I82" i="20"/>
  <c r="K82" i="20" s="1"/>
  <c r="K81" i="20"/>
  <c r="I81" i="20"/>
  <c r="I80" i="20"/>
  <c r="K80" i="20" s="1"/>
  <c r="I79" i="20"/>
  <c r="K79" i="20" s="1"/>
  <c r="I78" i="20"/>
  <c r="K78" i="20" s="1"/>
  <c r="I77" i="20"/>
  <c r="K77" i="20" s="1"/>
  <c r="I76" i="20"/>
  <c r="K76" i="20" s="1"/>
  <c r="K75" i="20"/>
  <c r="I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60" i="20"/>
  <c r="K59" i="20"/>
  <c r="K58" i="20"/>
  <c r="K57" i="20"/>
  <c r="I56" i="20"/>
  <c r="K56" i="20" s="1"/>
  <c r="I55" i="20"/>
  <c r="K55" i="20" s="1"/>
  <c r="K54" i="20"/>
  <c r="I54" i="20"/>
  <c r="I53" i="20"/>
  <c r="K53" i="20" s="1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K40" i="20" s="1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9" i="20"/>
  <c r="K18" i="20"/>
  <c r="K17" i="20"/>
  <c r="K16" i="20"/>
  <c r="K15" i="20"/>
  <c r="K14" i="20"/>
  <c r="K13" i="20"/>
  <c r="K12" i="20"/>
  <c r="K11" i="20"/>
  <c r="K10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I570" i="19"/>
  <c r="K570" i="19" s="1"/>
  <c r="I571" i="19"/>
  <c r="K571" i="19" s="1"/>
  <c r="I572" i="19"/>
  <c r="K572" i="19" s="1"/>
  <c r="I573" i="19"/>
  <c r="I574" i="19"/>
  <c r="I575" i="19"/>
  <c r="K575" i="19" s="1"/>
  <c r="I576" i="19"/>
  <c r="I577" i="19"/>
  <c r="K577" i="19" s="1"/>
  <c r="I578" i="19"/>
  <c r="I579" i="19"/>
  <c r="K579" i="19" s="1"/>
  <c r="I580" i="19"/>
  <c r="I581" i="19"/>
  <c r="I582" i="19"/>
  <c r="K582" i="19" s="1"/>
  <c r="I583" i="19"/>
  <c r="I584" i="19"/>
  <c r="K584" i="19" s="1"/>
  <c r="I585" i="19"/>
  <c r="I568" i="19"/>
  <c r="K585" i="19"/>
  <c r="K583" i="19"/>
  <c r="K581" i="19"/>
  <c r="K580" i="19"/>
  <c r="K578" i="19"/>
  <c r="K576" i="19"/>
  <c r="K574" i="19"/>
  <c r="K573" i="19"/>
  <c r="K569" i="19"/>
  <c r="K568" i="19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I460" i="19"/>
  <c r="K460" i="19" s="1"/>
  <c r="I461" i="19"/>
  <c r="K461" i="19" s="1"/>
  <c r="I462" i="19"/>
  <c r="K462" i="19" s="1"/>
  <c r="I463" i="19"/>
  <c r="I464" i="19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I472" i="19"/>
  <c r="K472" i="19" s="1"/>
  <c r="I473" i="19"/>
  <c r="K473" i="19" s="1"/>
  <c r="I474" i="19"/>
  <c r="K474" i="19" s="1"/>
  <c r="I475" i="19"/>
  <c r="I458" i="19"/>
  <c r="I457" i="19"/>
  <c r="K457" i="19" s="1"/>
  <c r="I441" i="19"/>
  <c r="I442" i="19"/>
  <c r="K442" i="19" s="1"/>
  <c r="I443" i="19"/>
  <c r="K443" i="19" s="1"/>
  <c r="I444" i="19"/>
  <c r="K444" i="19" s="1"/>
  <c r="I445" i="19"/>
  <c r="K445" i="19" s="1"/>
  <c r="I446" i="19"/>
  <c r="I447" i="19"/>
  <c r="I448" i="19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I423" i="19"/>
  <c r="I424" i="19"/>
  <c r="K424" i="19" s="1"/>
  <c r="I425" i="19"/>
  <c r="K425" i="19" s="1"/>
  <c r="I426" i="19"/>
  <c r="K426" i="19" s="1"/>
  <c r="I427" i="19"/>
  <c r="I428" i="19"/>
  <c r="K428" i="19" s="1"/>
  <c r="I429" i="19"/>
  <c r="I430" i="19"/>
  <c r="I431" i="19"/>
  <c r="I432" i="19"/>
  <c r="I433" i="19"/>
  <c r="I434" i="19"/>
  <c r="K434" i="19" s="1"/>
  <c r="I435" i="19"/>
  <c r="I436" i="19"/>
  <c r="K436" i="19" s="1"/>
  <c r="I437" i="19"/>
  <c r="K437" i="19" s="1"/>
  <c r="I438" i="19"/>
  <c r="K438" i="19" s="1"/>
  <c r="I439" i="19"/>
  <c r="I422" i="19"/>
  <c r="K427" i="19"/>
  <c r="K429" i="19"/>
  <c r="K430" i="19"/>
  <c r="K431" i="19"/>
  <c r="K432" i="19"/>
  <c r="K433" i="19"/>
  <c r="K435" i="19"/>
  <c r="K439" i="19"/>
  <c r="K440" i="19"/>
  <c r="K441" i="19"/>
  <c r="K446" i="19"/>
  <c r="K447" i="19"/>
  <c r="K448" i="19"/>
  <c r="K453" i="19"/>
  <c r="K458" i="19"/>
  <c r="K459" i="19"/>
  <c r="K463" i="19"/>
  <c r="K464" i="19"/>
  <c r="K466" i="19"/>
  <c r="K471" i="19"/>
  <c r="K475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L867" i="19" s="1"/>
  <c r="E866" i="19"/>
  <c r="D866" i="19" s="1"/>
  <c r="I866" i="19"/>
  <c r="I321" i="19"/>
  <c r="K321" i="19" s="1"/>
  <c r="I512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K377" i="19"/>
  <c r="K376" i="19"/>
  <c r="K375" i="19"/>
  <c r="K373" i="19"/>
  <c r="E373" i="19"/>
  <c r="E372" i="19"/>
  <c r="K374" i="19" s="1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I520" i="19"/>
  <c r="K520" i="19" s="1"/>
  <c r="I521" i="19"/>
  <c r="K521" i="19" s="1"/>
  <c r="I522" i="19"/>
  <c r="K522" i="19" s="1"/>
  <c r="I523" i="19"/>
  <c r="K523" i="19" s="1"/>
  <c r="I524" i="19"/>
  <c r="I525" i="19"/>
  <c r="K525" i="19" s="1"/>
  <c r="I526" i="19"/>
  <c r="K526" i="19" s="1"/>
  <c r="I527" i="19"/>
  <c r="K527" i="19" s="1"/>
  <c r="I528" i="19"/>
  <c r="K528" i="19" s="1"/>
  <c r="I529" i="19"/>
  <c r="K529" i="19" s="1"/>
  <c r="K524" i="19"/>
  <c r="K519" i="19"/>
  <c r="K512" i="19"/>
  <c r="I353" i="19"/>
  <c r="K353" i="19" s="1"/>
  <c r="I354" i="19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42" i="19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I304" i="19"/>
  <c r="K304" i="19" s="1"/>
  <c r="I305" i="19"/>
  <c r="K305" i="19" s="1"/>
  <c r="I306" i="19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I298" i="19"/>
  <c r="K298" i="19" s="1"/>
  <c r="I281" i="19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K303" i="19"/>
  <c r="K315" i="19"/>
  <c r="K354" i="19"/>
  <c r="K366" i="19"/>
  <c r="I280" i="19"/>
  <c r="K280" i="19" s="1"/>
  <c r="I263" i="19"/>
  <c r="K263" i="19" s="1"/>
  <c r="I264" i="19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K306" i="19"/>
  <c r="I244" i="19"/>
  <c r="K244" i="19" s="1"/>
  <c r="K317" i="19"/>
  <c r="K281" i="19"/>
  <c r="K276" i="19"/>
  <c r="K264" i="19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K835" i="20" l="1"/>
  <c r="K849" i="20"/>
  <c r="L849" i="20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J849" i="20"/>
  <c r="K846" i="20"/>
  <c r="K853" i="20"/>
  <c r="K858" i="20"/>
  <c r="K372" i="20"/>
  <c r="L846" i="20"/>
  <c r="J856" i="20"/>
  <c r="L858" i="20"/>
  <c r="F868" i="20"/>
  <c r="L868" i="20" s="1"/>
  <c r="K856" i="20"/>
  <c r="J854" i="20"/>
  <c r="J860" i="20"/>
  <c r="K854" i="20"/>
  <c r="K860" i="20"/>
  <c r="D867" i="20"/>
  <c r="J867" i="20" s="1"/>
  <c r="K868" i="20"/>
  <c r="K375" i="20"/>
  <c r="J852" i="20"/>
  <c r="K374" i="20"/>
  <c r="K376" i="20"/>
  <c r="K847" i="20"/>
  <c r="K852" i="20"/>
  <c r="F867" i="20"/>
  <c r="L867" i="20" s="1"/>
  <c r="K377" i="20"/>
  <c r="J850" i="20"/>
  <c r="J857" i="20"/>
  <c r="J848" i="20"/>
  <c r="D866" i="20"/>
  <c r="J866" i="20" s="1"/>
  <c r="K848" i="20"/>
  <c r="D868" i="19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H192" i="3"/>
  <c r="H195" i="3"/>
  <c r="H196" i="3"/>
  <c r="H197" i="3"/>
  <c r="H194" i="3"/>
  <c r="E193" i="3"/>
  <c r="C193" i="3"/>
  <c r="J202" i="3"/>
  <c r="J203" i="3" s="1"/>
  <c r="E53" i="5" l="1"/>
  <c r="D52" i="5"/>
  <c r="E52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44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0" i="5"/>
  <c r="AI29" i="5"/>
  <c r="AZ28" i="5"/>
  <c r="BH28" i="5"/>
  <c r="P28" i="5"/>
  <c r="AK28" i="5"/>
  <c r="BB28" i="5"/>
  <c r="K28" i="5"/>
  <c r="AT28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D152" i="3"/>
  <c r="J152" i="3" s="1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D153" i="3"/>
  <c r="C153" i="3" s="1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D154" i="3"/>
  <c r="E154" i="3" s="1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25" i="5"/>
  <c r="A37" i="5" a="1"/>
  <c r="A37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B24" i="5" l="1"/>
  <c r="C215" i="3"/>
  <c r="I215" i="3" s="1"/>
  <c r="E215" i="3"/>
  <c r="K215" i="3" s="1"/>
  <c r="J215" i="3"/>
  <c r="AT24" i="5"/>
  <c r="F24" i="5"/>
  <c r="AU24" i="5"/>
  <c r="G24" i="5"/>
  <c r="BB24" i="5"/>
  <c r="K24" i="5"/>
  <c r="BC24" i="5"/>
  <c r="R24" i="5"/>
  <c r="AD24" i="5"/>
  <c r="AE24" i="5"/>
  <c r="AI24" i="5"/>
  <c r="AP24" i="5"/>
  <c r="AQ24" i="5"/>
  <c r="BF24" i="5"/>
  <c r="S24" i="5"/>
  <c r="BG24" i="5"/>
  <c r="W24" i="5"/>
  <c r="I24" i="5"/>
  <c r="BD24" i="5"/>
  <c r="AR24" i="5"/>
  <c r="AF24" i="5"/>
  <c r="T24" i="5"/>
  <c r="H24" i="5"/>
  <c r="AO24" i="5"/>
  <c r="AC24" i="5"/>
  <c r="Q24" i="5"/>
  <c r="E24" i="5"/>
  <c r="AZ24" i="5"/>
  <c r="AN24" i="5"/>
  <c r="AB24" i="5"/>
  <c r="P24" i="5"/>
  <c r="D24" i="5"/>
  <c r="AY24" i="5"/>
  <c r="C24" i="5"/>
  <c r="BJ24" i="5"/>
  <c r="AX24" i="5"/>
  <c r="AL24" i="5"/>
  <c r="Z24" i="5"/>
  <c r="N24" i="5"/>
  <c r="AM24" i="5"/>
  <c r="O24" i="5"/>
  <c r="BI24" i="5"/>
  <c r="AW24" i="5"/>
  <c r="AK24" i="5"/>
  <c r="Y24" i="5"/>
  <c r="M24" i="5"/>
  <c r="BA24" i="5"/>
  <c r="BK24" i="5"/>
  <c r="AA24" i="5"/>
  <c r="BH24" i="5"/>
  <c r="AV24" i="5"/>
  <c r="AJ24" i="5"/>
  <c r="X24" i="5"/>
  <c r="L24" i="5"/>
  <c r="AH24" i="5"/>
  <c r="V24" i="5"/>
  <c r="J24" i="5"/>
  <c r="BE24" i="5"/>
  <c r="AS24" i="5"/>
  <c r="AG24" i="5"/>
  <c r="U24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4" i="5"/>
  <c r="C53" i="5"/>
  <c r="D54" i="5"/>
  <c r="B53" i="5"/>
  <c r="B54" i="5"/>
  <c r="B52" i="5"/>
  <c r="BL25" i="5"/>
  <c r="D53" i="5"/>
  <c r="E54" i="5"/>
  <c r="C52" i="5"/>
  <c r="BL24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93" i="3"/>
  <c r="H191" i="3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<sst xmlns="http://schemas.openxmlformats.org/spreadsheetml/2006/main" count="41215" uniqueCount="10392">
  <si>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</si>
  <si>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</si>
  <si>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</si>
  <si>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</si>
  <si>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</si>
  <si>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</si>
  <si>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</si>
  <si>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</si>
  <si>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</si>
  <si>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</si>
  <si>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</si>
  <si>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</si>
  <si>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</si>
  <si>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</si>
  <si>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</si>
  <si>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</si>
  <si>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</si>
  <si>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</si>
  <si>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</si>
  <si>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</si>
  <si>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</si>
  <si>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</si>
  <si>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</si>
  <si>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</si>
  <si>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</si>
  <si>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</si>
  <si>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</si>
  <si>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</si>
  <si>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</si>
  <si>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</si>
  <si>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</si>
  <si>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</si>
  <si>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</si>
  <si>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</si>
  <si>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</si>
  <si>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</si>
  <si>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</si>
  <si>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</si>
  <si>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</si>
  <si>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</si>
  <si>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</si>
  <si>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</si>
  <si>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</si>
  <si>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</si>
  <si>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</si>
  <si>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</si>
  <si>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</si>
  <si>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</si>
  <si>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</si>
  <si>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</si>
  <si>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</si>
  <si>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</si>
  <si>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</si>
  <si>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</si>
  <si>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</si>
  <si>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</si>
  <si>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</si>
  <si>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</si>
  <si>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</si>
  <si>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</si>
  <si>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</si>
  <si>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</si>
  <si>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</si>
  <si>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</si>
  <si>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</si>
  <si>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</si>
  <si>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</si>
  <si>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</si>
  <si>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</si>
  <si>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</si>
  <si>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</si>
  <si>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</si>
  <si>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</si>
  <si>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</si>
  <si>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</si>
  <si>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</si>
  <si>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</si>
  <si>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</si>
  <si>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</si>
  <si>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</si>
  <si>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</si>
  <si>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</si>
  <si>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</si>
  <si>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</si>
  <si>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</si>
  <si>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</si>
  <si>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</si>
  <si>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</si>
  <si>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</si>
  <si>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</si>
  <si>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</si>
  <si>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</si>
  <si>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</si>
  <si>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</si>
  <si>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</si>
  <si>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</si>
  <si>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</si>
  <si>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</si>
  <si>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</si>
  <si>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</si>
  <si>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</si>
  <si>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</si>
  <si>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</si>
  <si>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</si>
  <si>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</si>
  <si>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</si>
  <si>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</si>
  <si>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</si>
  <si>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</si>
  <si>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</si>
  <si>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</si>
  <si>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</si>
  <si>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</si>
  <si>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</si>
  <si>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</si>
  <si>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</si>
  <si>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</si>
  <si>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</si>
  <si>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</si>
  <si>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</si>
  <si>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</si>
  <si>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</si>
  <si>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</si>
  <si>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</si>
  <si>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</si>
  <si>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</si>
  <si>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</si>
  <si>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</si>
  <si>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</si>
  <si>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</si>
  <si>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</si>
  <si>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</si>
  <si>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</si>
  <si>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</si>
  <si>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</si>
  <si>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</si>
  <si>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</si>
  <si>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</si>
  <si>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</si>
  <si>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</si>
  <si>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</si>
  <si>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</si>
  <si>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</si>
  <si>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</si>
  <si>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</si>
  <si>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</si>
  <si>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</si>
  <si>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</si>
  <si>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</si>
  <si>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</si>
  <si>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</si>
  <si>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</si>
  <si>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</si>
  <si>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</si>
  <si>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</si>
  <si>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</si>
  <si>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</si>
  <si>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</si>
  <si>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</si>
  <si>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</si>
  <si>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</si>
  <si>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</si>
  <si>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</si>
  <si>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</si>
  <si>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</si>
  <si>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</si>
  <si>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</si>
  <si>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</si>
  <si>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</si>
  <si>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</si>
  <si>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</si>
  <si>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</si>
  <si>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</si>
  <si>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</si>
  <si>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</si>
  <si>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</si>
  <si>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</si>
  <si>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</si>
  <si>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</si>
  <si>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</si>
  <si>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</si>
  <si>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</si>
  <si>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</si>
  <si>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</si>
  <si>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</si>
  <si>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</si>
  <si>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</si>
  <si>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</si>
  <si>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</si>
  <si>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</si>
  <si>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</si>
  <si>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</si>
  <si>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</si>
  <si>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</si>
  <si>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</si>
  <si>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</si>
  <si>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</si>
  <si>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</si>
  <si>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</si>
  <si>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</si>
  <si>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</si>
  <si>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</si>
  <si>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</si>
  <si>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</si>
  <si>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</si>
  <si>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</si>
  <si>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</si>
  <si>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</si>
  <si>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</si>
  <si>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</si>
  <si>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</si>
  <si>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</si>
  <si>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</si>
  <si>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</si>
  <si>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</si>
  <si>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</si>
  <si>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</si>
  <si>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</si>
  <si>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</si>
  <si>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</si>
  <si>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</si>
  <si>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</si>
  <si>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</si>
  <si>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</si>
  <si>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</si>
  <si>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</si>
  <si>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</si>
  <si>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</si>
  <si>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</si>
  <si>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</si>
  <si>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</si>
  <si>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</si>
  <si>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</si>
  <si>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</si>
  <si>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</si>
  <si>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</si>
  <si>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</si>
  <si>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</si>
  <si>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</si>
  <si>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</si>
  <si>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</si>
  <si>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</si>
  <si>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</si>
  <si>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</si>
  <si>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</si>
  <si>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</si>
  <si>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</si>
  <si>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</si>
  <si>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</si>
  <si>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</si>
  <si>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</si>
  <si>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</si>
  <si>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</si>
  <si>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</si>
  <si>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</si>
  <si>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</si>
  <si>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</si>
  <si>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</si>
  <si>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</si>
  <si>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</si>
  <si>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</si>
  <si>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</si>
  <si>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</si>
  <si>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</si>
  <si>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</si>
  <si>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</si>
  <si>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</si>
  <si>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</si>
  <si>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</si>
  <si>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</si>
  <si>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</si>
  <si>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</si>
  <si>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</si>
  <si>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</si>
  <si>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</si>
  <si>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</si>
  <si>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</si>
  <si>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</si>
  <si>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</si>
  <si>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</si>
  <si>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</si>
  <si>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</si>
  <si>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</si>
  <si>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</si>
  <si>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</si>
  <si>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</si>
  <si>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</si>
  <si>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</si>
  <si>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</si>
  <si>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</si>
  <si>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</si>
  <si>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</si>
  <si>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</si>
  <si>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</si>
  <si>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</si>
  <si>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</si>
  <si>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</si>
  <si>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</si>
  <si>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</si>
  <si>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</si>
  <si>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</si>
  <si>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</si>
  <si>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</si>
  <si>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</si>
  <si>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</si>
  <si>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</si>
  <si>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</si>
  <si>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</si>
  <si>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</si>
  <si>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</si>
  <si>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</si>
  <si>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</si>
  <si>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</si>
  <si>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</si>
  <si>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</si>
  <si>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</si>
  <si>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</si>
  <si>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</si>
  <si>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</si>
  <si>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</si>
  <si>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</si>
  <si>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</si>
  <si>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</si>
  <si>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</si>
  <si>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</si>
  <si>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</si>
  <si>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</si>
  <si>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</si>
  <si>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</si>
  <si>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</si>
  <si>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</si>
  <si>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</si>
  <si>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</si>
  <si>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</si>
  <si>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</si>
  <si>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</si>
  <si>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</si>
  <si>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</si>
  <si>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</si>
  <si>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</si>
  <si>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</si>
  <si>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</si>
  <si>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</si>
  <si>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</si>
  <si>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</si>
  <si>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</si>
  <si>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</si>
  <si>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</si>
  <si>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</si>
  <si>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</si>
  <si>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</si>
  <si>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</si>
  <si>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</si>
  <si>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</si>
  <si>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</si>
  <si>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</si>
  <si>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</si>
  <si>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</si>
  <si>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</si>
  <si>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</si>
  <si>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</si>
  <si>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</si>
  <si>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</si>
  <si>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</si>
  <si>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</si>
  <si>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</si>
  <si>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</si>
  <si>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</si>
  <si>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</si>
  <si>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</si>
  <si>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</si>
  <si>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</si>
  <si>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</si>
  <si>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</si>
  <si>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</si>
  <si>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</si>
  <si>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</si>
  <si>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</si>
  <si>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</si>
  <si>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</si>
  <si>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</si>
  <si>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</si>
  <si>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</si>
  <si>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</si>
  <si>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</si>
  <si>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</si>
  <si>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</si>
  <si>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</si>
  <si>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</si>
  <si>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</si>
  <si>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</si>
  <si>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</si>
  <si>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</si>
  <si>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</si>
  <si>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</si>
  <si>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</si>
  <si>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</si>
  <si>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</si>
  <si>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</si>
  <si>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</si>
  <si>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</si>
  <si>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</si>
  <si>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</si>
  <si>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</si>
  <si>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</si>
  <si>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</si>
  <si>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</si>
  <si>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</si>
  <si>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</si>
  <si>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</si>
  <si>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</si>
  <si>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</si>
  <si>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</si>
  <si>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</si>
  <si>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</si>
  <si>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</si>
  <si>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</si>
  <si>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</si>
  <si>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</si>
  <si>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</si>
  <si>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</si>
  <si>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</si>
  <si>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</si>
  <si>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</si>
  <si>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</si>
  <si>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</si>
  <si>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</si>
  <si>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</si>
  <si>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</si>
  <si>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</si>
  <si>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</si>
  <si>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</si>
  <si>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</si>
  <si>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</si>
  <si>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</si>
  <si>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</si>
  <si>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</si>
  <si>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</si>
  <si>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</si>
  <si>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</si>
  <si>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</si>
  <si>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</si>
  <si>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</si>
  <si>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</si>
  <si>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</si>
  <si>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</si>
  <si>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</si>
  <si>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</si>
  <si>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</si>
  <si>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</si>
  <si>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</si>
  <si>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</si>
  <si>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</si>
  <si>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</si>
  <si>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</si>
  <si>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</si>
  <si>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</si>
  <si>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</si>
  <si>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</si>
  <si>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</si>
  <si>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</si>
  <si>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</si>
  <si>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</si>
  <si>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</si>
  <si>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</si>
  <si>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</si>
  <si>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</si>
  <si>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</si>
  <si>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</si>
  <si>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</si>
  <si>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</si>
  <si>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</si>
  <si>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</si>
  <si>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</si>
  <si>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</si>
  <si>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</si>
  <si>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</si>
  <si>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</si>
  <si>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</si>
  <si>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</si>
  <si>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</si>
  <si>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</si>
  <si>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</si>
  <si>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</si>
  <si>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</si>
  <si>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</si>
  <si>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</si>
  <si>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</si>
  <si>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</si>
  <si>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</si>
  <si>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</si>
  <si>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</si>
  <si>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</si>
  <si>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</si>
  <si>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</si>
  <si>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</si>
  <si>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</si>
  <si>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</si>
  <si>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</si>
  <si>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</si>
  <si>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</si>
  <si>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</si>
  <si>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</si>
  <si>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</si>
  <si>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</si>
  <si>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</si>
  <si>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</si>
  <si>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</si>
  <si>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</si>
  <si>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</si>
  <si>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</si>
  <si>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</si>
  <si>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</si>
  <si>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</si>
  <si>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</si>
  <si>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</si>
  <si>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</si>
  <si>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</si>
  <si>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</si>
  <si>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</si>
  <si>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</si>
  <si>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</si>
  <si>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</si>
  <si>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</si>
  <si>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</si>
  <si>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</si>
  <si>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</si>
  <si>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</si>
  <si>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</si>
  <si>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</si>
  <si>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</si>
  <si>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</si>
  <si>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</si>
  <si>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</si>
  <si>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</si>
  <si>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</si>
  <si>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</si>
  <si>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</si>
  <si>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</si>
  <si>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</si>
  <si>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</si>
  <si>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</si>
  <si>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</si>
  <si>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</si>
  <si>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</si>
  <si>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</si>
  <si>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</si>
  <si>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</si>
  <si>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</si>
  <si>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</si>
  <si>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</si>
  <si>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</si>
  <si>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</si>
  <si>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</si>
  <si>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</si>
  <si>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</si>
  <si>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</si>
  <si>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</si>
  <si>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</si>
  <si>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</si>
  <si>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</si>
  <si>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</si>
  <si>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</si>
  <si>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</si>
  <si>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</si>
  <si>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</si>
  <si>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</si>
  <si>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</si>
  <si>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</si>
  <si>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</si>
  <si>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</si>
  <si>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</si>
  <si>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</si>
  <si>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</si>
  <si>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</si>
  <si>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</si>
  <si>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</si>
  <si>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</si>
  <si>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</si>
  <si>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</si>
  <si>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</si>
  <si>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</si>
  <si>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</si>
  <si>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</si>
  <si>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</si>
  <si>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</si>
  <si>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</si>
  <si>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</si>
  <si>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</si>
  <si>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</si>
  <si>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</si>
  <si>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</si>
  <si>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</si>
  <si>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</si>
  <si>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</si>
  <si>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</si>
  <si>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</si>
  <si>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</si>
  <si>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</si>
  <si>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</si>
  <si>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</si>
  <si>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</si>
  <si>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</si>
  <si>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</si>
  <si>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</si>
  <si>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</si>
  <si>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</si>
  <si>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</si>
  <si>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</si>
  <si>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</si>
  <si>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</si>
  <si>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</si>
  <si>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</si>
  <si>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</si>
  <si>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</si>
  <si>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</si>
  <si>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</si>
  <si>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</si>
  <si>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</si>
  <si>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</si>
  <si>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</si>
  <si>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</si>
  <si>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</si>
  <si>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</si>
  <si>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</si>
  <si>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</si>
  <si>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</si>
  <si>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</si>
  <si>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</si>
  <si>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</si>
  <si>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</si>
  <si>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</si>
  <si>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</si>
  <si>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</si>
  <si>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</si>
  <si>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</si>
  <si>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</si>
  <si>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</si>
  <si>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</si>
  <si>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</si>
  <si>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</si>
  <si>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</si>
  <si>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</si>
  <si>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</si>
  <si>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</si>
  <si>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</si>
  <si>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</si>
  <si>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</si>
  <si>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</si>
  <si>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</si>
  <si>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</si>
  <si>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</si>
  <si>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</si>
  <si>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</si>
  <si>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</si>
  <si>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</si>
  <si>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</si>
  <si>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</si>
  <si>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</si>
  <si>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</si>
  <si>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</si>
  <si>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</si>
  <si>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</si>
  <si>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</si>
  <si>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</si>
  <si>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</si>
  <si>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</si>
  <si>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</si>
  <si>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</si>
  <si>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</si>
  <si>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</si>
  <si>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</si>
  <si>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</si>
  <si>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</si>
  <si>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</si>
  <si>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</si>
  <si>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</si>
  <si>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</si>
  <si>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</si>
  <si>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</si>
  <si>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</si>
  <si>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</si>
  <si>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</si>
  <si>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</si>
  <si>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</si>
  <si>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</si>
  <si>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</si>
  <si>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</si>
  <si>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</si>
  <si>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</si>
  <si>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</si>
  <si>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</si>
  <si>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</si>
  <si>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</si>
  <si>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</si>
  <si>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</si>
  <si>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</si>
  <si>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</si>
  <si>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</si>
  <si>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</si>
  <si>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</si>
  <si>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</si>
  <si>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</si>
  <si>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</si>
  <si>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</si>
  <si>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</si>
  <si>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</si>
  <si>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</si>
  <si>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</si>
  <si>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</si>
  <si>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</si>
  <si>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</si>
  <si>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</si>
  <si>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</si>
  <si>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</si>
  <si>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</si>
  <si>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</si>
  <si>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</si>
  <si>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</si>
  <si>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</si>
  <si>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</si>
  <si>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</si>
  <si>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</si>
  <si>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</si>
  <si>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</si>
  <si>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</si>
  <si>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</si>
  <si>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</si>
  <si>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</si>
  <si>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</si>
  <si>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</si>
  <si>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</si>
  <si>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</si>
  <si>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</si>
  <si>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</si>
  <si>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</si>
  <si>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</si>
  <si>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</si>
  <si>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</si>
  <si>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</si>
  <si>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</si>
  <si>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</si>
  <si>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</si>
  <si>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</si>
  <si>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</si>
  <si>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</si>
  <si>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</si>
  <si>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</si>
  <si>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</si>
  <si>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</si>
  <si>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</si>
  <si>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</si>
  <si>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</si>
  <si>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</si>
  <si>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</si>
  <si>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</si>
  <si>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</si>
  <si>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</si>
  <si>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</si>
  <si>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</si>
  <si>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</si>
  <si>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</si>
  <si>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</si>
  <si>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</si>
  <si>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</si>
  <si>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</si>
  <si>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</si>
  <si>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</si>
  <si>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</si>
  <si>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</si>
  <si>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</si>
  <si>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</si>
  <si>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</si>
  <si>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</si>
  <si>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</si>
  <si>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</si>
  <si>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</si>
  <si>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</si>
  <si>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</si>
  <si>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</si>
  <si>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</si>
  <si>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</si>
  <si>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</si>
  <si>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</si>
  <si>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</si>
  <si>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</si>
  <si>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</si>
  <si>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</si>
  <si>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</si>
  <si>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</si>
  <si>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</si>
  <si>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</si>
  <si>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</si>
  <si>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</si>
  <si>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</si>
  <si>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</si>
  <si>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</si>
  <si>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</si>
  <si>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</si>
  <si>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</si>
  <si>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</si>
  <si>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</si>
  <si>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</si>
  <si>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</si>
  <si>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</si>
  <si>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</si>
  <si>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</si>
  <si>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</si>
  <si>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</si>
  <si>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</si>
  <si>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</si>
  <si>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</si>
  <si>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</si>
  <si>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</si>
  <si>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</si>
  <si>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</si>
  <si>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</si>
  <si>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</si>
  <si>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</si>
  <si>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</si>
  <si>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</si>
  <si>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</si>
  <si>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</si>
  <si>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</si>
  <si>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</si>
  <si>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</si>
  <si>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</si>
  <si>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</si>
  <si>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</si>
  <si>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</si>
  <si>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</si>
  <si>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</si>
  <si>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</si>
  <si>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</si>
  <si>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</si>
  <si>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</si>
  <si>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</si>
  <si>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</si>
  <si>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</si>
  <si>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</si>
  <si>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</si>
  <si>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</si>
  <si>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</si>
  <si>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</si>
  <si>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</si>
  <si>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</si>
  <si>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</si>
  <si>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</si>
  <si>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</si>
  <si>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</si>
  <si>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</si>
  <si>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</si>
  <si>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</si>
  <si>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</si>
  <si>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</si>
  <si>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</si>
  <si>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</si>
  <si>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</si>
  <si>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</si>
  <si>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</si>
  <si>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</si>
  <si>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</si>
  <si>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</si>
  <si>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</si>
  <si>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</si>
  <si>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</si>
  <si>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</si>
  <si>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</si>
  <si>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</si>
  <si>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</si>
  <si>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</si>
  <si>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</si>
  <si>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</si>
  <si>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</si>
  <si>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</si>
  <si>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</si>
  <si>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</si>
  <si>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</si>
  <si>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</si>
  <si>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</si>
  <si>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</si>
  <si>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</si>
  <si>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</si>
  <si>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</si>
  <si>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</si>
  <si>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</si>
  <si>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</si>
  <si>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</si>
  <si>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</si>
  <si>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</si>
  <si>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</si>
  <si>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</si>
  <si>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</si>
  <si>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</si>
  <si>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</si>
  <si>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</si>
  <si>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</si>
  <si>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</si>
  <si>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</si>
  <si>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</si>
  <si>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</si>
  <si>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</si>
  <si>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</si>
  <si>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</si>
  <si>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</si>
  <si>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</si>
  <si>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</si>
  <si>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</si>
  <si>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</si>
  <si>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</si>
  <si>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</si>
  <si>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</si>
  <si>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</si>
  <si>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</si>
  <si>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</si>
  <si>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</si>
  <si>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</si>
  <si>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</si>
  <si>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</si>
  <si>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</si>
  <si>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</si>
  <si>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</si>
  <si>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</si>
  <si>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</si>
  <si>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</si>
  <si>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</si>
  <si>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</si>
  <si>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</si>
  <si>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</si>
  <si>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</si>
  <si>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</si>
  <si>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</si>
  <si>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</si>
  <si>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</si>
  <si>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</si>
  <si>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</si>
  <si>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</si>
  <si>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</si>
  <si>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</si>
  <si>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</si>
  <si>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</si>
  <si>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</si>
  <si>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</si>
  <si>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</si>
  <si>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</si>
  <si>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</si>
  <si>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</si>
  <si>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</si>
  <si>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</si>
  <si>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</si>
  <si>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</si>
  <si>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</si>
  <si>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</si>
  <si>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</si>
  <si>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</si>
  <si>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</si>
  <si>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</si>
  <si>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</si>
  <si>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</si>
  <si>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</si>
  <si>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</si>
  <si>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</si>
  <si>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</si>
  <si>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</si>
  <si>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</si>
  <si>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</si>
  <si>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</si>
  <si>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</si>
  <si>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</si>
  <si>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</si>
  <si>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</si>
  <si>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</si>
  <si>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</si>
  <si>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</si>
  <si>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</si>
  <si>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</si>
  <si>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</si>
  <si>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</si>
  <si>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</si>
  <si>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</si>
  <si>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</si>
  <si>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</si>
  <si>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</si>
  <si>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</si>
  <si>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</si>
  <si>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</si>
  <si>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</si>
  <si>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</si>
  <si>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</si>
  <si>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</si>
  <si>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</si>
  <si>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</si>
  <si>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</si>
  <si>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</si>
  <si>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</si>
  <si>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</si>
  <si>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</si>
  <si>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</si>
  <si>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</si>
  <si>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</si>
  <si>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</si>
  <si>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</si>
  <si>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</si>
  <si>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</si>
  <si>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</si>
  <si>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</si>
  <si>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</si>
  <si>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</si>
  <si>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</si>
  <si>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</si>
  <si>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</si>
  <si>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</si>
  <si>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</si>
  <si>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</si>
  <si>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</si>
  <si>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</si>
  <si>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</si>
  <si>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</si>
  <si>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</si>
  <si>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</si>
  <si>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</si>
  <si>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</si>
  <si>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</si>
  <si>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</si>
  <si>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</si>
  <si>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</si>
  <si>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</si>
  <si>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</si>
  <si>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</si>
  <si>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</si>
  <si>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</si>
  <si>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</si>
  <si>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</si>
  <si>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</si>
  <si>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</si>
  <si>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</si>
  <si>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</si>
  <si>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</si>
  <si>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</si>
  <si>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</si>
  <si>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</si>
  <si>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</si>
  <si>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</si>
  <si>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</si>
  <si>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</si>
  <si>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</si>
  <si>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</si>
  <si>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</si>
  <si>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</si>
  <si>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</si>
  <si>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</si>
  <si>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</si>
  <si>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</si>
  <si>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</si>
  <si>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</si>
  <si>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</si>
  <si>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</si>
  <si>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</si>
  <si>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</si>
  <si>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</si>
  <si>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</si>
  <si>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</si>
  <si>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</si>
  <si>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</si>
  <si>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</si>
  <si>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</si>
  <si>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</si>
  <si>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</si>
  <si>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</si>
  <si>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</si>
  <si>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</si>
  <si>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</si>
  <si>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</si>
  <si>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</si>
  <si>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</si>
  <si>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</si>
  <si>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</si>
  <si>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</si>
  <si>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</si>
  <si>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</si>
  <si>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</si>
  <si>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</si>
  <si>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</si>
  <si>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</si>
  <si>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</si>
  <si>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</si>
  <si>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</si>
  <si>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</si>
  <si>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</si>
  <si>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</si>
  <si>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</si>
  <si>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</si>
  <si>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</si>
  <si>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</si>
  <si>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</si>
  <si>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</si>
  <si>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</si>
  <si>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</si>
  <si>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</si>
  <si>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</si>
  <si>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</si>
  <si>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</si>
  <si>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</si>
  <si>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</si>
  <si>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</si>
  <si>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</si>
  <si>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</si>
  <si>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</si>
  <si>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</si>
  <si>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</si>
  <si>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</si>
  <si>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</si>
  <si>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</si>
  <si>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</si>
  <si>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</si>
  <si>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</si>
  <si>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</si>
  <si>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</si>
  <si>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</si>
  <si>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</si>
  <si>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</si>
  <si>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</si>
  <si>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</si>
  <si>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</si>
  <si>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</si>
  <si>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</si>
  <si>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</si>
  <si>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</si>
  <si>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</si>
  <si>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</si>
  <si>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</si>
  <si>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</si>
  <si>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</si>
  <si>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</si>
  <si>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</si>
  <si>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</si>
  <si>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</si>
  <si>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</si>
  <si>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</si>
  <si>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</si>
  <si>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</si>
  <si>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</si>
  <si>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</si>
  <si>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</si>
  <si>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</si>
  <si>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</si>
  <si>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</si>
  <si>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</si>
  <si>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</si>
  <si>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</si>
  <si>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</si>
  <si>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</si>
  <si>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</si>
  <si>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</si>
  <si>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</si>
  <si>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</si>
  <si>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</si>
  <si>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</si>
  <si>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</si>
  <si>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</si>
  <si>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</si>
  <si>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</si>
  <si>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</si>
  <si>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</si>
  <si>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</si>
  <si>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</si>
  <si>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</si>
  <si>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</si>
  <si>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</si>
  <si>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</si>
  <si>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</si>
  <si>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</si>
  <si>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</si>
  <si>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</si>
  <si>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</si>
  <si>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</si>
  <si>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</si>
  <si>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</si>
  <si>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</si>
  <si>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</si>
  <si>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</si>
  <si>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</si>
  <si>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</si>
  <si>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</si>
  <si>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</si>
  <si>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</si>
  <si>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</si>
  <si>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</si>
  <si>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</si>
  <si>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</si>
  <si>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</si>
  <si>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</si>
  <si>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</si>
  <si>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</si>
  <si>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</si>
  <si>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</si>
  <si>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</si>
  <si>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</si>
  <si>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</si>
  <si>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</si>
  <si>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</si>
  <si>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</si>
  <si>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</si>
  <si>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</si>
  <si>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</si>
  <si>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</si>
  <si>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</si>
  <si>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</si>
  <si>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</si>
  <si>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</si>
  <si>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</si>
  <si>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</si>
  <si>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</si>
  <si>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</si>
  <si>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</si>
  <si>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</si>
  <si>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</si>
  <si>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</si>
  <si>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</si>
  <si>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</si>
  <si>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</si>
  <si>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</si>
  <si>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</si>
  <si>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</si>
  <si>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</si>
  <si>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</si>
  <si>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</si>
  <si>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</si>
  <si>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</si>
  <si>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</si>
  <si>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</si>
  <si>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</si>
  <si>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</si>
  <si>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</si>
  <si>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</si>
  <si>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</si>
  <si>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</si>
  <si>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</si>
  <si>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</si>
  <si>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</si>
  <si>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</si>
  <si>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</si>
  <si>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</si>
  <si>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</si>
  <si>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</si>
  <si>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</si>
  <si>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</si>
  <si>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</si>
  <si>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</si>
  <si>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</si>
  <si>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</si>
  <si>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</si>
  <si>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</si>
  <si>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</si>
  <si>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</si>
  <si>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</si>
  <si>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</si>
  <si>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</si>
  <si>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</si>
  <si>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</si>
  <si>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</si>
  <si>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</si>
  <si>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</si>
  <si>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</si>
  <si>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</si>
  <si>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</si>
  <si>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</si>
  <si>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</si>
  <si>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</si>
  <si>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</si>
  <si>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</si>
  <si>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</si>
  <si>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</si>
  <si>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</si>
  <si>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</si>
  <si>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</si>
  <si>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</si>
  <si>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</si>
  <si>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</si>
  <si>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</si>
  <si>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</si>
  <si>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</si>
  <si>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</si>
  <si>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</si>
  <si>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</si>
  <si>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</si>
  <si>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</si>
  <si>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</si>
  <si>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</si>
  <si>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</si>
  <si>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</si>
  <si>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</si>
  <si>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</si>
  <si>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</si>
  <si>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</si>
  <si>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</si>
  <si>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</si>
  <si>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</si>
  <si>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</si>
  <si>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</si>
  <si>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</si>
  <si>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</si>
  <si>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</si>
  <si>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</si>
  <si>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</si>
  <si>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</si>
  <si>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</si>
  <si>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</si>
  <si>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</si>
  <si>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</si>
  <si>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</si>
  <si>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</si>
  <si>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</si>
  <si>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</si>
  <si>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</si>
  <si>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</si>
  <si>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</si>
  <si>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</si>
  <si>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</si>
  <si>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</si>
  <si>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</si>
  <si>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</si>
  <si>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</si>
  <si>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</si>
  <si>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</si>
  <si>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</si>
  <si>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</si>
  <si>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</si>
  <si>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</si>
  <si>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</si>
  <si>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</si>
  <si>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</si>
  <si>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</si>
  <si>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</si>
  <si>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</si>
  <si>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</si>
  <si>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</si>
  <si>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</si>
  <si>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</si>
  <si>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</si>
  <si>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</si>
  <si>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</si>
  <si>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</si>
  <si>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</si>
  <si>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</si>
  <si>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</si>
  <si>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</si>
  <si>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</si>
  <si>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</si>
  <si>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</si>
  <si>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</si>
  <si>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</si>
  <si>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</si>
  <si>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</si>
  <si>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</si>
  <si>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</si>
  <si>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</si>
  <si>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</si>
  <si>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</si>
  <si>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</si>
  <si>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</si>
  <si>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</si>
  <si>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</si>
  <si>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</si>
  <si>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</si>
  <si>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</si>
  <si>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</si>
  <si>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</si>
  <si>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</si>
  <si>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</si>
  <si>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</si>
  <si>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</si>
  <si>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</si>
  <si>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</si>
  <si>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</si>
  <si>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</si>
  <si>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</si>
  <si>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</si>
  <si>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</si>
  <si>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</si>
  <si>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</si>
  <si>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</si>
  <si>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</si>
  <si>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</si>
  <si>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</si>
  <si>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</si>
  <si>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</si>
  <si>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</si>
  <si>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</si>
  <si>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</si>
  <si>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</si>
  <si>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</si>
  <si>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</si>
  <si>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</si>
  <si>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</si>
  <si>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</si>
  <si>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</si>
  <si>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</si>
  <si>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</si>
  <si>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</si>
  <si>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</si>
  <si>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</si>
  <si>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</si>
  <si>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</si>
  <si>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</si>
  <si>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</si>
  <si>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</si>
  <si>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</si>
  <si>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</si>
  <si>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</si>
  <si>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</si>
  <si>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</si>
  <si>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</si>
  <si>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</si>
  <si>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</si>
  <si>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</si>
  <si>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</si>
  <si>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</si>
  <si>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</si>
  <si>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</si>
  <si>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</si>
  <si>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</si>
  <si>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</si>
  <si>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</si>
  <si>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</si>
  <si>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</si>
  <si>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</si>
  <si>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</si>
  <si>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</si>
  <si>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</si>
  <si>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</si>
  <si>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</si>
  <si>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</si>
  <si>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</si>
  <si>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</si>
  <si>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</si>
  <si>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</si>
  <si>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</si>
  <si>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</si>
  <si>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</si>
  <si>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</si>
  <si>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</si>
  <si>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</si>
  <si>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</si>
  <si>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</si>
  <si>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</si>
  <si>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</si>
  <si>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</si>
  <si>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</si>
  <si>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</si>
  <si>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</si>
  <si>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</si>
  <si>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</si>
  <si>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</si>
  <si>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</si>
  <si>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</si>
  <si>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</si>
  <si>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</si>
  <si>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</si>
  <si>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</si>
  <si>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</si>
  <si>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</si>
  <si>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</si>
  <si>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</si>
  <si>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</si>
  <si>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</si>
  <si>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</si>
  <si>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</si>
  <si>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</si>
  <si>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</si>
  <si>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</si>
  <si>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</si>
  <si>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</si>
  <si>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</si>
  <si>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</si>
  <si>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</si>
  <si>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</si>
  <si>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</si>
  <si>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</si>
  <si>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</si>
  <si>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</si>
  <si>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</si>
  <si>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</si>
  <si>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</si>
  <si>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</si>
  <si>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</si>
  <si>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</si>
  <si>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</si>
  <si>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</si>
  <si>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</si>
  <si>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</si>
  <si>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</si>
  <si>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</si>
  <si>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</si>
  <si>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</si>
  <si>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</si>
  <si>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</si>
  <si>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</si>
  <si>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</si>
  <si>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</si>
  <si>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</si>
  <si>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</si>
  <si>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</si>
  <si>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</si>
  <si>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</si>
  <si>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</si>
  <si>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</si>
  <si>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</si>
  <si>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</si>
  <si>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</si>
  <si>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</si>
  <si>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</si>
  <si>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</si>
  <si>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</si>
  <si>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</si>
  <si>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</si>
  <si>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</si>
  <si>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</si>
  <si>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</si>
  <si>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</si>
  <si>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</si>
  <si>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</si>
  <si>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</si>
  <si>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</si>
  <si>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</si>
  <si>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</si>
  <si>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</si>
  <si>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</si>
  <si>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</si>
  <si>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</si>
  <si>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</si>
  <si>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</si>
  <si>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</si>
  <si>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</si>
  <si>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</si>
  <si>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</si>
  <si>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</si>
  <si>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</si>
  <si>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</si>
  <si>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</si>
  <si>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</si>
  <si>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</si>
  <si>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</si>
  <si>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</si>
  <si>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</si>
  <si>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</si>
  <si>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</si>
  <si>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</si>
  <si>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</si>
  <si>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</si>
  <si>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</si>
  <si>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</si>
  <si>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</si>
  <si>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</si>
  <si>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</si>
  <si>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</si>
  <si>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</si>
  <si>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</si>
  <si>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</si>
  <si>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</si>
  <si>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</si>
  <si>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</si>
  <si>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</si>
  <si>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</si>
  <si>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</si>
  <si>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</si>
  <si>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</si>
  <si>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</si>
  <si>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</si>
  <si>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</si>
  <si>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</si>
  <si>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</si>
  <si>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</si>
  <si>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</si>
  <si>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</si>
  <si>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</si>
  <si>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</si>
  <si>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</si>
  <si>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</si>
  <si>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</si>
  <si>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</si>
  <si>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</si>
  <si>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</si>
  <si>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</si>
  <si>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</si>
  <si>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</si>
  <si>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</si>
  <si>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</si>
  <si>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</si>
  <si>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</si>
  <si>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</si>
  <si>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</si>
  <si>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</si>
  <si>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</si>
  <si>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</si>
  <si>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</si>
  <si>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</si>
  <si>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</si>
  <si>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</si>
  <si>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</si>
  <si>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</si>
  <si>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</si>
  <si>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</si>
  <si>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</si>
  <si>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</si>
  <si>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</si>
  <si>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</si>
  <si>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</si>
  <si>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</si>
  <si>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</si>
  <si>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</si>
  <si>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</si>
  <si>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</si>
  <si>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</si>
  <si>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</si>
  <si>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</si>
  <si>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</si>
  <si>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</si>
  <si>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</si>
  <si>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</si>
  <si>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</si>
  <si>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</si>
  <si>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</si>
  <si>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</si>
  <si>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</si>
  <si>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</si>
  <si>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</si>
  <si>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</si>
  <si>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</si>
  <si>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</si>
  <si>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</si>
  <si>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</si>
  <si>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</si>
  <si>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</si>
  <si>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</si>
  <si>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</si>
  <si>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</si>
  <si>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</si>
  <si>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</si>
  <si>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</si>
  <si>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</si>
  <si>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</si>
  <si>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</si>
  <si>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</si>
  <si>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</si>
  <si>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</si>
  <si>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</si>
  <si>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</si>
  <si>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</si>
  <si>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</si>
  <si>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</si>
  <si>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</si>
  <si>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</si>
  <si>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</si>
  <si>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</si>
  <si>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</si>
  <si>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</si>
  <si>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</si>
  <si>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</si>
  <si>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</si>
  <si>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</si>
  <si>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</si>
  <si>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</si>
  <si>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</si>
  <si>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</si>
  <si>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</si>
  <si>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</si>
  <si>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</si>
  <si>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</si>
  <si>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</si>
  <si>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</si>
  <si>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</si>
  <si>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</si>
  <si>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</si>
  <si>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</si>
  <si>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</si>
  <si>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</si>
  <si>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</si>
  <si>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</si>
  <si>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</si>
  <si>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</si>
  <si>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</si>
  <si>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</si>
  <si>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</si>
  <si>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</si>
  <si>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</si>
  <si>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</si>
  <si>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</si>
  <si>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</si>
  <si>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</si>
  <si>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</si>
  <si>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</si>
  <si>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</si>
  <si>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</si>
  <si>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</si>
  <si>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</si>
  <si>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</si>
  <si>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</si>
  <si>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</si>
  <si>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</si>
  <si>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</si>
  <si>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</si>
  <si>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</si>
  <si>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</si>
  <si>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</si>
  <si>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</si>
  <si>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</si>
  <si>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</si>
  <si>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</si>
  <si>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</si>
  <si>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</si>
  <si>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</si>
  <si>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</si>
  <si>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</si>
  <si>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</si>
  <si>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</si>
  <si>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</si>
  <si>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</si>
  <si>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</si>
  <si>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</si>
  <si>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</si>
  <si>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</si>
  <si>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</si>
  <si>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</si>
  <si>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</si>
  <si>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</si>
  <si>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</si>
  <si>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</si>
  <si>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</si>
  <si>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</si>
  <si>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</si>
  <si>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</si>
  <si>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</si>
  <si>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</si>
  <si>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</si>
  <si>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</si>
  <si>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</si>
  <si>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</si>
  <si>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</si>
  <si>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</si>
  <si>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</si>
  <si>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</si>
  <si>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</si>
  <si>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</si>
  <si>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</si>
  <si>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</si>
  <si>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</si>
  <si>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</si>
  <si>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</si>
  <si>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</si>
  <si>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</si>
  <si>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</si>
  <si>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</si>
  <si>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</si>
  <si>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</si>
  <si>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</si>
  <si>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</si>
  <si>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</si>
  <si>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</si>
  <si>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</si>
  <si>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</si>
  <si>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</si>
  <si>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</si>
  <si>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</si>
  <si>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</si>
  <si>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</si>
  <si>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</si>
  <si>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</si>
  <si>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</si>
  <si>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</si>
  <si>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</si>
  <si>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</si>
  <si>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</si>
  <si>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</si>
  <si>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</si>
  <si>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</si>
  <si>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</si>
  <si>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</si>
  <si>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</si>
  <si>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</si>
  <si>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</si>
  <si>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</si>
  <si>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</si>
  <si>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</si>
  <si>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</si>
  <si>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</si>
  <si>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</si>
  <si>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</si>
  <si>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</si>
  <si>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</si>
  <si>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</si>
  <si>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</si>
  <si>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</si>
  <si>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</si>
  <si>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</si>
  <si>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</si>
  <si>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</si>
  <si>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</si>
  <si>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</si>
  <si>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</si>
  <si>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</si>
  <si>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</si>
  <si>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</si>
  <si>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</si>
  <si>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</si>
  <si>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</si>
  <si>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</si>
  <si>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</si>
  <si>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</si>
  <si>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</si>
  <si>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</si>
  <si>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</si>
  <si>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</si>
  <si>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</si>
  <si>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</si>
  <si>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</si>
  <si>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</si>
  <si>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</si>
  <si>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</si>
  <si>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</si>
  <si>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</si>
  <si>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</si>
  <si>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</si>
  <si>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</si>
  <si>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</si>
  <si>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</si>
  <si>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</si>
  <si>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</si>
  <si>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</si>
  <si>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</si>
  <si>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</si>
  <si>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</si>
  <si>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</si>
  <si>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</si>
  <si>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</si>
  <si>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</si>
  <si>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</si>
  <si>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</si>
  <si>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</si>
  <si>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</si>
  <si>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</si>
  <si>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</si>
  <si>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</si>
  <si>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</si>
  <si>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</si>
  <si>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</si>
  <si>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</si>
  <si>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</si>
  <si>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</si>
  <si>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</si>
  <si>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</si>
  <si>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</si>
  <si>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</si>
  <si>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</si>
  <si>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</si>
  <si>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</si>
  <si>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</si>
  <si>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</si>
  <si>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</si>
  <si>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</si>
  <si>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</si>
  <si>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</si>
  <si>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</si>
  <si>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</si>
  <si>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</si>
  <si>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</si>
  <si>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</si>
  <si>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</si>
  <si>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</si>
  <si>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</si>
  <si>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</si>
  <si>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</si>
  <si>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</si>
  <si>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</si>
  <si>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</si>
  <si>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</si>
  <si>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</si>
  <si>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</si>
  <si>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</si>
  <si>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</si>
  <si>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</si>
  <si>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</si>
  <si>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</si>
  <si>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</si>
  <si>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</si>
  <si>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</si>
  <si>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</si>
  <si>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</si>
  <si>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</si>
  <si>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</si>
  <si>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</si>
  <si>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</si>
  <si>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</si>
  <si>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</si>
  <si>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</si>
  <si>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</si>
  <si>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</si>
  <si>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</si>
  <si>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</si>
  <si>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</si>
  <si>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</si>
  <si>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</si>
  <si>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</si>
  <si>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</si>
  <si>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</si>
  <si>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</si>
  <si>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</si>
  <si>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</si>
  <si>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</si>
  <si>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</si>
  <si>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</si>
  <si>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</si>
  <si>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</si>
  <si>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</si>
  <si>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</si>
  <si>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</si>
  <si>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</si>
  <si>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</si>
  <si>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</si>
  <si>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</si>
  <si>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</si>
  <si>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</si>
  <si>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</si>
  <si>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</si>
  <si>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</si>
  <si>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</si>
  <si>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</si>
  <si>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</si>
  <si>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</si>
  <si>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</si>
  <si>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</si>
  <si>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</si>
  <si>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</si>
  <si>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</si>
  <si>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</si>
  <si>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</si>
  <si>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</si>
  <si>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</si>
  <si>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</si>
  <si>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</si>
  <si>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</si>
  <si>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</si>
  <si>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</si>
  <si>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</si>
  <si>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</si>
  <si>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</si>
  <si>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</si>
  <si>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</si>
  <si>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</si>
  <si>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</si>
  <si>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</si>
  <si>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</si>
  <si>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</si>
  <si>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</si>
  <si>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</si>
  <si>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</si>
  <si>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</si>
  <si>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</si>
  <si>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</si>
  <si>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</si>
  <si>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</si>
  <si>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</si>
  <si>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</si>
  <si>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</si>
  <si>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</si>
  <si>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</si>
  <si>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</si>
  <si>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</si>
  <si>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</si>
  <si>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</si>
  <si>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</si>
  <si>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</si>
  <si>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</si>
  <si>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</si>
  <si>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</si>
  <si>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</si>
  <si>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</si>
  <si>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</si>
  <si>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</si>
  <si>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</si>
  <si>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</si>
  <si>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</si>
  <si>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</si>
  <si>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</si>
  <si>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</si>
  <si>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</si>
  <si>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</si>
  <si>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</si>
  <si>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</si>
  <si>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</si>
  <si>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</si>
  <si>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</si>
  <si>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</si>
  <si>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</si>
  <si>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</si>
  <si>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</si>
  <si>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</si>
  <si>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</si>
  <si>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</si>
  <si>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</si>
  <si>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</si>
  <si>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</si>
  <si>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</si>
  <si>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</si>
  <si>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</si>
  <si>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</si>
  <si>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</si>
  <si>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</si>
  <si>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</si>
  <si>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</si>
  <si>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</si>
  <si>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</si>
  <si>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</si>
  <si>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</si>
  <si>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</si>
  <si>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</si>
  <si>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</si>
  <si>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</si>
  <si>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</si>
  <si>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</si>
  <si>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</si>
  <si>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</si>
  <si>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</si>
  <si>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</si>
  <si>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</si>
  <si>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</si>
  <si>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</si>
  <si>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</si>
  <si>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</si>
  <si>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</si>
  <si>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</si>
  <si>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</si>
  <si>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</si>
  <si>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</si>
  <si>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</si>
  <si>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</si>
  <si>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</si>
  <si>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</si>
  <si>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</si>
  <si>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</si>
  <si>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</si>
  <si>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</si>
  <si>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</si>
  <si>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</si>
  <si>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</si>
  <si>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</si>
  <si>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</si>
  <si>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</si>
  <si>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</si>
  <si>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</si>
  <si>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</si>
  <si>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</si>
  <si>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</si>
  <si>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</si>
  <si>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</si>
  <si>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</si>
  <si>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</si>
  <si>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</si>
  <si>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</si>
  <si>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</si>
  <si>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</si>
  <si>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</si>
  <si>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</si>
  <si>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</si>
  <si>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</si>
  <si>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</si>
  <si>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</si>
  <si>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</si>
  <si>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</si>
  <si>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</si>
  <si>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</si>
  <si>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</si>
  <si>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</si>
  <si>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</si>
  <si>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</si>
  <si>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</si>
  <si>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</si>
  <si>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</si>
  <si>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</si>
  <si>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</si>
  <si>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</si>
  <si>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</si>
  <si>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</si>
  <si>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</si>
  <si>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</si>
  <si>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</si>
  <si>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</si>
  <si>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</si>
  <si>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</si>
  <si>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</si>
  <si>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</si>
  <si>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</si>
  <si>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</si>
  <si>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</si>
  <si>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</si>
  <si>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</si>
  <si>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</si>
  <si>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</si>
  <si>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</si>
  <si>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</si>
  <si>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</si>
  <si>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</si>
  <si>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</si>
  <si>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</si>
  <si>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</si>
  <si>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</si>
  <si>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</si>
  <si>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</si>
  <si>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</si>
  <si>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</si>
  <si>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</si>
  <si>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</si>
  <si>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</si>
  <si>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</si>
  <si>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</si>
  <si>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</si>
  <si>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</si>
  <si>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</si>
  <si>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</si>
  <si>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</si>
  <si>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</si>
  <si>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</si>
  <si>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</si>
  <si>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</si>
  <si>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</si>
  <si>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</si>
  <si>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</si>
  <si>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</si>
  <si>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</si>
  <si>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</si>
  <si>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</si>
  <si>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</si>
  <si>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</si>
  <si>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</si>
  <si>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</si>
  <si>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</si>
  <si>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</si>
  <si>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</si>
  <si>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</si>
  <si>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</si>
  <si>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</si>
  <si>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</si>
  <si>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</si>
  <si>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</si>
  <si>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</si>
  <si>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</si>
  <si>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</si>
  <si>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</si>
  <si>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</si>
  <si>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</si>
  <si>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</si>
  <si>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</si>
  <si>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</si>
  <si>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</si>
  <si>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</si>
  <si>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</si>
  <si>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</si>
  <si>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</si>
  <si>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</si>
  <si>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</si>
  <si>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</si>
  <si>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</si>
  <si>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</si>
  <si>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</si>
  <si>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</si>
  <si>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</si>
  <si>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</si>
  <si>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</si>
  <si>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</si>
  <si>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</si>
  <si>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</si>
  <si>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</si>
  <si>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</si>
  <si>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</si>
  <si>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</si>
  <si>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</si>
  <si>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</si>
  <si>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</si>
  <si>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</si>
  <si>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</si>
  <si>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</si>
  <si>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</si>
  <si>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</si>
  <si>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</si>
  <si>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</si>
  <si>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</si>
  <si>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</si>
  <si>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</si>
  <si>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</si>
  <si>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</si>
  <si>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</si>
  <si>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</si>
  <si>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</si>
  <si>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</si>
  <si>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</si>
  <si>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</si>
  <si>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</si>
  <si>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</si>
  <si>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</si>
  <si>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</si>
  <si>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</si>
  <si>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</si>
  <si>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</si>
  <si>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</si>
  <si>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</si>
  <si>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</si>
  <si>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</si>
  <si>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</si>
  <si>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</si>
  <si>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</si>
  <si>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</si>
  <si>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</si>
  <si>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</si>
  <si>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</si>
  <si>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</si>
  <si>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</si>
  <si>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</si>
  <si>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</si>
  <si>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</si>
  <si>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</si>
  <si>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</si>
  <si>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</si>
  <si>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</si>
  <si>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</si>
  <si>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</si>
  <si>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</si>
  <si>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</si>
  <si>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</si>
  <si>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</si>
  <si>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</si>
  <si>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</si>
  <si>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</si>
  <si>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</si>
  <si>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</si>
  <si>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</si>
  <si>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</si>
  <si>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</si>
  <si>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</si>
  <si>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</si>
  <si>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</si>
  <si>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</si>
  <si>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</si>
  <si>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</si>
  <si>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</si>
  <si>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</si>
  <si>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</si>
  <si>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</si>
  <si>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</si>
  <si>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</si>
  <si>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</si>
  <si>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</si>
  <si>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</si>
  <si>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</si>
  <si>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</si>
  <si>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</si>
  <si>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</si>
  <si>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</si>
  <si>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</si>
  <si>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</si>
  <si>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</si>
  <si>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</si>
  <si>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</si>
  <si>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</si>
  <si>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</si>
  <si>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</si>
  <si>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</si>
  <si>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</si>
  <si>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</si>
  <si>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</si>
  <si>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</si>
  <si>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</si>
  <si>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</si>
  <si>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</si>
  <si>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</si>
  <si>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</si>
  <si>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</si>
  <si>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</si>
  <si>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</si>
  <si>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</si>
  <si>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</si>
  <si>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</si>
  <si>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</si>
  <si>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</si>
  <si>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</si>
  <si>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</si>
  <si>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</si>
  <si>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</si>
  <si>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</si>
  <si>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</si>
  <si>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</si>
  <si>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</si>
  <si>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</si>
  <si>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</si>
  <si>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</si>
  <si>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</si>
  <si>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</si>
  <si>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</si>
  <si>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</si>
  <si>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</si>
  <si>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</si>
  <si>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</si>
  <si>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</si>
  <si>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</si>
  <si>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</si>
  <si>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</si>
  <si>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</si>
  <si>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</si>
  <si>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</si>
  <si>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</si>
  <si>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</si>
  <si>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</si>
  <si>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</si>
  <si>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</si>
  <si>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</si>
  <si>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</si>
  <si>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</si>
  <si>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</si>
  <si>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</si>
  <si>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</si>
  <si>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</si>
  <si>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</si>
  <si>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</si>
  <si>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</si>
  <si>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</si>
  <si>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</si>
  <si>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</si>
  <si>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</si>
  <si>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</si>
  <si>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</si>
  <si>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</si>
  <si>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</si>
  <si>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</si>
  <si>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</si>
  <si>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</si>
  <si>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</si>
  <si>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</si>
  <si>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</si>
  <si>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</si>
  <si>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</si>
  <si>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</si>
  <si>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</si>
  <si>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</si>
  <si>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</si>
  <si>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</si>
  <si>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</si>
  <si>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</si>
  <si>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</si>
  <si>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</si>
  <si>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</si>
  <si>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</si>
  <si>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</si>
  <si>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</si>
  <si>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</si>
  <si>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</si>
  <si>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</si>
  <si>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</si>
  <si>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</si>
  <si>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</si>
  <si>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</si>
  <si>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</si>
  <si>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</si>
  <si>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</si>
  <si>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</si>
  <si>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</si>
  <si>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</si>
  <si>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</si>
  <si>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</si>
  <si>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</si>
  <si>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</si>
  <si>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</si>
  <si>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</si>
  <si>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</si>
  <si>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</si>
  <si>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</si>
  <si>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</si>
  <si>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</si>
  <si>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</si>
  <si>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</si>
  <si>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</si>
  <si>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</si>
  <si>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</si>
  <si>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</si>
  <si>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</si>
  <si>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</si>
  <si>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</si>
  <si>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</si>
  <si>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</si>
  <si>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</si>
  <si>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</si>
  <si>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</si>
  <si>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</si>
  <si>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</si>
  <si>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</si>
  <si>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</si>
  <si>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</si>
  <si>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</si>
  <si>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</si>
  <si>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</si>
  <si>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</si>
  <si>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</si>
  <si>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</si>
  <si>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</si>
  <si>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</si>
  <si>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</si>
  <si>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</si>
  <si>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</si>
  <si>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</si>
  <si>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</si>
  <si>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</si>
  <si>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</si>
  <si>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</si>
  <si>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</si>
  <si>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</si>
  <si>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</si>
  <si>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</si>
  <si>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</si>
  <si>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</si>
  <si>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</si>
  <si>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</si>
  <si>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</si>
  <si>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</si>
  <si>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</si>
  <si>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</si>
  <si>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</si>
  <si>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</si>
  <si>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</si>
  <si>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</si>
  <si>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</si>
  <si>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</si>
  <si>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</si>
  <si>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</si>
  <si>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</si>
  <si>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</si>
  <si>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</si>
  <si>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</si>
  <si>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</si>
  <si>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</si>
  <si>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</si>
  <si>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</si>
  <si>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</si>
  <si>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</si>
  <si>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</si>
  <si>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</si>
  <si>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</si>
  <si>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</si>
  <si>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</si>
  <si>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</si>
  <si>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</si>
  <si>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</si>
  <si>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</si>
  <si>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</si>
  <si>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</si>
  <si>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</si>
  <si>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</si>
  <si>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</si>
  <si>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</si>
  <si>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</si>
  <si>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</si>
  <si>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</si>
  <si>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</si>
  <si>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</si>
  <si>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</si>
  <si>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</si>
  <si>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</si>
  <si>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</si>
  <si>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</si>
  <si>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</si>
  <si>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</si>
  <si>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</si>
  <si>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</si>
  <si>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</si>
  <si>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</si>
  <si>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</si>
  <si>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</si>
  <si>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</si>
  <si>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</si>
  <si>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</si>
  <si>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</si>
  <si>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</si>
  <si>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</si>
  <si>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</si>
  <si>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</si>
  <si>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</si>
  <si>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</si>
  <si>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</si>
  <si>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</si>
  <si>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</si>
  <si>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</si>
  <si>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</si>
  <si>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</si>
  <si>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</si>
  <si>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</si>
  <si>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</si>
  <si>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</si>
  <si>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</si>
  <si>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</si>
  <si>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</si>
  <si>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</si>
  <si>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</si>
  <si>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</si>
  <si>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</si>
  <si>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</si>
  <si>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</si>
  <si>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</si>
  <si>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</si>
  <si>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</si>
  <si>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</si>
  <si>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</si>
  <si>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</si>
  <si>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</si>
  <si>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</si>
  <si>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</si>
  <si>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</si>
  <si>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</si>
  <si>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</si>
  <si>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</si>
  <si>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</si>
  <si>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</si>
  <si>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</si>
  <si>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</si>
  <si>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</si>
  <si>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</si>
  <si>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</si>
  <si>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</si>
  <si>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</si>
  <si>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</si>
  <si>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</si>
  <si>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</si>
  <si>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</si>
  <si>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</si>
  <si>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</si>
  <si>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</si>
  <si>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</si>
  <si>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</si>
  <si>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</si>
  <si>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</si>
  <si>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</si>
  <si>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</si>
  <si>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</si>
  <si>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</si>
  <si>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</si>
  <si>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</si>
  <si>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</si>
  <si>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</si>
  <si>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</si>
  <si>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</si>
  <si>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</si>
  <si>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</si>
  <si>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</si>
  <si>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</si>
  <si>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</si>
  <si>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</si>
  <si>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</si>
  <si>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</si>
  <si>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</si>
  <si>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</si>
  <si>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</si>
  <si>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</si>
  <si>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</si>
  <si>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</si>
  <si>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</si>
  <si>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</si>
  <si>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</si>
  <si>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</si>
  <si>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</si>
  <si>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</si>
  <si>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</si>
  <si>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</si>
  <si>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</si>
  <si>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</si>
  <si>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</si>
  <si>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</si>
  <si>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</si>
  <si>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</si>
  <si>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</si>
  <si>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</si>
  <si>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</si>
  <si>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</si>
  <si>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</si>
  <si>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</si>
  <si>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</si>
  <si>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</si>
  <si>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</si>
  <si>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</si>
  <si>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</si>
  <si>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</si>
  <si>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</si>
  <si>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</si>
  <si>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</si>
  <si>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</si>
  <si>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</si>
  <si>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</si>
  <si>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</si>
  <si>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</si>
  <si>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</si>
  <si>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</si>
  <si>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</si>
  <si>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</si>
  <si>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</si>
  <si>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</si>
  <si>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</si>
  <si>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</si>
  <si>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</si>
  <si>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</si>
  <si>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</si>
  <si>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</si>
  <si>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</si>
  <si>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</si>
  <si>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</si>
  <si>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</si>
  <si>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</si>
  <si>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</si>
  <si>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</si>
  <si>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</si>
  <si>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</si>
  <si>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</si>
  <si>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</si>
  <si>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</si>
  <si>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</si>
  <si>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</si>
  <si>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</si>
  <si>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</si>
  <si>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</si>
  <si>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</si>
  <si>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</si>
  <si>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</si>
  <si>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</si>
  <si>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</si>
  <si>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</si>
  <si>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</si>
  <si>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</si>
  <si>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</si>
  <si>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</si>
  <si>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</si>
  <si>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</si>
  <si>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</si>
  <si>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</si>
  <si>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</si>
  <si>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</si>
  <si>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</si>
  <si>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</si>
  <si>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</si>
  <si>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</si>
  <si>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</si>
  <si>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</si>
  <si>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</si>
  <si>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</si>
  <si>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</si>
  <si>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</si>
  <si>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</si>
  <si>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</si>
  <si>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</si>
  <si>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</si>
  <si>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</si>
  <si>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</si>
  <si>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</si>
  <si>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</si>
  <si>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</si>
  <si>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</si>
  <si>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</si>
  <si>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</si>
  <si>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</si>
  <si>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</si>
  <si>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</si>
  <si>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</si>
  <si>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</si>
  <si>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</si>
  <si>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</si>
  <si>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</si>
  <si>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</si>
  <si>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</si>
  <si>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</si>
  <si>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</si>
  <si>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</si>
  <si>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</si>
  <si>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</si>
  <si>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</si>
  <si>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</si>
  <si>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</si>
  <si>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</si>
  <si>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</si>
  <si>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</si>
  <si>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</si>
  <si>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</si>
  <si>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</si>
  <si>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</si>
  <si>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</si>
  <si>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</si>
  <si>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</si>
  <si>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</si>
  <si>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</si>
  <si>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</si>
  <si>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</si>
  <si>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</si>
  <si>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</si>
  <si>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</si>
  <si>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</si>
  <si>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</si>
  <si>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</si>
  <si>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</si>
  <si>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</si>
  <si>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</si>
  <si>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</si>
  <si>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</si>
  <si>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</si>
  <si>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</si>
  <si>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</si>
  <si>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</si>
  <si>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</si>
  <si>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</si>
  <si>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</si>
  <si>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</si>
  <si>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</si>
  <si>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</si>
  <si>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</si>
  <si>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</si>
  <si>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</si>
  <si>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</si>
  <si>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</si>
  <si>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</si>
  <si>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</si>
  <si>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</si>
  <si>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</si>
  <si>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</si>
  <si>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</si>
  <si>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</si>
  <si>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</si>
  <si>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</si>
  <si>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</si>
  <si>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</si>
  <si>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</si>
  <si>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</si>
  <si>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</si>
  <si>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</si>
  <si>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</si>
  <si>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</si>
  <si>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</si>
  <si>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</si>
  <si>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</si>
  <si>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</si>
  <si>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</si>
  <si>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</si>
  <si>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</si>
  <si>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</si>
  <si>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</si>
  <si>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</si>
  <si>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</si>
  <si>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</si>
  <si>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</si>
  <si>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</si>
  <si>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</si>
  <si>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</si>
  <si>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</si>
  <si>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</si>
  <si>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</si>
  <si>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</si>
  <si>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</si>
  <si>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</si>
  <si>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</si>
  <si>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</si>
  <si>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</si>
  <si>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</si>
  <si>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</si>
  <si>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</si>
  <si>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</si>
  <si>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</si>
  <si>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</si>
  <si>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</si>
  <si>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</si>
  <si>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</si>
  <si>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</si>
  <si>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</si>
  <si>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</si>
  <si>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</si>
  <si>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</si>
  <si>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</si>
  <si>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</si>
  <si>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</si>
  <si>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</si>
  <si>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</si>
  <si>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</si>
  <si>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</si>
  <si>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</si>
  <si>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</si>
  <si>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</si>
  <si>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</si>
  <si>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</si>
  <si>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</si>
  <si>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</si>
  <si>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</si>
  <si>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</si>
  <si>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</si>
  <si>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</si>
  <si>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</si>
  <si>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</si>
  <si>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</si>
  <si>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</si>
  <si>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</si>
  <si>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</si>
  <si>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</si>
  <si>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</si>
  <si>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</si>
  <si>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</si>
  <si>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</si>
  <si>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</si>
  <si>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</si>
  <si>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</si>
  <si>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</si>
  <si>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</si>
  <si>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</si>
  <si>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</si>
  <si>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</si>
  <si>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</si>
  <si>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</si>
  <si>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</si>
  <si>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</si>
  <si>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</si>
  <si>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</si>
  <si>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</si>
  <si>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</si>
  <si>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</si>
  <si>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</si>
  <si>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</si>
  <si>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</si>
  <si>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</si>
  <si>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</si>
  <si>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</si>
  <si>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</si>
  <si>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</si>
  <si>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</si>
  <si>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</si>
  <si>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</si>
  <si>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</si>
  <si>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</si>
  <si>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</si>
  <si>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</si>
  <si>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</si>
  <si>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</si>
  <si>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</si>
  <si>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</si>
  <si>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</si>
  <si>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</si>
  <si>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</si>
  <si>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</si>
  <si>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</si>
  <si>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</si>
  <si>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</si>
  <si>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</si>
  <si>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</si>
  <si>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</si>
  <si>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</si>
  <si>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</si>
  <si>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</si>
  <si>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</si>
  <si>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</si>
  <si>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</si>
  <si>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</si>
  <si>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</si>
  <si>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</si>
  <si>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</si>
  <si>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</si>
  <si>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</si>
  <si>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</si>
  <si>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</si>
  <si>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</si>
  <si>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</si>
  <si>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</si>
  <si>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</si>
  <si>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</si>
  <si>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</si>
  <si>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</si>
  <si>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</si>
  <si>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</si>
  <si>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</si>
  <si>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</si>
  <si>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</si>
  <si>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</si>
  <si>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</si>
  <si>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</si>
  <si>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</si>
  <si>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</si>
  <si>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</si>
  <si>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</si>
  <si>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</si>
  <si>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</si>
  <si>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</si>
  <si>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</si>
  <si>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</si>
  <si>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</si>
  <si>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</si>
  <si>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</si>
  <si>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</si>
  <si>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</si>
  <si>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</si>
  <si>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</si>
  <si>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</si>
  <si>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</si>
  <si>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</si>
  <si>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</si>
  <si>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</si>
  <si>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</si>
  <si>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</si>
  <si>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</si>
  <si>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</si>
  <si>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</si>
  <si>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</si>
  <si>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</si>
  <si>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</si>
  <si>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</si>
  <si>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</si>
  <si>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</si>
  <si>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</si>
  <si>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</si>
  <si>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</si>
  <si>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</si>
  <si>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</si>
  <si>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</si>
  <si>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</si>
  <si>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</si>
  <si>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</si>
  <si>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</si>
  <si>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</si>
  <si>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</si>
  <si>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</si>
  <si>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</si>
  <si>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</si>
  <si>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</si>
  <si>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</si>
  <si>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</si>
  <si>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</si>
  <si>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</si>
  <si>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</si>
  <si>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</si>
  <si>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</si>
  <si>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</si>
  <si>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</si>
  <si>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</si>
  <si>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</si>
  <si>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</si>
  <si>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</si>
  <si>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</si>
  <si>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</si>
  <si>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</si>
  <si>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</si>
  <si>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</si>
  <si>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</si>
  <si>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</si>
  <si>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</si>
  <si>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</si>
  <si>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</si>
  <si>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</si>
  <si>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</si>
  <si>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</si>
  <si>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</si>
  <si>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</si>
  <si>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</si>
  <si>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</si>
  <si>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</si>
  <si>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</si>
  <si>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</si>
  <si>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</si>
  <si>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</si>
  <si>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</si>
  <si>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</si>
  <si>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</si>
  <si>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</si>
  <si>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</si>
  <si>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</si>
  <si>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</si>
  <si>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</si>
  <si>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</si>
  <si>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</si>
  <si>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</si>
  <si>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</si>
  <si>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</si>
  <si>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</si>
  <si>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</si>
  <si>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</si>
  <si>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</si>
  <si>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</si>
  <si>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</si>
  <si>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</si>
  <si>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</si>
  <si>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</si>
  <si>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</si>
  <si>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</si>
  <si>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</si>
  <si>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</si>
  <si>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</si>
  <si>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</si>
  <si>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</si>
  <si>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</si>
  <si>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</si>
  <si>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</si>
  <si>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</si>
  <si>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</si>
  <si>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</si>
  <si>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</si>
  <si>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</si>
  <si>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</si>
  <si>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</si>
  <si>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</si>
  <si>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</si>
  <si>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</si>
  <si>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</si>
  <si>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</si>
  <si>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</si>
  <si>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</si>
  <si>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</si>
  <si>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</si>
  <si>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</si>
  <si>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</si>
  <si>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</si>
  <si>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</si>
  <si>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</si>
  <si>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</si>
  <si>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</si>
  <si>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</si>
  <si>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</si>
  <si>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</si>
  <si>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</si>
  <si>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</si>
  <si>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</si>
  <si>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</si>
  <si>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</si>
  <si>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</si>
  <si>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</si>
  <si>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</si>
  <si>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</si>
  <si>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</si>
  <si>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</si>
  <si>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</si>
  <si>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</si>
  <si>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</si>
  <si>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</si>
  <si>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</si>
  <si>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</si>
  <si>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</si>
  <si>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</si>
  <si>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</si>
  <si>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</si>
  <si>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</si>
  <si>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</si>
  <si>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</si>
  <si>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</si>
  <si>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</si>
  <si>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</si>
  <si>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</si>
  <si>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</si>
  <si>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</si>
  <si>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</si>
  <si>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</si>
  <si>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</si>
  <si>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</si>
  <si>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</si>
  <si>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</si>
  <si>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</si>
  <si>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</si>
  <si>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</si>
  <si>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</si>
  <si>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</si>
  <si>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</si>
  <si>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</si>
  <si>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</si>
  <si>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</si>
  <si>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</si>
  <si>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</si>
  <si>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</si>
  <si>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</si>
  <si>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</si>
  <si>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</si>
  <si>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</si>
  <si>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</si>
  <si>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</si>
  <si>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</si>
  <si>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</si>
  <si>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</si>
  <si>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</si>
  <si>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</si>
  <si>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</si>
  <si>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</si>
  <si>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</si>
  <si>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</si>
  <si>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</si>
  <si>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</si>
  <si>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</si>
  <si>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</si>
  <si>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</si>
  <si>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</si>
  <si>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</si>
  <si>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</si>
  <si>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</si>
  <si>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</si>
  <si>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</si>
  <si>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</si>
  <si>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</si>
  <si>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</si>
  <si>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</si>
  <si>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</si>
  <si>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</si>
  <si>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</si>
  <si>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</si>
  <si>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</si>
  <si>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</si>
  <si>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</si>
  <si>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</si>
  <si>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</si>
  <si>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</si>
  <si>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</si>
  <si>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</si>
  <si>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</si>
  <si>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</si>
  <si>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</si>
  <si>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</si>
  <si>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</si>
  <si>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</si>
  <si>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</si>
  <si>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</si>
  <si>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</si>
  <si>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</si>
  <si>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</si>
  <si>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</si>
  <si>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</si>
  <si>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</si>
  <si>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</si>
  <si>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</si>
  <si>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</si>
  <si>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</si>
  <si>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</si>
  <si>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</si>
  <si>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</si>
  <si>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</si>
  <si>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</si>
  <si>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</si>
  <si>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</si>
  <si>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</si>
  <si>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</si>
  <si>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</si>
  <si>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</si>
  <si>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</si>
  <si>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</si>
  <si>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</si>
  <si>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</si>
  <si>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</si>
  <si>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</si>
  <si>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</si>
  <si>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</si>
  <si>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</si>
  <si>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</si>
  <si>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</si>
  <si>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</si>
  <si>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</si>
  <si>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</si>
  <si>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</si>
  <si>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</si>
  <si>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</si>
  <si>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</si>
  <si>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</si>
  <si>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</si>
  <si>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</si>
  <si>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</si>
  <si>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</si>
  <si>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</si>
  <si>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</si>
  <si>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</si>
  <si>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</si>
  <si>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</si>
  <si>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</si>
  <si>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</si>
  <si>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</si>
  <si>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</si>
  <si>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</si>
  <si>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</si>
  <si>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</si>
  <si>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</si>
  <si>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</si>
  <si>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</si>
  <si>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</si>
  <si>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</si>
  <si>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</si>
  <si>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</si>
  <si>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</si>
  <si>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</si>
  <si>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</si>
  <si>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</si>
  <si>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</si>
  <si>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</si>
  <si>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</si>
  <si>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</si>
  <si>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</si>
  <si>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</si>
  <si>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</si>
  <si>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</si>
  <si>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</si>
  <si>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</si>
  <si>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</si>
  <si>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</si>
  <si>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</si>
  <si>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</si>
  <si>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</si>
  <si>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</si>
  <si>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</si>
  <si>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</si>
  <si>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</si>
  <si>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</si>
  <si>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</si>
  <si>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</si>
  <si>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</si>
  <si>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</si>
  <si>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</si>
  <si>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</si>
  <si>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</si>
  <si>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</si>
  <si>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</si>
  <si>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</si>
  <si>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</si>
  <si>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</si>
  <si>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</si>
  <si>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</si>
  <si>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</si>
  <si>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</si>
  <si>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</si>
  <si>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</si>
  <si>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</si>
  <si>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</si>
  <si>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</si>
  <si>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</si>
  <si>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</si>
  <si>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</si>
  <si>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</si>
  <si>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</si>
  <si>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</si>
  <si>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</si>
  <si>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</si>
  <si>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</si>
  <si>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</si>
  <si>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</si>
  <si>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</si>
  <si>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</si>
  <si>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</si>
  <si>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</si>
  <si>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</si>
  <si>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</si>
  <si>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</si>
  <si>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</si>
  <si>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</si>
  <si>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</si>
  <si>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</si>
  <si>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</si>
  <si>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</si>
  <si>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</si>
  <si>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</si>
  <si>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</si>
  <si>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</si>
  <si>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</si>
  <si>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</si>
  <si>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</si>
  <si>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</si>
  <si>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</si>
  <si>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</si>
  <si>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</si>
  <si>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</si>
  <si>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</si>
  <si>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</si>
  <si>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</si>
  <si>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</si>
  <si>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</si>
  <si>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</si>
  <si>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</si>
  <si>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</si>
  <si>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</si>
  <si>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</si>
  <si>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</si>
  <si>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</si>
  <si>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</si>
  <si>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</si>
  <si>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</si>
  <si>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</si>
  <si>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</si>
  <si>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</si>
  <si>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</si>
  <si>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</si>
  <si>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</si>
  <si>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</si>
  <si>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</si>
  <si>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</si>
  <si>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</si>
  <si>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</si>
  <si>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</si>
  <si>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</si>
  <si>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</si>
  <si>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</si>
  <si>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</si>
  <si>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</si>
  <si>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</si>
  <si>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</si>
  <si>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</si>
  <si>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</si>
  <si>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</si>
  <si>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</si>
  <si>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</si>
  <si>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</si>
  <si>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</si>
  <si>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</si>
  <si>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</si>
  <si>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</si>
  <si>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</si>
  <si>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</si>
  <si>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</si>
  <si>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</si>
  <si>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</si>
  <si>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</si>
  <si>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</si>
  <si>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</si>
  <si>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</si>
  <si>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</si>
  <si>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</si>
  <si>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</si>
  <si>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</si>
  <si>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</si>
  <si>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</si>
  <si>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</si>
  <si>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</si>
  <si>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</si>
  <si>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</si>
  <si>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</si>
  <si>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</si>
  <si>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</si>
  <si>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</si>
  <si>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</si>
  <si>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</si>
  <si>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</si>
  <si>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</si>
  <si>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</si>
  <si>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</si>
  <si>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</si>
  <si>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</si>
  <si>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</si>
  <si>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</si>
  <si>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</si>
  <si>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</si>
  <si>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</si>
  <si>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</si>
  <si>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</si>
  <si>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</si>
  <si>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</si>
  <si>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</si>
  <si>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</si>
  <si>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</si>
  <si>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</si>
  <si>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</si>
  <si>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</si>
  <si>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</si>
  <si>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</si>
  <si>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</si>
  <si>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</si>
  <si>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</si>
  <si>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</si>
  <si>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</si>
  <si>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</si>
  <si>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</si>
  <si>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</si>
  <si>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</si>
  <si>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</si>
  <si>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</si>
  <si>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</si>
  <si>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</si>
  <si>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</si>
  <si>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</si>
  <si>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</si>
  <si>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</si>
  <si>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</si>
  <si>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</si>
  <si>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</si>
  <si>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</si>
  <si>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</si>
  <si>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</si>
  <si>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</si>
  <si>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</si>
  <si>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</si>
  <si>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</si>
  <si>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</si>
  <si>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</si>
  <si>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</si>
  <si>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</si>
  <si>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</si>
  <si>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</si>
  <si>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</si>
  <si>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</si>
  <si>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</si>
  <si>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</si>
  <si>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</si>
  <si>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</si>
  <si>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</si>
  <si>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</si>
  <si>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</si>
  <si>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</si>
  <si>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</si>
  <si>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</si>
  <si>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</si>
  <si>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</si>
  <si>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</si>
  <si>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</si>
  <si>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</si>
  <si>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</si>
  <si>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</si>
  <si>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</si>
  <si>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</si>
  <si>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</si>
  <si>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</si>
  <si>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</si>
  <si>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</si>
  <si>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</si>
  <si>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</si>
  <si>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</si>
  <si>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</si>
  <si>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</si>
  <si>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</si>
  <si>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</si>
  <si>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</si>
  <si>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</si>
  <si>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</si>
  <si>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</si>
  <si>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</si>
  <si>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</si>
  <si>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</si>
  <si>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</si>
  <si>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</si>
  <si>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</si>
  <si>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</si>
  <si>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</si>
  <si>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</si>
  <si>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</si>
  <si>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</si>
  <si>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</si>
  <si>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</si>
  <si>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</si>
  <si>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</si>
  <si>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</si>
  <si>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</si>
  <si>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</si>
  <si>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</si>
  <si>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</si>
  <si>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</si>
  <si>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</si>
  <si>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</si>
  <si>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</si>
  <si>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</si>
  <si>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</si>
  <si>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</si>
  <si>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</si>
  <si>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</si>
  <si>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</si>
  <si>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</si>
  <si>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</si>
  <si>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</si>
  <si>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</si>
  <si>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</si>
  <si>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</si>
  <si>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</si>
  <si>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</si>
  <si>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</si>
  <si>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</si>
  <si>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</si>
  <si>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</si>
  <si>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</si>
  <si>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</si>
  <si>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</si>
  <si>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</si>
  <si>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</si>
  <si>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</si>
  <si>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</si>
  <si>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</si>
  <si>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</si>
  <si>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</si>
  <si>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</si>
  <si>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</si>
  <si>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</si>
  <si>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</si>
  <si>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</si>
  <si>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</si>
  <si>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</si>
  <si>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</si>
  <si>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</si>
  <si>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</si>
  <si>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</si>
  <si>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</si>
  <si>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</si>
  <si>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</si>
  <si>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</si>
  <si>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</si>
  <si>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</si>
  <si>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</si>
  <si>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</si>
  <si>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</si>
  <si>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</si>
  <si>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</si>
  <si>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</si>
  <si>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</si>
  <si>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</si>
  <si>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</si>
  <si>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</si>
  <si>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</si>
  <si>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</si>
  <si>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</si>
  <si>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</si>
  <si>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</si>
  <si>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</si>
  <si>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</si>
  <si>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</si>
  <si>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</si>
  <si>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</si>
  <si>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</si>
  <si>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</si>
  <si>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</si>
  <si>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</si>
  <si>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</si>
  <si>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</si>
  <si>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</si>
  <si>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</si>
  <si>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</si>
  <si>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</si>
  <si>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</si>
  <si>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</si>
  <si>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</si>
  <si>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</si>
  <si>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</si>
  <si>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</si>
  <si>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</si>
  <si>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</si>
  <si>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</si>
  <si>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</si>
  <si>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</si>
  <si>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</si>
  <si>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</si>
  <si>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</si>
  <si>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</si>
  <si>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</si>
  <si>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</si>
  <si>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</si>
  <si>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</si>
  <si>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</si>
  <si>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</si>
  <si>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</si>
  <si>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</si>
  <si>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</si>
  <si>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</si>
  <si>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</si>
  <si>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</si>
  <si>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</si>
  <si>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</si>
  <si>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</si>
  <si>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</si>
  <si>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</si>
  <si>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</si>
  <si>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</si>
  <si>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</si>
  <si>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</si>
  <si>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</si>
  <si>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</si>
  <si>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</si>
  <si>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</si>
  <si>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</si>
  <si>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</si>
  <si>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</si>
  <si>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</si>
  <si>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</si>
  <si>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</si>
  <si>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</si>
  <si>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</si>
  <si>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</si>
  <si>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</si>
  <si>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</si>
  <si>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</si>
  <si>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</si>
  <si>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</si>
  <si>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</si>
  <si>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</si>
  <si>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</si>
  <si>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</si>
  <si>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</si>
  <si>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</si>
  <si>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</si>
  <si>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</si>
  <si>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</si>
  <si>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</si>
  <si>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</si>
  <si>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</si>
  <si>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</si>
  <si>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</si>
  <si>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</si>
  <si>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</si>
  <si>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</si>
  <si>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</si>
  <si>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</si>
  <si>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</si>
  <si>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</si>
  <si>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</si>
  <si>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</si>
  <si>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</si>
  <si>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</si>
  <si>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</si>
  <si>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</si>
  <si>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</si>
  <si>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</si>
  <si>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</si>
  <si>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</si>
  <si>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</si>
  <si>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</si>
  <si>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</si>
  <si>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</si>
  <si>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</si>
  <si>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</si>
  <si>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</si>
  <si>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</si>
  <si>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</si>
  <si>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</si>
  <si>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</si>
  <si>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</si>
  <si>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</si>
  <si>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</si>
  <si>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</si>
  <si>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</si>
  <si>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</si>
  <si>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</si>
  <si>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</si>
  <si>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</si>
  <si>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</si>
  <si>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</si>
  <si>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</si>
  <si>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</si>
  <si>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</si>
  <si>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</si>
  <si>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</si>
  <si>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</si>
  <si>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</si>
  <si>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</si>
  <si>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</si>
  <si>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</si>
  <si>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</si>
  <si>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</si>
  <si>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</si>
  <si>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</si>
  <si>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</si>
  <si>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</si>
  <si>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</si>
  <si>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</si>
  <si>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</si>
  <si>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</si>
  <si>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</si>
  <si>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</si>
  <si>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</si>
  <si>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</si>
  <si>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</si>
  <si>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</si>
  <si>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</si>
  <si>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</si>
  <si>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</si>
  <si>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</si>
  <si>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</si>
  <si>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</si>
  <si>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</si>
  <si>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</si>
  <si>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</si>
  <si>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</si>
  <si>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</si>
  <si>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</si>
  <si>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</si>
  <si>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</si>
  <si>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</si>
  <si>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</si>
  <si>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</si>
  <si>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</si>
  <si>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</si>
  <si>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</si>
  <si>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</si>
  <si>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</si>
  <si>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</si>
  <si>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</si>
  <si>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</si>
  <si>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</si>
  <si>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</si>
  <si>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</si>
  <si>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</si>
  <si>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</si>
  <si>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</si>
  <si>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</si>
  <si>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</si>
  <si>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</si>
  <si>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</si>
  <si>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</si>
  <si>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</si>
  <si>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</si>
  <si>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</si>
  <si>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</si>
  <si>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</si>
  <si>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</si>
  <si>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</si>
  <si>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</si>
  <si>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</si>
  <si>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</si>
  <si>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</si>
  <si>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</si>
  <si>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</si>
  <si>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</si>
  <si>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</si>
  <si>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</si>
  <si>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</si>
  <si>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</si>
  <si>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</si>
  <si>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</si>
  <si>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</si>
  <si>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</si>
  <si>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</si>
  <si>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</si>
  <si>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</si>
  <si>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</si>
  <si>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</si>
  <si>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</si>
  <si>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</si>
  <si>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</si>
  <si>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</si>
  <si>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</si>
  <si>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</si>
  <si>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</si>
  <si>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</si>
  <si>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</si>
  <si>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</si>
  <si>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</si>
  <si>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</si>
  <si>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</si>
  <si>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</si>
  <si>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</si>
  <si>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</si>
  <si>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</si>
  <si>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</si>
  <si>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</si>
  <si>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</si>
  <si>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</si>
  <si>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</si>
  <si>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</si>
  <si>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</si>
  <si>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</si>
  <si>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</si>
  <si>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</si>
  <si>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</si>
  <si>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</si>
  <si>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</si>
  <si>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</si>
  <si>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</si>
  <si>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</si>
  <si>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</si>
  <si>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</si>
  <si>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</si>
  <si>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</si>
  <si>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</si>
  <si>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</si>
  <si>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</si>
  <si>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</si>
  <si>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</si>
  <si>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</si>
  <si>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</si>
  <si>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</si>
  <si>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</si>
  <si>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</si>
  <si>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</si>
  <si>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</si>
  <si>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</si>
  <si>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</si>
  <si>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</si>
  <si>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</si>
  <si>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</si>
  <si>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</si>
  <si>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</si>
  <si>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</si>
  <si>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</si>
  <si>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</si>
  <si>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</si>
  <si>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</si>
  <si>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</si>
  <si>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</si>
  <si>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</si>
  <si>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</si>
  <si>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</si>
  <si>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</si>
  <si>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</si>
  <si>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</si>
  <si>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</si>
  <si>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</si>
  <si>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</si>
  <si>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</si>
  <si>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</si>
  <si>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</si>
  <si>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</si>
  <si>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</si>
  <si>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</si>
  <si>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</si>
  <si>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</si>
  <si>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</si>
  <si>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</si>
  <si>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</si>
  <si>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</si>
  <si>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</si>
  <si>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</si>
  <si>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</si>
  <si>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</si>
  <si>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</si>
  <si>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</si>
  <si>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</si>
  <si>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</si>
  <si>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</si>
  <si>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</si>
  <si>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</si>
  <si>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</si>
  <si>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</si>
  <si>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</si>
  <si>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</si>
  <si>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</si>
  <si>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</si>
  <si>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</si>
  <si>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</si>
  <si>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</si>
  <si>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</si>
  <si>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</si>
  <si>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</si>
  <si>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</si>
  <si>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</si>
  <si>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</si>
  <si>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</si>
  <si>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</si>
  <si>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</si>
  <si>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</si>
  <si>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</si>
  <si>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</si>
  <si>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</si>
  <si>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</si>
  <si>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</si>
  <si>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</si>
  <si>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</si>
  <si>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</si>
  <si>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</si>
  <si>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</si>
  <si>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</si>
  <si>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</si>
  <si>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</si>
  <si>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</si>
  <si>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</si>
  <si>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</si>
  <si>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</si>
  <si>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</si>
  <si>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</si>
  <si>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</si>
  <si>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</si>
  <si>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</si>
  <si>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</si>
  <si>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</si>
  <si>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</si>
  <si>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</si>
  <si>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</si>
  <si>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</si>
  <si>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</si>
  <si>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</si>
  <si>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</si>
  <si>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</si>
  <si>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</si>
  <si>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</si>
  <si>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</si>
  <si>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</si>
  <si>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</si>
  <si>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</si>
  <si>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</si>
  <si>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</si>
  <si>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</si>
  <si>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</si>
  <si>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</si>
  <si>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</si>
  <si>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</si>
  <si>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</si>
  <si>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</si>
  <si>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</si>
  <si>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</si>
  <si>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</si>
  <si>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</si>
  <si>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</si>
  <si>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</si>
  <si>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</si>
  <si>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</si>
  <si>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</si>
  <si>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</si>
  <si>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</si>
  <si>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</si>
  <si>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</si>
  <si>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</si>
  <si>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</si>
  <si>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</si>
  <si>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</si>
  <si>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</si>
  <si>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</si>
  <si>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</si>
  <si>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</si>
  <si>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</si>
  <si>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</si>
  <si>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</si>
  <si>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</si>
  <si>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</si>
  <si>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</si>
  <si>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</si>
  <si>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</si>
  <si>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</si>
  <si>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</si>
  <si>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</si>
  <si>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</si>
  <si>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</si>
  <si>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</si>
  <si>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</si>
  <si>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</si>
  <si>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</si>
  <si>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</si>
  <si>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</si>
  <si>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</si>
  <si>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</si>
  <si>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</si>
  <si>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</si>
  <si>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</si>
  <si>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</si>
  <si>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</si>
  <si>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</si>
  <si>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</si>
  <si>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</si>
  <si>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</si>
  <si>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</si>
  <si>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</si>
  <si>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</si>
  <si>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</si>
  <si>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</si>
  <si>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</si>
  <si>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</si>
  <si>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</si>
  <si>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</si>
  <si>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</si>
  <si>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</si>
  <si>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</si>
  <si>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</si>
  <si>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</si>
  <si>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</si>
  <si>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</si>
  <si>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</si>
  <si>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</si>
  <si>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</si>
  <si>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</si>
  <si>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</si>
  <si>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</si>
  <si>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</si>
  <si>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</si>
  <si>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</si>
  <si>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</si>
  <si>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</si>
  <si>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</si>
  <si>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</si>
  <si>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</si>
  <si>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</si>
  <si>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</si>
  <si>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</si>
  <si>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</si>
  <si>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</si>
  <si>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</si>
  <si>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</si>
  <si>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</si>
  <si>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</si>
  <si>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</si>
  <si>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</si>
  <si>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</si>
  <si>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</si>
  <si>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</si>
  <si>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</si>
  <si>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</si>
  <si>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</si>
  <si>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</si>
  <si>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</si>
  <si>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</si>
  <si>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</si>
  <si>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</si>
  <si>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</si>
  <si>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</si>
  <si>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</si>
  <si>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</si>
  <si>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</si>
  <si>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</si>
  <si>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</si>
  <si>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</si>
  <si>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</si>
  <si>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</si>
  <si>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</si>
  <si>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</si>
  <si>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</si>
  <si>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</si>
  <si>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</si>
  <si>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</si>
  <si>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</si>
  <si>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</si>
  <si>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</si>
  <si>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</si>
  <si>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</si>
  <si>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</si>
  <si>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</si>
  <si>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</si>
  <si>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</si>
  <si>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</si>
  <si>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</si>
  <si>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</si>
  <si>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</si>
  <si>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</si>
  <si>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</si>
  <si>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</si>
  <si>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</si>
  <si>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</si>
  <si>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</si>
  <si>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</si>
  <si>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</si>
  <si>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</si>
  <si>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</si>
  <si>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</si>
  <si>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</si>
  <si>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</si>
  <si>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</si>
  <si>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</si>
  <si>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</si>
  <si>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</si>
  <si>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</si>
  <si>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</si>
  <si>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</si>
  <si>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</si>
  <si>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</si>
  <si>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</si>
  <si>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</si>
  <si>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</si>
  <si>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</si>
  <si>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</si>
  <si>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</si>
  <si>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</si>
  <si>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</si>
  <si>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</si>
  <si>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</si>
  <si>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</si>
  <si>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</si>
  <si>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</si>
  <si>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</si>
  <si>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</si>
  <si>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</si>
  <si>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</si>
  <si>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</si>
  <si>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</si>
  <si>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</si>
  <si>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</si>
  <si>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</si>
  <si>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</si>
  <si>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</si>
  <si>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</si>
  <si>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</si>
  <si>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</si>
  <si>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</si>
  <si>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</si>
  <si>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</si>
  <si>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</si>
  <si>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</si>
  <si>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</si>
  <si>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</si>
  <si>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</si>
  <si>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</si>
  <si>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</si>
  <si>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</si>
  <si>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</si>
  <si>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</si>
  <si>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</si>
  <si>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</si>
  <si>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</si>
  <si>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</si>
  <si>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</si>
  <si>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</si>
  <si>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</si>
  <si>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</si>
  <si>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</si>
  <si>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</si>
  <si>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</si>
  <si>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</si>
  <si>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</si>
  <si>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</si>
  <si>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</si>
  <si>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</si>
  <si>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</si>
  <si>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</si>
  <si>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</si>
  <si>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</si>
  <si>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</si>
  <si>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</si>
  <si>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</si>
  <si>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</si>
  <si>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</si>
  <si>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</si>
  <si>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</si>
  <si>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</si>
  <si>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</si>
  <si>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</si>
  <si>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</si>
  <si>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</si>
  <si>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</si>
  <si>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</si>
  <si>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</si>
  <si>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</si>
  <si>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</si>
  <si>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</si>
  <si>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</si>
  <si>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</si>
  <si>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</si>
  <si>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</si>
  <si>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</si>
  <si>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</si>
  <si>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</si>
  <si>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</si>
  <si>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</si>
  <si>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</si>
  <si>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</si>
  <si>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</si>
  <si>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</si>
  <si>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</si>
  <si>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</si>
  <si>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</si>
  <si>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</si>
  <si>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</si>
  <si>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</si>
  <si>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</si>
  <si>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</si>
  <si>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</si>
  <si>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</si>
  <si>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</si>
  <si>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</si>
  <si>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</si>
  <si>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</si>
  <si>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</si>
  <si>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</si>
  <si>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</si>
  <si>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</si>
  <si>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</si>
  <si>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</si>
  <si>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</si>
  <si>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</si>
  <si>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</si>
  <si>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</si>
  <si>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</si>
  <si>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</si>
  <si>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</si>
  <si>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</si>
  <si>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</si>
  <si>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</si>
  <si>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</si>
  <si>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</si>
  <si>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</si>
  <si>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</si>
  <si>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</si>
  <si>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</si>
  <si>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</si>
  <si>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</si>
  <si>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</si>
  <si>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</si>
  <si>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</si>
  <si>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</si>
  <si>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</si>
  <si>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</si>
  <si>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</si>
  <si>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</si>
  <si>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</si>
  <si>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</si>
  <si>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</si>
  <si>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</si>
  <si>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</si>
  <si>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</si>
  <si>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</si>
  <si>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</si>
  <si>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</si>
  <si>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</si>
  <si>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</si>
  <si>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</si>
  <si>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</si>
  <si>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</si>
  <si>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</si>
  <si>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</si>
  <si>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</si>
  <si>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</si>
  <si>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</si>
  <si>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</si>
  <si>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</si>
  <si>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</si>
  <si>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</si>
  <si>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</si>
  <si>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</si>
  <si>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</si>
  <si>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</si>
  <si>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</si>
  <si>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</si>
  <si>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</si>
  <si>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</si>
  <si>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</si>
  <si>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</si>
  <si>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</si>
  <si>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</si>
  <si>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</si>
  <si>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</si>
  <si>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</si>
  <si>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</si>
  <si>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</si>
  <si>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</si>
  <si>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</si>
  <si>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</si>
  <si>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</si>
  <si>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</si>
  <si>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</si>
  <si>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</si>
  <si>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</si>
  <si>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</si>
  <si>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</si>
  <si>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</si>
  <si>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</si>
  <si>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</si>
  <si>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</si>
  <si>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</si>
  <si>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</si>
  <si>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</si>
  <si>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</si>
  <si>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</si>
  <si>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</si>
  <si>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</si>
  <si>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</si>
  <si>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</si>
  <si>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</si>
  <si>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</si>
  <si>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</si>
  <si>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</si>
  <si>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</si>
  <si>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</si>
  <si>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</si>
  <si>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</si>
  <si>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</si>
  <si>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</si>
  <si>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</si>
  <si>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</si>
  <si>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</si>
  <si>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</si>
  <si>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</si>
  <si>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</si>
  <si>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</si>
  <si>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</si>
  <si>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</si>
  <si>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</si>
  <si>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</si>
  <si>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</si>
  <si>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</si>
  <si>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</si>
  <si>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</si>
  <si>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</si>
  <si>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</si>
  <si>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</si>
  <si>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</si>
  <si>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</si>
  <si>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</si>
  <si>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</si>
  <si>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</si>
  <si>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</si>
  <si>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</si>
  <si>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</si>
  <si>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</si>
  <si>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</si>
  <si>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</si>
  <si>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</si>
  <si>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</si>
  <si>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</si>
  <si>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</si>
  <si>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</si>
  <si>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</si>
  <si>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</si>
  <si>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</si>
  <si>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</si>
  <si>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</si>
  <si>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</si>
  <si>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</si>
  <si>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</si>
  <si>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</si>
  <si>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</si>
  <si>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</si>
  <si>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</si>
  <si>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</si>
  <si>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</si>
  <si>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</si>
  <si>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</si>
  <si>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</si>
  <si>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</si>
  <si>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</si>
  <si>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</si>
  <si>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</si>
  <si>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</si>
  <si>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</si>
  <si>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</si>
  <si>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</si>
  <si>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</si>
  <si>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</si>
  <si>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</si>
  <si>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</si>
  <si>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</si>
  <si>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</si>
  <si>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</si>
  <si>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</si>
  <si>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</si>
  <si>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</si>
  <si>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</si>
  <si>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</si>
  <si>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</si>
  <si>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</si>
  <si>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</si>
  <si>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</si>
  <si>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</si>
  <si>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</si>
  <si>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</si>
  <si>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</si>
  <si>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</si>
  <si>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</si>
  <si>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</si>
  <si>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</si>
  <si>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</si>
  <si>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</si>
  <si>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</si>
  <si>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</si>
  <si>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</si>
  <si>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</si>
  <si>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</si>
  <si>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</si>
  <si>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</si>
  <si>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</si>
  <si>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</si>
  <si>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</si>
  <si>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</si>
  <si>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</si>
  <si>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</si>
  <si>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</si>
  <si>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</si>
  <si>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</si>
  <si>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</si>
  <si>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</si>
  <si>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</si>
  <si>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</si>
  <si>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</si>
  <si>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</si>
  <si>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</si>
  <si>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</si>
  <si>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</si>
  <si>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</si>
  <si>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</si>
  <si>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</si>
  <si>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</si>
  <si>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</si>
  <si>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</si>
  <si>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</si>
  <si>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</si>
  <si>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</si>
  <si>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</si>
  <si>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</si>
  <si>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</si>
  <si>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</si>
  <si>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</si>
  <si>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</si>
  <si>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</si>
  <si>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</si>
  <si>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</si>
  <si>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</si>
  <si>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</si>
  <si>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</si>
  <si>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</si>
  <si>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</si>
  <si>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</si>
  <si>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</si>
  <si>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</si>
  <si>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</si>
  <si>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</si>
  <si>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</si>
  <si>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</si>
  <si>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</si>
  <si>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</si>
  <si>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</si>
  <si>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</si>
  <si>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</si>
  <si>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</si>
  <si>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</si>
  <si>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</si>
  <si>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</si>
  <si>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</si>
  <si>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</si>
  <si>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</si>
  <si>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</si>
  <si>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</si>
  <si>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</si>
  <si>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</si>
  <si>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</si>
  <si>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</si>
  <si>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</si>
  <si>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</si>
  <si>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</si>
  <si>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</si>
  <si>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</si>
  <si>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</si>
  <si>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</si>
  <si>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</si>
  <si>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</si>
  <si>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</si>
  <si>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</si>
  <si>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</si>
  <si>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</si>
  <si>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</si>
  <si>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</si>
  <si>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</si>
  <si>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</si>
  <si>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</si>
  <si>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</si>
  <si>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</si>
  <si>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</si>
  <si>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</si>
  <si>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</si>
  <si>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</si>
  <si>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</si>
  <si>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</si>
  <si>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</si>
  <si>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</si>
  <si>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</si>
  <si>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</si>
  <si>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</si>
  <si>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</si>
  <si>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</si>
  <si>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</si>
  <si>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</si>
  <si>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</si>
  <si>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</si>
  <si>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</si>
  <si>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</si>
  <si>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</si>
  <si>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</si>
  <si>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</si>
  <si>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</si>
  <si>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</si>
  <si>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</si>
  <si>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</si>
  <si>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</si>
  <si>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</si>
  <si>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</si>
  <si>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</si>
  <si>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</si>
  <si>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</si>
  <si>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</si>
  <si>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</si>
  <si>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</si>
  <si>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</si>
  <si>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</si>
  <si>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</si>
  <si>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</si>
  <si>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</si>
  <si>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</si>
  <si>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</si>
  <si>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</si>
  <si>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</si>
  <si>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</si>
  <si>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</si>
  <si>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</si>
  <si>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</si>
  <si>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</si>
  <si>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</si>
  <si>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</si>
  <si>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</si>
  <si>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</si>
  <si>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</si>
  <si>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</si>
  <si>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</si>
  <si>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</si>
  <si>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</si>
  <si>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</si>
  <si>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</si>
  <si>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</si>
  <si>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</si>
  <si>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</si>
  <si>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</si>
  <si>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</si>
  <si>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</si>
  <si>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</si>
  <si>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</si>
  <si>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</si>
  <si>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</si>
  <si>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</si>
  <si>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</si>
  <si>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</si>
  <si>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</si>
  <si>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</si>
  <si>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</si>
  <si>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</si>
  <si>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</si>
  <si>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</si>
  <si>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</si>
  <si>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</si>
  <si>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</si>
  <si>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</si>
  <si>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</si>
  <si>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</si>
  <si>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</si>
  <si>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</si>
  <si>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</si>
  <si>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</si>
  <si>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</si>
  <si>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</si>
  <si>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</si>
  <si>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</si>
  <si>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</si>
  <si>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</si>
  <si>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</si>
  <si>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</si>
  <si>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</si>
  <si>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</si>
  <si>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</si>
  <si>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</si>
  <si>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</si>
  <si>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</si>
  <si>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</si>
  <si>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</si>
  <si>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</si>
  <si>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</si>
  <si>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</si>
  <si>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</si>
  <si>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</si>
  <si>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</si>
  <si>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</si>
  <si>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</si>
  <si>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</si>
  <si>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</si>
  <si>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</si>
  <si>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</si>
  <si>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</si>
  <si>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</si>
  <si>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</si>
  <si>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</si>
  <si>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</si>
  <si>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</si>
  <si>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</si>
  <si>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</si>
  <si>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</si>
  <si>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</si>
  <si>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</si>
  <si>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</si>
  <si>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</si>
  <si>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</si>
  <si>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</si>
  <si>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</si>
  <si>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</si>
  <si>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</si>
  <si>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</si>
  <si>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</si>
  <si>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</si>
  <si>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</si>
  <si>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</si>
  <si>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</si>
  <si>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</si>
  <si>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</si>
  <si>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</si>
  <si>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</si>
  <si>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</si>
  <si>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</si>
  <si>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</si>
  <si>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</si>
  <si>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</si>
  <si>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</si>
  <si>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</si>
  <si>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</si>
  <si>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</si>
  <si>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</si>
  <si>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</si>
  <si>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</si>
  <si>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</si>
  <si>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</si>
  <si>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</si>
  <si>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</si>
  <si>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</si>
  <si>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</si>
  <si>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</si>
  <si>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</si>
  <si>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</si>
  <si>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</si>
  <si>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</si>
  <si>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</si>
  <si>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</si>
  <si>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</si>
  <si>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</si>
  <si>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</si>
  <si>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</si>
  <si>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</si>
  <si>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</si>
  <si>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</si>
  <si>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</si>
  <si>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</si>
  <si>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</si>
  <si>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</si>
  <si>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</si>
  <si>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</si>
  <si>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</si>
  <si>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</si>
  <si>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</si>
  <si>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</si>
  <si>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</si>
  <si>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</si>
  <si>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</si>
  <si>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</si>
  <si>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</si>
  <si>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</si>
  <si>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</si>
  <si>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</si>
  <si>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</si>
  <si>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</si>
  <si>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</si>
  <si>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</si>
  <si>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</si>
  <si>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</si>
  <si>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</si>
  <si>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</si>
  <si>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</si>
  <si>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</si>
  <si>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</si>
  <si>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</si>
  <si>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</si>
  <si>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</si>
  <si>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</si>
  <si>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</si>
  <si>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</si>
  <si>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</si>
  <si>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</si>
  <si>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</si>
  <si>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</si>
  <si>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</si>
  <si>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</si>
  <si>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</si>
  <si>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</si>
  <si>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</si>
  <si>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</si>
  <si>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</si>
  <si>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</si>
  <si>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</si>
  <si>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</si>
  <si>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</si>
  <si>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</si>
  <si>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</si>
  <si>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</si>
  <si>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</si>
  <si>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</si>
  <si>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</si>
  <si>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</si>
  <si>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</si>
  <si>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</si>
  <si>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</si>
  <si>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</si>
  <si>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</si>
  <si>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</si>
  <si>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</si>
  <si>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</si>
  <si>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</si>
  <si>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</si>
  <si>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</si>
  <si>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</si>
  <si>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</si>
  <si>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</si>
  <si>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</si>
  <si>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</si>
  <si>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</si>
  <si>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</si>
  <si>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</si>
  <si>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</si>
  <si>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</si>
  <si>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</si>
  <si>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</si>
  <si>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</si>
  <si>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</si>
  <si>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</si>
  <si>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</si>
  <si>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</si>
  <si>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</si>
  <si>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</si>
  <si>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</si>
  <si>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</si>
  <si>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</si>
  <si>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</si>
  <si>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</si>
  <si>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</si>
  <si>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</si>
  <si>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</si>
  <si>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</si>
  <si>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</si>
  <si>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</si>
  <si>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</si>
  <si>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</si>
  <si>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</si>
  <si>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</si>
  <si>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</si>
  <si>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</si>
  <si>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</si>
  <si>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</si>
  <si>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</si>
  <si>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</si>
  <si>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</si>
  <si>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</si>
  <si>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</si>
  <si>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</si>
  <si>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</si>
  <si>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</si>
  <si>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</si>
  <si>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</si>
  <si>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</si>
  <si>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</si>
  <si>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</si>
  <si>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</si>
  <si>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</si>
  <si>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</si>
  <si>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</si>
  <si>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</si>
  <si>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</si>
  <si>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</si>
  <si>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</si>
  <si>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</si>
  <si>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</si>
  <si>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</si>
  <si>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</si>
  <si>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</si>
  <si>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</si>
  <si>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</si>
  <si>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</si>
  <si>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</si>
  <si>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</si>
  <si>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</si>
  <si>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</si>
  <si>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</si>
  <si>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</si>
  <si>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</si>
  <si>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</si>
  <si>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</si>
  <si>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</si>
  <si>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</si>
  <si>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</si>
  <si>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</si>
  <si>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</si>
  <si>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</si>
  <si>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</si>
  <si>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</si>
  <si>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</si>
  <si>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</si>
  <si>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</si>
  <si>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</si>
  <si>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</si>
  <si>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</si>
  <si>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</si>
  <si>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</si>
  <si>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</si>
  <si>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</si>
  <si>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</si>
  <si>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</si>
  <si>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</si>
  <si>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</si>
  <si>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</si>
  <si>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</si>
  <si>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</si>
  <si>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</si>
  <si>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</si>
  <si>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</si>
  <si>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</si>
  <si>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</si>
  <si>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</si>
  <si>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</si>
  <si>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</si>
  <si>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</si>
  <si>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</si>
  <si>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</si>
  <si>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</si>
  <si>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</si>
  <si>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</si>
  <si>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</si>
  <si>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</si>
  <si>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</si>
  <si>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</si>
  <si>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</si>
  <si>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</si>
  <si>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</si>
  <si>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</si>
  <si>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</si>
  <si>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</si>
  <si>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</si>
  <si>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</si>
  <si>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</si>
  <si>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</si>
  <si>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</si>
  <si>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</si>
  <si>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</si>
  <si>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</si>
  <si>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</si>
  <si>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</si>
  <si>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</si>
  <si>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</si>
  <si>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</si>
  <si>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</si>
  <si>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</si>
  <si>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</si>
  <si>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</si>
  <si>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</si>
  <si>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</si>
  <si>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</si>
  <si>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</si>
  <si>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</si>
  <si>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</si>
  <si>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</si>
  <si>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</si>
  <si>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</si>
  <si>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</si>
  <si>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</si>
  <si>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</si>
  <si>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</si>
  <si>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</si>
  <si>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</si>
  <si>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</si>
  <si>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</si>
  <si>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</si>
  <si>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</si>
  <si>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</si>
  <si>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</si>
  <si>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</si>
  <si>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</si>
  <si>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</si>
  <si>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</si>
  <si>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</si>
  <si>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</si>
  <si>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</si>
  <si>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</si>
  <si>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</si>
  <si>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</si>
  <si>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</si>
  <si>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</si>
  <si>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</si>
  <si>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</si>
  <si>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</si>
  <si>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</si>
  <si>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</si>
  <si>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</si>
  <si>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</si>
  <si>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</si>
  <si>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</si>
  <si>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</si>
  <si>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</si>
  <si>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</si>
  <si>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</si>
  <si>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</si>
  <si>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</si>
  <si>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</si>
  <si>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</si>
  <si>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</si>
  <si>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</si>
  <si>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</si>
  <si>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</si>
  <si>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</si>
  <si>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</si>
  <si>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</si>
  <si>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</si>
  <si>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</si>
  <si>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</si>
  <si>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</si>
  <si>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</si>
  <si>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</si>
  <si>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</si>
  <si>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</si>
  <si>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</si>
  <si>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</si>
  <si>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</si>
  <si>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</si>
  <si>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</si>
  <si>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</si>
  <si>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</si>
  <si>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</si>
  <si>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</si>
  <si>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</si>
  <si>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</si>
  <si>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</si>
  <si>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</si>
  <si>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</si>
  <si>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</si>
  <si>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</si>
  <si>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</si>
  <si>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</si>
  <si>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</si>
  <si>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</si>
  <si>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</si>
  <si>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</si>
  <si>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</si>
  <si>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</si>
  <si>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</si>
  <si>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</si>
  <si>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</si>
  <si>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</si>
  <si>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</si>
  <si>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</si>
  <si>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</si>
  <si>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</si>
  <si>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</si>
  <si>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</si>
  <si>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</si>
  <si>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</si>
  <si>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</si>
  <si>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</si>
  <si>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</si>
  <si>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</si>
  <si>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</si>
  <si>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</si>
  <si>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</si>
  <si>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</si>
  <si>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</si>
  <si>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</si>
  <si>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</si>
  <si>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</si>
  <si>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</si>
  <si>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</si>
  <si>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</si>
  <si>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</si>
  <si>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</si>
  <si>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</si>
  <si>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</si>
  <si>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</si>
  <si>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</si>
  <si>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</si>
  <si>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</si>
  <si>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</si>
  <si>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</si>
  <si>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</si>
  <si>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</si>
  <si>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</si>
  <si>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</si>
  <si>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</si>
  <si>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</si>
  <si>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</si>
  <si>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</si>
  <si>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</si>
  <si>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</si>
  <si>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</si>
  <si>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</si>
  <si>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</si>
  <si>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</si>
  <si>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</si>
  <si>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</si>
  <si>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</si>
  <si>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</si>
  <si>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</si>
  <si>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</si>
  <si>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</si>
  <si>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</si>
  <si>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</si>
  <si>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</si>
  <si>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</si>
  <si>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</si>
  <si>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</si>
  <si>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</si>
  <si>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</si>
  <si>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</si>
  <si>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</si>
  <si>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</si>
  <si>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</si>
  <si>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</si>
  <si>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</si>
  <si>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</si>
  <si>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</si>
  <si>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</si>
  <si>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</si>
  <si>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</si>
  <si>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</si>
  <si>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</si>
  <si>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</si>
  <si>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</si>
  <si>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</si>
  <si>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</si>
  <si>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</si>
  <si>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</si>
  <si>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</si>
  <si>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</si>
  <si>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</si>
  <si>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</si>
  <si>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</si>
  <si>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</si>
  <si>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</si>
  <si>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</si>
  <si>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</si>
  <si>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</si>
  <si>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</si>
  <si>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</si>
  <si>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</si>
  <si>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</si>
  <si>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</si>
  <si>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</si>
  <si>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</si>
  <si>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</si>
  <si>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</si>
  <si>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</si>
  <si>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</si>
  <si>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</si>
  <si>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</si>
  <si>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</si>
  <si>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</si>
  <si>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</si>
  <si>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</si>
  <si>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</si>
  <si>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</si>
  <si>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</si>
  <si>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</si>
  <si>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</si>
  <si>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</si>
  <si>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</si>
  <si>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</si>
  <si>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</si>
  <si>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</si>
  <si>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</si>
  <si>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</si>
  <si>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</si>
  <si>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</si>
  <si>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</si>
  <si>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</si>
  <si>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</si>
  <si>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</si>
  <si>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</si>
  <si>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</si>
  <si>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</si>
  <si>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</si>
  <si>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</si>
  <si>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</si>
  <si>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</si>
  <si>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</si>
  <si>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</si>
  <si>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</si>
  <si>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</si>
  <si>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</si>
  <si>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</si>
  <si>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</si>
  <si>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</si>
  <si>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</si>
  <si>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</si>
  <si>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</si>
  <si>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</si>
  <si>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</si>
  <si>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</si>
  <si>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</si>
  <si>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</si>
  <si>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</si>
  <si>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</si>
  <si>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</si>
  <si>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</si>
  <si>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</si>
  <si>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</si>
  <si>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</si>
  <si>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</si>
  <si>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</si>
  <si>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</si>
  <si>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</si>
  <si>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</si>
  <si>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</si>
  <si>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</si>
  <si>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</si>
  <si>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</si>
  <si>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</si>
  <si>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</si>
  <si>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</si>
  <si>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</si>
  <si>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</si>
  <si>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</si>
  <si>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</si>
  <si>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</si>
  <si>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</si>
  <si>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</si>
  <si>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</si>
  <si>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</si>
  <si>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</si>
  <si>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</si>
  <si>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</si>
  <si>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</si>
  <si>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</si>
  <si>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</si>
  <si>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</si>
  <si>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</si>
  <si>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</si>
  <si>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</si>
  <si>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</si>
  <si>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</si>
  <si>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</si>
  <si>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</si>
  <si>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</si>
  <si>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</si>
  <si>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</si>
  <si>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</si>
  <si>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</si>
  <si>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</si>
  <si>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</si>
  <si>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</si>
  <si>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</si>
  <si>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</si>
  <si>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</si>
  <si>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</si>
  <si>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</si>
  <si>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</si>
  <si>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</si>
  <si>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</si>
  <si>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</si>
  <si>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</si>
  <si>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</si>
  <si>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</si>
  <si>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</si>
  <si>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</si>
  <si>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</si>
  <si>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</si>
  <si>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</si>
  <si>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</si>
  <si>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</si>
  <si>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</si>
  <si>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</si>
  <si>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</si>
  <si>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</si>
  <si>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</si>
  <si>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</si>
  <si>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</si>
  <si>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</si>
  <si>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</si>
  <si>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</si>
  <si>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</si>
  <si>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</si>
  <si>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</si>
  <si>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</si>
  <si>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</si>
  <si>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</si>
  <si>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</si>
  <si>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</si>
  <si>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</si>
  <si>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</si>
  <si>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</si>
  <si>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</si>
  <si>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</si>
  <si>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</si>
  <si>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</si>
  <si>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</si>
  <si>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</si>
  <si>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</si>
  <si>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</si>
  <si>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</si>
  <si>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</si>
  <si>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</si>
  <si>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</si>
  <si>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</si>
  <si>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</si>
  <si>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</si>
  <si>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</si>
  <si>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</si>
  <si>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</si>
  <si>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</si>
  <si>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</si>
  <si>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</si>
  <si>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</si>
  <si>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</si>
  <si>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</si>
  <si>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</si>
  <si>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</si>
  <si>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</si>
  <si>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</si>
  <si>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</si>
  <si>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</si>
  <si>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</si>
  <si>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</si>
  <si>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</si>
  <si>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</si>
  <si>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</si>
  <si>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</si>
  <si>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</si>
  <si>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</si>
  <si>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</si>
  <si>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</si>
  <si>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</si>
  <si>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</si>
  <si>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</si>
  <si>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</si>
  <si>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</si>
  <si>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</si>
  <si>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</si>
  <si>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</si>
  <si>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</si>
  <si>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</si>
  <si>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</si>
  <si>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</si>
  <si>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</si>
  <si>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</si>
  <si>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</si>
  <si>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</si>
  <si>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</si>
  <si>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</si>
  <si>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</si>
  <si>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</si>
  <si>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</si>
  <si>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</si>
  <si>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</si>
  <si>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</si>
  <si>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</si>
  <si>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</si>
  <si>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</si>
  <si>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</si>
  <si>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</si>
  <si>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</si>
  <si>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</si>
  <si>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</si>
  <si>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</si>
  <si>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</si>
  <si>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</si>
  <si>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</si>
  <si>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</si>
  <si>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</si>
  <si>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</si>
  <si>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</si>
  <si>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</si>
  <si>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</si>
  <si>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</si>
  <si>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</si>
  <si>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</si>
  <si>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</si>
  <si>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</si>
  <si>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</si>
  <si>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</si>
  <si>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</si>
  <si>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</si>
  <si>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</si>
  <si>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</si>
  <si>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</si>
  <si>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</si>
  <si>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</si>
  <si>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</si>
  <si>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</si>
  <si>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</si>
  <si>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</si>
  <si>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</si>
  <si>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</si>
  <si>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</si>
  <si>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</si>
  <si>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</si>
  <si>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</si>
  <si>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</si>
  <si>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</si>
  <si>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</si>
  <si>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</si>
  <si>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</si>
  <si>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</si>
  <si>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</si>
  <si>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</si>
  <si>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</si>
  <si>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</si>
  <si>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</si>
  <si>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</si>
  <si>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</si>
  <si>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</si>
  <si>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</si>
  <si>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</si>
  <si>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</si>
  <si>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</si>
  <si>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</si>
  <si>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</si>
  <si>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</si>
  <si>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</si>
  <si>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</si>
  <si>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</si>
  <si>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</si>
  <si>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</si>
  <si>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</si>
  <si>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</si>
  <si>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</si>
  <si>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</si>
  <si>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</si>
  <si>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</si>
  <si>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</si>
  <si>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</si>
  <si>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</si>
  <si>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</si>
  <si>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</si>
  <si>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</si>
  <si>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</si>
  <si>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</si>
  <si>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</si>
  <si>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</si>
  <si>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</si>
  <si>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</si>
  <si>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</si>
  <si>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</si>
  <si>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</si>
  <si>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</si>
  <si>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</si>
  <si>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</si>
  <si>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</si>
  <si>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</si>
  <si>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</si>
  <si>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</si>
  <si>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</si>
  <si>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</si>
  <si>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</si>
  <si>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</si>
  <si>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</si>
  <si>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</si>
  <si>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</si>
  <si>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</si>
  <si>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</si>
  <si>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</si>
  <si>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</si>
  <si>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</si>
  <si>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</si>
  <si>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</si>
  <si>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</si>
  <si>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</si>
  <si>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</si>
  <si>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</si>
  <si>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</si>
  <si>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</si>
  <si>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</si>
  <si>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</si>
  <si>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</si>
  <si>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</si>
  <si>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</si>
  <si>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</si>
  <si>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</si>
  <si>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</si>
  <si>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</si>
  <si>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</si>
  <si>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</si>
  <si>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</si>
  <si>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</si>
  <si>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</si>
  <si>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</si>
  <si>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</si>
  <si>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</si>
  <si>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</si>
  <si>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</si>
  <si>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</si>
  <si>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</si>
  <si>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</si>
  <si>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</si>
  <si>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</si>
  <si>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</si>
  <si>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</si>
  <si>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</si>
  <si>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</si>
  <si>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</si>
  <si>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</si>
  <si>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</si>
  <si>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</si>
  <si>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</si>
  <si>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</si>
  <si>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</si>
  <si>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</si>
  <si>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</si>
  <si>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</si>
  <si>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</si>
  <si>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</si>
  <si>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</si>
  <si>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</si>
  <si>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</si>
  <si>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</si>
  <si>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</si>
  <si>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</si>
  <si>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</si>
  <si>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</si>
  <si>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</si>
  <si>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</si>
  <si>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</si>
  <si>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</si>
  <si>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</si>
  <si>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</si>
  <si>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</si>
  <si>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</si>
  <si>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</si>
  <si>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</si>
  <si>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</si>
  <si>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</si>
  <si>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</si>
  <si>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</si>
  <si>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</si>
  <si>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</si>
  <si>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</si>
  <si>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</si>
  <si>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</si>
  <si>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</si>
  <si>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</si>
  <si>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</si>
  <si>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</si>
  <si>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</si>
  <si>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</si>
  <si>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</si>
  <si>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</si>
  <si>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</si>
  <si>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</si>
  <si>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</si>
  <si>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</si>
  <si>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</si>
  <si>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</si>
  <si>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</si>
  <si>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</si>
  <si>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</si>
  <si>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</si>
  <si>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</si>
  <si>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</si>
  <si>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</si>
  <si>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</si>
  <si>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</si>
  <si>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</si>
  <si>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</si>
  <si>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</si>
  <si>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</si>
  <si>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</si>
  <si>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</si>
  <si>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</si>
  <si>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</si>
  <si>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</si>
  <si>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</si>
  <si>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</si>
  <si>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</si>
  <si>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</si>
  <si>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</si>
  <si>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</si>
  <si>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</si>
  <si>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</si>
  <si>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</si>
  <si>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</si>
  <si>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</si>
  <si>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</si>
  <si>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</si>
  <si>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</si>
  <si>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</si>
  <si>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</si>
  <si>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</si>
  <si>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</si>
  <si>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</si>
  <si>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</si>
  <si>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</si>
  <si>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</si>
  <si>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</si>
  <si>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</si>
  <si>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</si>
  <si>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</si>
  <si>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</si>
  <si>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</si>
  <si>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</si>
  <si>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</si>
  <si>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</si>
  <si>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</si>
  <si>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</si>
  <si>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</si>
  <si>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</si>
  <si>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</si>
  <si>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</si>
  <si>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</si>
  <si>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</si>
  <si>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</si>
  <si>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</si>
  <si>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</si>
  <si>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</si>
  <si>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</si>
  <si>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</si>
  <si>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</si>
  <si>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</si>
  <si>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</si>
  <si>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</si>
  <si>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</si>
  <si>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</si>
  <si>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</si>
  <si>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</si>
  <si>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</si>
  <si>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</si>
  <si>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</si>
  <si>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</si>
  <si>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</si>
  <si>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</si>
  <si>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</si>
  <si>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</si>
  <si>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</si>
  <si>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</si>
  <si>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</si>
  <si>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</si>
  <si>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</si>
  <si>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</si>
  <si>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</si>
  <si>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</si>
  <si>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</si>
  <si>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</si>
  <si>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</si>
  <si>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</si>
  <si>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</si>
  <si>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</si>
  <si>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</si>
  <si>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</si>
  <si>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</si>
  <si>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</si>
  <si>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</si>
  <si>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</si>
  <si>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</si>
  <si>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</si>
  <si>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</si>
  <si>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</si>
  <si>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</si>
  <si>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</si>
  <si>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</si>
  <si>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</si>
  <si>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</si>
  <si>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</si>
  <si>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</si>
  <si>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</si>
  <si>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</si>
  <si>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</si>
  <si>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</si>
  <si>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</si>
  <si>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</si>
  <si>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</si>
  <si>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</si>
  <si>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</si>
  <si>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</si>
  <si>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</si>
  <si>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</si>
  <si>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</si>
  <si>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</si>
  <si>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</si>
  <si>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</si>
  <si>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</si>
  <si>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</si>
  <si>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</si>
  <si>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</si>
  <si>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</si>
  <si>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</si>
  <si>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</si>
  <si>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</si>
  <si>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</si>
  <si>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</si>
  <si>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</si>
  <si>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</si>
  <si>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</si>
  <si>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</si>
  <si>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</si>
  <si>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</si>
  <si>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</si>
  <si>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</si>
  <si>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</si>
  <si>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</si>
  <si>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</si>
  <si>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</si>
  <si>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</si>
  <si>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</si>
  <si>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</si>
  <si>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</si>
  <si>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</si>
  <si>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</si>
  <si>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</si>
  <si>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</si>
  <si>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</si>
  <si>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</si>
  <si>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</si>
  <si>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</si>
  <si>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</si>
  <si>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</si>
  <si>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</si>
  <si>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</si>
  <si>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</si>
  <si>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</si>
  <si>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</si>
  <si>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</si>
  <si>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</si>
  <si>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</si>
  <si>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</si>
  <si>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</si>
  <si>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</si>
  <si>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</si>
  <si>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</si>
  <si>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</si>
  <si>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</si>
  <si>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</si>
  <si>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</si>
  <si>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</si>
  <si>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</si>
  <si>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</si>
  <si>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</si>
  <si>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</si>
  <si>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</si>
  <si>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</si>
  <si>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</si>
  <si>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</si>
  <si>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</si>
  <si>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</si>
  <si>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</si>
  <si>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</si>
  <si>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</si>
  <si>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</si>
  <si>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</si>
  <si>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</si>
  <si>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</si>
  <si>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</si>
  <si>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</si>
  <si>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</si>
  <si>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</si>
  <si>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</si>
  <si>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</si>
  <si>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</si>
  <si>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</si>
  <si>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</si>
  <si>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</si>
  <si>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</si>
  <si>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</si>
  <si>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</si>
  <si>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</si>
  <si>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</si>
  <si>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</si>
  <si>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</si>
  <si>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</si>
  <si>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</si>
  <si>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</si>
  <si>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</si>
  <si>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</si>
  <si>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</si>
  <si>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</si>
  <si>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</si>
  <si>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</si>
  <si>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</si>
  <si>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</si>
  <si>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</si>
  <si>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</si>
  <si>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</si>
  <si>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</si>
  <si>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</si>
  <si>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</si>
  <si>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</si>
  <si>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</si>
  <si>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</si>
  <si>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</si>
  <si>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</si>
  <si>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</si>
  <si>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</si>
  <si>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</si>
  <si>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</si>
  <si>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</si>
  <si>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</si>
  <si>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</si>
  <si>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</si>
  <si>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</si>
  <si>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</si>
  <si>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</si>
  <si>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</si>
  <si>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</si>
  <si>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</si>
  <si>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</si>
  <si>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</si>
  <si>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</si>
  <si>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</si>
  <si>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</si>
  <si>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</si>
  <si>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</si>
  <si>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</si>
  <si>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</si>
  <si>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</si>
  <si>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</si>
  <si>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</si>
  <si>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</si>
  <si>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</si>
  <si>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</si>
  <si>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</si>
  <si>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</si>
  <si>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</si>
  <si>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</si>
  <si>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</si>
  <si>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</si>
  <si>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</si>
  <si>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</si>
  <si>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</si>
  <si>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</si>
  <si>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</si>
  <si>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</si>
  <si>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</si>
  <si>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</si>
  <si>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</si>
  <si>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</si>
  <si>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</si>
  <si>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</si>
  <si>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</si>
  <si>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</si>
  <si>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</si>
  <si>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</si>
  <si>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</si>
  <si>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</si>
  <si>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</si>
  <si>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</si>
  <si>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</si>
  <si>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</si>
  <si>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</si>
  <si>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</si>
  <si>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</si>
  <si>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</si>
  <si>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</si>
  <si>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</si>
  <si>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</si>
  <si>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</si>
  <si>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</si>
  <si>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</si>
  <si>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</si>
  <si>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</si>
  <si>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</si>
  <si>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</si>
  <si>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</si>
  <si>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</si>
  <si>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</si>
  <si>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</si>
  <si>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</si>
  <si>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</si>
  <si>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</si>
  <si>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</si>
  <si>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</si>
  <si>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</si>
  <si>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</si>
  <si>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</si>
  <si>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</si>
  <si>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</si>
  <si>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</si>
  <si>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</si>
  <si>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</si>
  <si>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</si>
  <si>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</si>
  <si>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</si>
  <si>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</si>
  <si>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</si>
  <si>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</si>
  <si>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</si>
  <si>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</si>
  <si>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</si>
  <si>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</si>
  <si>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</si>
  <si>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</si>
  <si>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</si>
  <si>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</si>
  <si>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</si>
  <si>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</si>
  <si>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</si>
  <si>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</si>
  <si>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</si>
  <si>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</si>
  <si>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</si>
  <si>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</si>
  <si>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</si>
  <si>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</si>
  <si>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</si>
  <si>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</si>
  <si>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</si>
  <si>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</si>
  <si>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</si>
  <si>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</si>
  <si>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</si>
  <si>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</si>
  <si>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</si>
  <si>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</si>
  <si>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</si>
  <si>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</si>
  <si>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</si>
  <si>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</si>
  <si>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</si>
  <si>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</si>
  <si>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</si>
  <si>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</si>
  <si>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</si>
  <si>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</si>
  <si>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</si>
  <si>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</si>
  <si>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</si>
  <si>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</si>
  <si>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</si>
  <si>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</si>
  <si>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</si>
  <si>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</si>
  <si>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</si>
  <si>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</si>
  <si>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</si>
  <si>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</si>
  <si>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</si>
  <si>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</si>
  <si>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</si>
  <si>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</si>
  <si>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</si>
  <si>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</si>
  <si>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</si>
  <si>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</si>
  <si>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</si>
  <si>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</si>
  <si>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</si>
  <si>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</si>
  <si>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</si>
  <si>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</si>
  <si>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</si>
  <si>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</si>
  <si>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</si>
  <si>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</si>
  <si>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</si>
  <si>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</si>
  <si>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</si>
  <si>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</si>
  <si>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</si>
  <si>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</si>
  <si>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</si>
  <si>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</si>
  <si>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</si>
  <si>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</si>
  <si>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</si>
  <si>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</si>
  <si>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</si>
  <si>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</si>
  <si>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</si>
  <si>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</si>
  <si>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</si>
  <si>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</si>
  <si>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</si>
  <si>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</si>
  <si>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</si>
  <si>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</si>
  <si>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</si>
  <si>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</si>
  <si>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</si>
  <si>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</si>
  <si>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</si>
  <si>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</si>
  <si>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</si>
  <si>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</si>
  <si>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</si>
  <si>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</si>
  <si>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</si>
  <si>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</si>
  <si>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</si>
  <si>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</si>
  <si>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</si>
  <si>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</si>
  <si>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</si>
  <si>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</si>
  <si>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</si>
  <si>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</si>
  <si>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</si>
  <si>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</si>
  <si>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</si>
  <si>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</si>
  <si>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</si>
  <si>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</si>
  <si>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</si>
  <si>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</si>
  <si>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</si>
  <si>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</si>
  <si>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</si>
  <si>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</si>
  <si>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</si>
  <si>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</si>
  <si>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</si>
  <si>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</si>
  <si>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</si>
  <si>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</si>
  <si>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</si>
  <si>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</si>
  <si>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</si>
  <si>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</si>
  <si>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</si>
  <si>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</si>
  <si>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</si>
  <si>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</si>
  <si>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</si>
  <si>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</si>
  <si>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</si>
  <si>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</si>
  <si>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</si>
  <si>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</si>
  <si>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</si>
  <si>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</si>
  <si>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</si>
  <si>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</si>
  <si>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</si>
  <si>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</si>
  <si>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</si>
  <si>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</si>
  <si>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</si>
  <si>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</si>
  <si>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</si>
  <si>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</si>
  <si>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</si>
  <si>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</si>
  <si>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</si>
  <si>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</si>
  <si>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</si>
  <si>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</si>
  <si>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</si>
  <si>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</si>
  <si>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</si>
  <si>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</si>
  <si>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</si>
  <si>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</si>
  <si>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</si>
  <si>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</si>
  <si>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</si>
  <si>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</si>
  <si>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</si>
  <si>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</si>
  <si>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</si>
  <si>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</si>
  <si>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</si>
  <si>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</si>
  <si>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</si>
  <si>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</si>
  <si>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</si>
  <si>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</si>
  <si>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</si>
  <si>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</si>
  <si>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</si>
  <si>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</si>
  <si>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</si>
  <si>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</si>
  <si>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</si>
  <si>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</si>
  <si>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</si>
  <si>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</si>
  <si>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</si>
  <si>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</si>
  <si>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</si>
  <si>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</si>
  <si>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</si>
  <si>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</si>
  <si>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</si>
  <si>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</si>
  <si>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</si>
  <si>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</si>
  <si>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</si>
  <si>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</si>
  <si>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</si>
  <si>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</si>
  <si>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</si>
  <si>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</si>
  <si>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</si>
  <si>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</si>
  <si>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</si>
  <si>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</si>
  <si>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</si>
  <si>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</si>
  <si>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</si>
  <si>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</si>
  <si>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</si>
  <si>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</si>
  <si>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</si>
  <si>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</si>
  <si>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</si>
  <si>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</si>
  <si>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</si>
  <si>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</si>
  <si>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</si>
  <si>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</si>
  <si>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</si>
  <si>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</si>
  <si>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</si>
  <si>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</si>
  <si>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</si>
  <si>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</si>
  <si>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</si>
  <si>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</si>
  <si>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</si>
  <si>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</si>
  <si>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</si>
  <si>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</si>
  <si>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</si>
  <si>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</si>
  <si>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</si>
  <si>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</si>
  <si>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</si>
  <si>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</si>
  <si>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</si>
  <si>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</si>
  <si>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</si>
  <si>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</si>
  <si>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</si>
  <si>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</si>
  <si>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</si>
  <si>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</si>
  <si>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</si>
  <si>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</si>
  <si>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</si>
  <si>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</si>
  <si>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</si>
  <si>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</si>
  <si>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</si>
  <si>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</si>
  <si>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</si>
  <si>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</si>
  <si>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</si>
  <si>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</si>
  <si>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</si>
  <si>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</si>
  <si>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</si>
  <si>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</si>
  <si>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</si>
  <si>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</si>
  <si>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</si>
  <si>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</si>
  <si>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</si>
  <si>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</si>
  <si>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</si>
  <si>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</si>
  <si>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</si>
  <si>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</si>
  <si>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</si>
  <si>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</si>
  <si>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</si>
  <si>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</si>
  <si>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</si>
  <si>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</si>
  <si>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</si>
  <si>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</si>
  <si>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</si>
  <si>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</si>
  <si>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</si>
  <si>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</si>
  <si>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</si>
  <si>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</si>
  <si>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</si>
  <si>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</si>
  <si>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</si>
  <si>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</si>
  <si>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</si>
  <si>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</si>
  <si>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</si>
  <si>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</si>
  <si>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</si>
  <si>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</si>
  <si>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</si>
  <si>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</si>
  <si>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</si>
  <si>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</si>
  <si>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</si>
  <si>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</si>
  <si>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</si>
  <si>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</si>
  <si>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</si>
  <si>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</si>
  <si>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</si>
  <si>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</si>
  <si>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</si>
  <si>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</si>
  <si>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</si>
  <si>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</si>
  <si>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</si>
  <si>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</si>
  <si>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</si>
  <si>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</si>
  <si>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</si>
  <si>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</si>
  <si>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</si>
  <si>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</si>
  <si>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</si>
  <si>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</si>
  <si>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</si>
  <si>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</si>
  <si>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</si>
  <si>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</si>
  <si>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</si>
  <si>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</si>
  <si>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</si>
  <si>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</si>
  <si>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</si>
  <si>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</si>
  <si>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</si>
  <si>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</si>
  <si>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</si>
  <si>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</si>
  <si>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</si>
  <si>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</si>
  <si>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</si>
  <si>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</si>
  <si>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</si>
  <si>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</si>
  <si>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</si>
  <si>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</si>
  <si>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</si>
  <si>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</si>
  <si>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</si>
  <si>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</si>
  <si>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</si>
  <si>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</si>
  <si>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</si>
  <si>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</si>
  <si>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</si>
  <si>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</si>
  <si>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</si>
  <si>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</si>
  <si>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</si>
  <si>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</si>
  <si>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</si>
  <si>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</si>
  <si>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</si>
  <si>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</si>
  <si>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</si>
  <si>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</si>
  <si>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</si>
  <si>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</si>
  <si>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</si>
  <si>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</si>
  <si>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</si>
  <si>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</si>
  <si>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</si>
  <si>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</si>
  <si>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</si>
  <si>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</si>
  <si>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</si>
  <si>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</si>
  <si>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</si>
  <si>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</si>
  <si>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</si>
  <si>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</si>
  <si>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</si>
  <si>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</si>
  <si>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</si>
  <si>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</si>
  <si>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</si>
  <si>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</si>
  <si>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</si>
  <si>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</si>
  <si>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</si>
  <si>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</si>
  <si>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</si>
  <si>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</si>
  <si>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</si>
  <si>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</si>
  <si>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</si>
  <si>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</si>
  <si>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</si>
  <si>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</si>
  <si>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</si>
  <si>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</si>
  <si>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</si>
  <si>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</si>
  <si>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</si>
  <si>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</si>
  <si>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</si>
  <si>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</si>
  <si>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</si>
  <si>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</si>
  <si>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</si>
  <si>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</si>
  <si>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</si>
  <si>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</si>
  <si>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</si>
  <si>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</si>
  <si>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</si>
  <si>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</si>
  <si>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</si>
  <si>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</si>
  <si>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</si>
  <si>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</si>
  <si>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</si>
  <si>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</si>
  <si>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</si>
  <si>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</si>
  <si>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</si>
  <si>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</si>
  <si>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</si>
  <si>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</si>
  <si>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</si>
  <si>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</si>
  <si>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</si>
  <si>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</si>
  <si>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</si>
  <si>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</si>
  <si>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</si>
  <si>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</si>
  <si>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</si>
  <si>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</si>
  <si>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</si>
  <si>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</si>
  <si>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</si>
  <si>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</si>
  <si>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</si>
  <si>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</si>
  <si>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</si>
  <si>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</si>
  <si>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</si>
  <si>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</si>
  <si>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</si>
  <si>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</si>
  <si>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</si>
  <si>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</si>
  <si>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</si>
  <si>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</si>
  <si>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</si>
  <si>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</si>
  <si>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</si>
  <si>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</si>
  <si>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</si>
  <si>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</si>
  <si>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</si>
  <si>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</si>
  <si>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</si>
  <si>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</si>
  <si>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</si>
  <si>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</si>
  <si>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</si>
  <si>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</si>
  <si>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</si>
  <si>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</si>
  <si>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</si>
  <si>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</si>
  <si>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</si>
  <si>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</si>
  <si>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</si>
  <si>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</si>
  <si>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</si>
  <si>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</si>
  <si>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</si>
  <si>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</si>
  <si>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</si>
  <si>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</si>
  <si>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</si>
  <si>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</si>
  <si>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</si>
  <si>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</si>
  <si>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</si>
  <si>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</si>
  <si>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</si>
  <si>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</si>
  <si>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</si>
  <si>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</si>
  <si>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</si>
  <si>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</si>
  <si>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</si>
  <si>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</si>
  <si>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</si>
  <si>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</si>
  <si>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</si>
  <si>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</si>
  <si>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</si>
  <si>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</si>
  <si>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</si>
  <si>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</si>
  <si>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</si>
  <si>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</si>
  <si>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</si>
  <si>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</si>
  <si>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</si>
  <si>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</si>
  <si>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</si>
  <si>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</si>
  <si>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</si>
  <si>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</si>
  <si>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</si>
  <si>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</si>
  <si>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</si>
  <si>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</si>
  <si>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</si>
  <si>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</si>
  <si>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</si>
  <si>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</si>
  <si>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</si>
  <si>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</si>
  <si>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</si>
  <si>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</si>
  <si>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</si>
  <si>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</si>
  <si>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</si>
  <si>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</si>
  <si>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</si>
  <si>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</si>
  <si>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</si>
  <si>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</si>
  <si>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</si>
  <si>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</si>
  <si>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</si>
  <si>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</si>
  <si>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</si>
  <si>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</si>
  <si>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</si>
  <si>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</si>
  <si>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</si>
  <si>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</si>
  <si>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</si>
  <si>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</si>
  <si>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</si>
  <si>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</si>
  <si>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</si>
  <si>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</si>
  <si>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</si>
  <si>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</si>
  <si>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</si>
  <si>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</si>
  <si>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</si>
  <si>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</si>
  <si>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</si>
  <si>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</si>
  <si>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</si>
  <si>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</si>
  <si>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</si>
  <si>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</si>
  <si>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</si>
  <si>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</si>
  <si>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</si>
  <si>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</si>
  <si>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</si>
  <si>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</si>
  <si>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</si>
  <si>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</si>
  <si>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</si>
  <si>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</si>
  <si>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</si>
  <si>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</si>
  <si>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</si>
  <si>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</si>
  <si>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</si>
  <si>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</si>
  <si>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</si>
  <si>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</si>
  <si>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</si>
  <si>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</si>
  <si>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</si>
  <si>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</si>
  <si>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</si>
  <si>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</si>
  <si>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</si>
  <si>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</si>
  <si>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</si>
  <si>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</si>
  <si>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</si>
  <si>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</si>
  <si>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</si>
  <si>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</si>
  <si>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</si>
  <si>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</si>
  <si>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</si>
  <si>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</si>
  <si>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</si>
  <si>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</si>
  <si>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</si>
  <si>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</si>
  <si>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</si>
  <si>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</si>
  <si>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</si>
  <si>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</si>
  <si>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</si>
  <si>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</si>
  <si>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</si>
  <si>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</si>
  <si>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</si>
  <si>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</si>
  <si>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</si>
  <si>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</si>
  <si>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</si>
  <si>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</si>
  <si>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</si>
  <si>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</si>
  <si>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</si>
  <si>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</si>
  <si>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</si>
  <si>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</si>
  <si>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</si>
  <si>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</si>
  <si>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</si>
  <si>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</si>
  <si>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</si>
  <si>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</si>
  <si>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</si>
  <si>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</si>
  <si>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</si>
  <si>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</si>
  <si>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</si>
  <si>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</si>
  <si>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</si>
  <si>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</si>
  <si>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</si>
  <si>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</si>
  <si>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</si>
  <si>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</si>
  <si>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</si>
  <si>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</si>
  <si>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</si>
  <si>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</si>
  <si>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</si>
  <si>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</si>
  <si>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</si>
  <si>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</si>
  <si>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</si>
  <si>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</si>
  <si>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</si>
  <si>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</si>
  <si>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</si>
  <si>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</si>
  <si>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</si>
  <si>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</si>
  <si>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</si>
  <si>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</si>
  <si>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</si>
  <si>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</si>
  <si>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</si>
  <si>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</si>
  <si>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</si>
  <si>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</si>
  <si>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</si>
  <si>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</si>
  <si>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</si>
  <si>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</si>
  <si>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</si>
  <si>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</si>
  <si>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</si>
  <si>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</si>
  <si>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</si>
  <si>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</si>
  <si>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</si>
  <si>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</si>
  <si>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</si>
  <si>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</si>
  <si>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</si>
  <si>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</si>
  <si>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</si>
  <si>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</si>
  <si>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</si>
  <si>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</si>
  <si>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</si>
  <si>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</si>
  <si>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</si>
  <si>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</si>
  <si>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</si>
  <si>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</si>
  <si>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</si>
  <si>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</si>
  <si>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</si>
  <si>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</si>
  <si>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</si>
  <si>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</si>
  <si>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</si>
  <si>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</si>
  <si>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</si>
  <si>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</si>
  <si>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</si>
  <si>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</si>
  <si>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</si>
  <si>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</si>
  <si>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</si>
  <si>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</si>
  <si>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</si>
  <si>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</si>
  <si>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</si>
  <si>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</si>
  <si>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</si>
  <si>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</si>
  <si>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</si>
  <si>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</si>
  <si>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</si>
  <si>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</si>
  <si>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</si>
  <si>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</si>
  <si>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</si>
  <si>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</si>
  <si>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</si>
  <si>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</si>
  <si>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</si>
  <si>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</si>
  <si>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</si>
  <si>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</si>
  <si>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</si>
  <si>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</si>
  <si>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</si>
  <si>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</si>
  <si>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</si>
  <si>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</si>
  <si>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</si>
  <si>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</si>
  <si>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</si>
  <si>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</si>
  <si>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</si>
  <si>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</si>
  <si>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</si>
  <si>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</si>
  <si>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</si>
  <si>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</si>
  <si>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</si>
  <si>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</si>
  <si>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</si>
  <si>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</si>
  <si>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</si>
  <si>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</si>
  <si>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</si>
  <si>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</si>
  <si>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</si>
  <si>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</si>
  <si>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</si>
  <si>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</si>
  <si>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</si>
  <si>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</si>
  <si>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</si>
  <si>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</si>
  <si>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</si>
  <si>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</si>
  <si>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</si>
  <si>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</si>
  <si>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</si>
  <si>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</si>
  <si>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</si>
  <si>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</si>
  <si>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</si>
  <si>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</si>
  <si>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</si>
  <si>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</si>
  <si>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</si>
  <si>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</si>
  <si>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</si>
  <si>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</si>
  <si>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</si>
  <si>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</si>
  <si>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</si>
  <si>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</si>
  <si>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</si>
  <si>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</si>
  <si>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</si>
  <si>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</si>
  <si>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</si>
  <si>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</si>
  <si>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</si>
  <si>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</si>
  <si>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</si>
  <si>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</si>
  <si>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</si>
  <si>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</si>
  <si>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</si>
  <si>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</si>
  <si>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</si>
  <si>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</si>
  <si>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</si>
  <si>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</si>
  <si>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</si>
  <si>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</si>
  <si>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</si>
  <si>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</si>
  <si>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</si>
  <si>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</si>
  <si>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</si>
  <si>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</si>
  <si>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</si>
  <si>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</si>
  <si>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</si>
  <si>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</si>
  <si>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</si>
  <si>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</si>
  <si>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</si>
  <si>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</si>
  <si>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</si>
  <si>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</si>
  <si>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</si>
  <si>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</si>
  <si>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</si>
  <si>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</si>
  <si>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</si>
  <si>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</si>
  <si>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</si>
  <si>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</si>
  <si>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</si>
  <si>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</si>
  <si>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</si>
  <si>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</si>
  <si>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</si>
  <si>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</si>
  <si>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</si>
  <si>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</si>
  <si>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</si>
  <si>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</si>
  <si>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</si>
  <si>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</si>
  <si>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</si>
  <si>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</si>
  <si>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</si>
  <si>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</si>
  <si>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</si>
  <si>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</si>
  <si>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</si>
  <si>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</si>
  <si>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</si>
  <si>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</si>
  <si>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</si>
  <si>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</si>
  <si>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</si>
  <si>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</si>
  <si>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</si>
  <si>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</si>
  <si>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</si>
  <si>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</si>
  <si>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</si>
  <si>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</si>
  <si>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</si>
  <si>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</si>
  <si>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</si>
  <si>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</si>
  <si>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</si>
  <si>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</si>
  <si>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</si>
  <si>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</si>
  <si>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</si>
  <si>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</si>
  <si>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</si>
  <si>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</si>
  <si>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</si>
  <si>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</si>
  <si>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</si>
  <si>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</si>
  <si>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</si>
  <si>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</si>
  <si>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</si>
  <si>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</si>
  <si>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</si>
  <si>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</si>
  <si>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</si>
  <si>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</si>
  <si>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</si>
  <si>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</si>
  <si>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</si>
  <si>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</si>
  <si>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</si>
  <si>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</si>
  <si>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</si>
  <si>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</si>
  <si>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</si>
  <si>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</si>
  <si>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</si>
  <si>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</si>
  <si>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</si>
  <si>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</si>
  <si>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</si>
  <si>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</si>
  <si>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</si>
  <si>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</si>
  <si>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</si>
  <si>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</si>
  <si>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</si>
  <si>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</si>
  <si>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</si>
  <si>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</si>
  <si>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</si>
  <si>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</si>
  <si>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</si>
  <si>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</si>
  <si>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</si>
  <si>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</si>
  <si>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</si>
  <si>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</si>
  <si>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</si>
  <si>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</si>
  <si>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</si>
  <si>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</si>
  <si>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</si>
  <si>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</si>
  <si>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</si>
  <si>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</si>
  <si>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</si>
  <si>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</si>
  <si>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</si>
  <si>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</si>
  <si>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</si>
  <si>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</si>
  <si>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</si>
  <si>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</si>
  <si>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</si>
  <si>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</si>
  <si>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</si>
  <si>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</si>
  <si>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</si>
  <si>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</si>
  <si>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</si>
  <si>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</si>
  <si>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</si>
  <si>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</si>
  <si>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</si>
  <si>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</si>
  <si>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</si>
  <si>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</si>
  <si>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</si>
  <si>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</si>
  <si>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</si>
  <si>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</si>
  <si>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</si>
  <si>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</si>
  <si>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</si>
  <si>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</si>
  <si>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</si>
  <si>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</si>
  <si>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</si>
  <si>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</si>
  <si>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</si>
  <si>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</si>
  <si>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</si>
  <si>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</si>
  <si>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</si>
  <si>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</si>
  <si>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</si>
  <si>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</si>
  <si>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</si>
  <si>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</si>
  <si>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</si>
  <si>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</si>
  <si>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</si>
  <si>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</si>
  <si>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</si>
  <si>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</si>
  <si>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</si>
  <si>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</si>
  <si>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</si>
  <si>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</si>
  <si>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</si>
  <si>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</si>
  <si>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</si>
  <si>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</si>
  <si>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</si>
  <si>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</si>
  <si>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</si>
  <si>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</si>
  <si>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</si>
  <si>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</si>
  <si>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</si>
  <si>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</si>
  <si>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</si>
  <si>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</si>
  <si>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</si>
  <si>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</si>
  <si>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</si>
  <si>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</si>
  <si>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</si>
  <si>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</si>
  <si>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</si>
  <si>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</si>
  <si>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</si>
  <si>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</si>
  <si>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</si>
  <si>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</si>
  <si>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</si>
  <si>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</si>
  <si>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</si>
  <si>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</si>
  <si>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</si>
  <si>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</si>
  <si>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</si>
  <si>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</si>
  <si>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</si>
  <si>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</si>
  <si>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</si>
  <si>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</si>
  <si>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</si>
  <si>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</si>
  <si>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</si>
  <si>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</si>
  <si>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</si>
  <si>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</si>
  <si>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</si>
  <si>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</si>
  <si>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</si>
  <si>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</si>
  <si>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</si>
  <si>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</si>
  <si>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</si>
  <si>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</si>
  <si>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</si>
  <si>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</si>
  <si>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</si>
  <si>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</si>
  <si>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</si>
  <si>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</si>
  <si>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</si>
  <si>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</si>
  <si>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</si>
  <si>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</si>
  <si>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</si>
  <si>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</si>
  <si>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</si>
  <si>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</si>
  <si>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</si>
  <si>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</si>
  <si>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</si>
  <si>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</si>
  <si>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</si>
  <si>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</si>
  <si>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</si>
  <si>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</si>
  <si>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</si>
  <si>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</si>
  <si>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</si>
  <si>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</si>
  <si>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</si>
  <si>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</si>
  <si>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</si>
  <si>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</si>
  <si>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</si>
  <si>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</si>
  <si>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</si>
  <si>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</si>
  <si>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</si>
  <si>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</si>
  <si>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</si>
  <si>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</si>
  <si>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</si>
  <si>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</si>
  <si>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</si>
  <si>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</si>
  <si>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</si>
  <si>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</si>
  <si>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</si>
  <si>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</si>
  <si>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</si>
  <si>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</si>
  <si>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</si>
  <si>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</si>
  <si>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</si>
  <si>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</si>
  <si>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</si>
  <si>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</si>
  <si>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</si>
  <si>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</si>
  <si>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</si>
  <si>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</si>
  <si>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</si>
  <si>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</si>
  <si>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</si>
  <si>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</si>
  <si>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</si>
  <si>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</si>
  <si>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</si>
  <si>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</si>
  <si>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</si>
  <si>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</si>
  <si>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</si>
  <si>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</si>
  <si>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</si>
  <si>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</si>
  <si>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</si>
  <si>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</si>
  <si>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</si>
  <si>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</si>
  <si>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</si>
  <si>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</si>
  <si>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</si>
  <si>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</si>
  <si>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</si>
  <si>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</si>
  <si>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</si>
  <si>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</si>
  <si>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</si>
  <si>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</si>
  <si>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</si>
  <si>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</si>
  <si>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</si>
  <si>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</si>
  <si>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</si>
  <si>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</si>
  <si>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</si>
  <si>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</si>
  <si>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</si>
  <si>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</si>
  <si>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</si>
  <si>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</si>
  <si>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</si>
  <si>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</si>
  <si>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</si>
  <si>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</si>
  <si>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</si>
  <si>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</si>
  <si>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</si>
  <si>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</si>
  <si>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</si>
  <si>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</si>
  <si>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</si>
  <si>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</si>
  <si>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</si>
  <si>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</si>
  <si>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</si>
  <si>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</si>
  <si>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</si>
  <si>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</si>
  <si>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</si>
  <si>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</si>
  <si>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</si>
  <si>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</si>
  <si>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</si>
  <si>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</si>
  <si>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</si>
  <si>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</si>
  <si>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</si>
  <si>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</si>
  <si>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</si>
  <si>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</si>
  <si>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</si>
  <si>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</si>
  <si>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</si>
  <si>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</si>
  <si>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</si>
  <si>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</si>
  <si>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</si>
  <si>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</si>
  <si>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</si>
  <si>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</si>
  <si>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</si>
  <si>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</si>
  <si>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</si>
  <si>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</si>
  <si>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</si>
  <si>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</si>
  <si>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</si>
  <si>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</si>
  <si>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</si>
  <si>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</si>
  <si>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</si>
  <si>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</si>
  <si>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</si>
  <si>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</si>
  <si>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</si>
  <si>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</si>
  <si>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</si>
  <si>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</si>
  <si>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</si>
  <si>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</si>
  <si>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</si>
  <si>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</si>
  <si>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</si>
  <si>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</si>
  <si>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</si>
  <si>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</si>
  <si>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</si>
  <si>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</si>
  <si>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</si>
  <si>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</si>
  <si>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</si>
  <si>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</si>
  <si>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</si>
  <si>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</si>
  <si>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</si>
  <si>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</si>
  <si>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</si>
  <si>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</si>
  <si>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</si>
  <si>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</si>
  <si>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</si>
  <si>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</si>
  <si>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</si>
  <si>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</si>
  <si>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</si>
  <si>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</si>
  <si>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</si>
  <si>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</si>
  <si>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</si>
  <si>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</si>
  <si>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</si>
  <si>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</si>
  <si>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</si>
  <si>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</si>
  <si>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</si>
  <si>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</si>
  <si>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</si>
  <si>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</si>
  <si>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</si>
  <si>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</si>
  <si>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</si>
  <si>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</si>
  <si>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</si>
  <si>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</si>
  <si>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</si>
  <si>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</si>
  <si>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</si>
  <si>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</si>
  <si>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</si>
  <si>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</si>
  <si>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</si>
  <si>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</si>
  <si>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</si>
  <si>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</si>
  <si>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</si>
  <si>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</si>
  <si>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</si>
  <si>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</si>
  <si>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</si>
  <si>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</si>
  <si>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</si>
  <si>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</si>
  <si>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</si>
  <si>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</si>
  <si>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</si>
  <si>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</si>
  <si>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</si>
  <si>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</si>
  <si>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</si>
  <si>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</si>
  <si>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</si>
  <si>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</si>
  <si>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</si>
  <si>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</si>
  <si>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</si>
  <si>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</si>
  <si>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</si>
  <si>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</si>
  <si>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</si>
  <si>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</si>
  <si>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</si>
  <si>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</si>
  <si>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</si>
  <si>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</si>
  <si>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</si>
  <si>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</si>
  <si>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</si>
  <si>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</si>
  <si>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</si>
  <si>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</si>
  <si>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</si>
  <si>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</si>
  <si>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</si>
  <si>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</si>
  <si>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</si>
  <si>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</si>
  <si>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</si>
  <si>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</si>
  <si>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</si>
  <si>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</si>
  <si>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</si>
  <si>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</si>
  <si>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</si>
  <si>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</si>
  <si>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</si>
  <si>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</si>
  <si>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</si>
  <si>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</si>
  <si>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</si>
  <si>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</si>
  <si>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</si>
  <si>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</si>
  <si>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</si>
  <si>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</si>
  <si>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</si>
  <si>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</si>
  <si>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</si>
  <si>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</si>
  <si>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</si>
  <si>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</si>
  <si>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</si>
  <si>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</si>
  <si>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</si>
  <si>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</si>
  <si>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</si>
  <si>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</si>
  <si>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</si>
  <si>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</si>
  <si>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</si>
  <si>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</si>
  <si>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</si>
  <si>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</si>
  <si>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</si>
  <si>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</si>
  <si>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</si>
  <si>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</si>
  <si>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</si>
  <si>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</si>
  <si>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</si>
  <si>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</si>
  <si>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</si>
  <si>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</si>
  <si>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</si>
  <si>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</si>
  <si>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</si>
  <si>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</si>
  <si>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</si>
  <si>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</si>
  <si>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</si>
  <si>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</si>
  <si>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</si>
  <si>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</si>
  <si>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</si>
  <si>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</si>
  <si>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</si>
  <si>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</si>
  <si>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</si>
  <si>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</si>
  <si>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</si>
  <si>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</si>
  <si>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</si>
  <si>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</si>
  <si>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</si>
  <si>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</si>
  <si>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</si>
  <si>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</si>
  <si>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</si>
  <si>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</si>
  <si>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</si>
  <si>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</si>
  <si>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</si>
  <si>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</si>
  <si>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</si>
  <si>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</si>
  <si>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</si>
  <si>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</si>
  <si>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</si>
  <si>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</si>
  <si>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</si>
  <si>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</si>
  <si>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</si>
  <si>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</si>
  <si>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</si>
  <si>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</si>
  <si>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</si>
  <si>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</si>
  <si>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</si>
  <si>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</si>
  <si>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</si>
  <si>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</si>
  <si>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</si>
  <si>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</si>
  <si>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</si>
  <si>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</si>
  <si>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</si>
  <si>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</si>
  <si>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</si>
  <si>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</si>
  <si>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</si>
  <si>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</si>
  <si>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</si>
  <si>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</si>
  <si>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</si>
  <si>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</si>
  <si>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</si>
  <si>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</si>
  <si>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</si>
  <si>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</si>
  <si>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</si>
  <si>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</si>
  <si>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</si>
  <si>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</si>
  <si>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</si>
  <si>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</si>
  <si>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</si>
  <si>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</si>
  <si>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</si>
  <si>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</si>
  <si>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</si>
  <si>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</si>
  <si>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</si>
  <si>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</si>
  <si>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</si>
  <si>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</si>
  <si>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</si>
  <si>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</si>
  <si>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</si>
  <si>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</si>
  <si>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</si>
  <si>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</si>
  <si>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</si>
  <si>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</si>
  <si>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</si>
  <si>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</si>
  <si>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</si>
  <si>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</si>
  <si>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</si>
  <si>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</si>
  <si>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</si>
  <si>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</si>
  <si>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</si>
  <si>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</si>
  <si>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</si>
  <si>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</si>
  <si>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</si>
  <si>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</si>
  <si>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</si>
  <si>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</si>
  <si>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</si>
  <si>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</si>
  <si>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</si>
  <si>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</si>
  <si>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</si>
  <si>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</si>
  <si>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</si>
  <si>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</si>
  <si>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</si>
  <si>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</si>
  <si>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</si>
  <si>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</si>
  <si>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</si>
  <si>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</si>
  <si>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</si>
  <si>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</si>
  <si>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</si>
  <si>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</si>
  <si>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</si>
  <si>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</si>
  <si>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</si>
  <si>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</si>
  <si>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</si>
  <si>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</si>
  <si>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</si>
  <si>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</si>
  <si>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</si>
  <si>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</si>
  <si>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</si>
  <si>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</si>
  <si>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</si>
  <si>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</si>
  <si>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</si>
  <si>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</si>
  <si>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</si>
  <si>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</si>
  <si>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</si>
  <si>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</si>
  <si>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</si>
  <si>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</si>
  <si>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</si>
  <si>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</si>
  <si>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</si>
  <si>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</si>
  <si>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</si>
  <si>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</si>
  <si>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</si>
  <si>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</si>
  <si>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</si>
  <si>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</si>
  <si>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</si>
  <si>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</si>
  <si>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</si>
  <si>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</si>
  <si>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</si>
  <si>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</si>
  <si>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</si>
  <si>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</si>
  <si>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</si>
  <si>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</si>
  <si>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</si>
  <si>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</si>
  <si>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</si>
  <si>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</si>
  <si>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</si>
  <si>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</si>
  <si>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</si>
  <si>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</si>
  <si>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</si>
  <si>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</si>
  <si>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</si>
  <si>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</si>
  <si>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</si>
  <si>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</si>
  <si>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</si>
  <si>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</si>
  <si>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</si>
  <si>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</si>
  <si>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</si>
  <si>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</si>
  <si>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</si>
  <si>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</si>
  <si>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</si>
  <si>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</si>
  <si>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</si>
  <si>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</si>
  <si>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</si>
  <si>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</si>
  <si>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</si>
  <si>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</si>
  <si>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</si>
  <si>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</si>
  <si>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</si>
  <si>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</si>
  <si>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</si>
  <si>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</si>
  <si>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</si>
  <si>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</si>
  <si>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</si>
  <si>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</si>
  <si>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</si>
  <si>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</si>
  <si>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</si>
  <si>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</si>
  <si>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</si>
  <si>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</si>
  <si>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</si>
  <si>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</si>
  <si>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</si>
  <si>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</si>
  <si>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</si>
  <si>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</si>
  <si>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</si>
  <si>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</si>
  <si>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</si>
  <si>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</si>
  <si>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</si>
  <si>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</si>
  <si>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</si>
  <si>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</si>
  <si>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</si>
  <si>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</si>
  <si>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</si>
  <si>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</si>
  <si>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</si>
  <si>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</si>
  <si>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</si>
  <si>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</si>
  <si>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</si>
  <si>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</si>
  <si>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</si>
  <si>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</si>
  <si>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</si>
  <si>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</si>
  <si>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</si>
  <si>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</si>
  <si>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</si>
  <si>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</si>
  <si>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</si>
  <si>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</si>
  <si>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</si>
  <si>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</si>
  <si>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</si>
  <si>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</si>
  <si>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</si>
  <si>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</si>
  <si>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</si>
  <si>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</si>
  <si>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</si>
  <si>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</si>
  <si>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</si>
  <si>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</si>
  <si>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</si>
  <si>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</si>
  <si>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</si>
  <si>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</si>
  <si>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</si>
  <si>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</si>
  <si>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</si>
  <si>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</si>
  <si>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</si>
  <si>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</si>
  <si>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</si>
  <si>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</si>
  <si>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</si>
  <si>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</si>
  <si>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</si>
  <si>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</si>
  <si>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</si>
  <si>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</si>
  <si>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</si>
  <si>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</si>
  <si>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</si>
  <si>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</si>
  <si>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</si>
  <si>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</si>
  <si>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</si>
  <si>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</si>
  <si>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</si>
  <si>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</si>
  <si>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</si>
  <si>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</si>
  <si>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</si>
  <si>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</si>
  <si>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</si>
  <si>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</si>
  <si>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</si>
  <si>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</si>
  <si>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</si>
  <si>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</si>
  <si>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</si>
  <si>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</si>
  <si>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</si>
  <si>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</si>
  <si>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</si>
  <si>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</si>
  <si>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</si>
  <si>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</si>
  <si>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</si>
  <si>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</si>
  <si>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</si>
  <si>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</si>
  <si>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</si>
  <si>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</si>
  <si>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</si>
  <si>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</si>
  <si>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</si>
  <si>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</si>
  <si>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</si>
  <si>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</si>
  <si>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</si>
  <si>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</si>
  <si>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</si>
  <si>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</si>
  <si>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</si>
  <si>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</si>
  <si>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</si>
  <si>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</si>
  <si>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</si>
  <si>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</si>
  <si>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</si>
  <si>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</si>
  <si>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</si>
  <si>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</si>
  <si>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</si>
  <si>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</si>
  <si>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</si>
  <si>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</si>
  <si>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</si>
  <si>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</si>
  <si>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</si>
  <si>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</si>
  <si>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</si>
  <si>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</si>
  <si>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</si>
  <si>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</si>
  <si>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</si>
  <si>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</si>
  <si>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</si>
  <si>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</si>
  <si>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</si>
  <si>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</si>
  <si>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</si>
  <si>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</si>
  <si>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</si>
  <si>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</si>
  <si>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</si>
  <si>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</si>
  <si>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</si>
  <si>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</si>
  <si>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</si>
  <si>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</si>
  <si>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</si>
  <si>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</si>
  <si>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</si>
  <si>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</si>
  <si>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</si>
  <si>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</si>
  <si>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</si>
  <si>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</si>
  <si>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</si>
  <si>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</si>
  <si>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</si>
  <si>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</si>
  <si>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</si>
  <si>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</si>
  <si>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</si>
  <si>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</si>
  <si>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</si>
  <si>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</si>
  <si>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</si>
  <si>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</si>
  <si>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</si>
  <si>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</si>
  <si>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</si>
  <si>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</si>
  <si>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</si>
  <si>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</si>
  <si>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</si>
  <si>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</si>
  <si>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</si>
  <si>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</si>
  <si>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</si>
  <si>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</si>
  <si>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</si>
  <si>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</si>
  <si>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</si>
  <si>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</si>
  <si>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</si>
  <si>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</si>
  <si>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</si>
  <si>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</si>
  <si>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</si>
  <si>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</si>
  <si>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</si>
  <si>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</si>
  <si>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</si>
  <si>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</si>
  <si>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</si>
  <si>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</si>
  <si>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</si>
  <si>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</si>
  <si>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</si>
  <si>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</si>
  <si>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</si>
  <si>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</si>
  <si>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</si>
  <si>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</si>
  <si>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</si>
  <si>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</si>
  <si>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</si>
  <si>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</si>
  <si>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</si>
  <si>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</si>
  <si>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</si>
  <si>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</si>
  <si>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</si>
  <si>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</si>
  <si>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</si>
  <si>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</si>
  <si>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</si>
  <si>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</si>
  <si>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</si>
  <si>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</si>
  <si>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</si>
  <si>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</si>
  <si>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</si>
  <si>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</si>
  <si>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</si>
  <si>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</si>
  <si>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</si>
  <si>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</si>
  <si>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</si>
  <si>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</si>
  <si>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</si>
  <si>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</si>
  <si>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</si>
  <si>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</si>
  <si>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</si>
  <si>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</si>
  <si>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</si>
  <si>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</si>
  <si>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</si>
  <si>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</si>
  <si>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</si>
  <si>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</si>
  <si>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</si>
  <si>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</si>
  <si>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</si>
  <si>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</si>
  <si>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</si>
  <si>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</si>
  <si>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</si>
  <si>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</si>
  <si>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</si>
  <si>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</si>
  <si>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</si>
  <si>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</si>
  <si>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</si>
  <si>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</si>
  <si>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</si>
  <si>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</si>
  <si>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</si>
  <si>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</si>
  <si>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</si>
  <si>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</si>
  <si>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</si>
  <si>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</si>
  <si>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</si>
  <si>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</si>
  <si>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</si>
  <si>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</si>
  <si>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</si>
  <si>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</si>
  <si>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</si>
  <si>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</si>
  <si>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</si>
  <si>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</si>
  <si>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</si>
  <si>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</si>
  <si>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</si>
  <si>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</si>
  <si>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</si>
  <si>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</si>
  <si>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</si>
  <si>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</si>
  <si>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</si>
  <si>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</si>
  <si>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</si>
  <si>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</si>
  <si>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</si>
  <si>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</si>
  <si>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</si>
  <si>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</si>
  <si>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</si>
  <si>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</si>
  <si>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</si>
  <si>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</si>
  <si>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</si>
  <si>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</si>
  <si>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</si>
  <si>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</si>
  <si>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</si>
  <si>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</si>
  <si>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</si>
  <si>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</si>
  <si>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</si>
  <si>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</si>
  <si>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</si>
  <si>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</si>
  <si>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</si>
  <si>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</si>
  <si>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</si>
  <si>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</si>
  <si>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</si>
  <si>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</si>
  <si>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</si>
  <si>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</si>
  <si>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</si>
  <si>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</si>
  <si>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</si>
  <si>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</si>
  <si>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</si>
  <si>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</si>
  <si>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</si>
  <si>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</si>
  <si>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</si>
  <si>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</si>
  <si>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</si>
  <si>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</si>
  <si>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</si>
  <si>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</si>
  <si>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</si>
  <si>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</si>
  <si>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</si>
  <si>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</si>
  <si>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</si>
  <si>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</si>
  <si>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</si>
  <si>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</si>
  <si>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</si>
  <si>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</si>
  <si>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</si>
  <si>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</si>
  <si>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</si>
  <si>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</si>
  <si>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</si>
  <si>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</si>
  <si>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</si>
  <si>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</si>
  <si>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</si>
  <si>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</si>
  <si>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</si>
  <si>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</si>
  <si>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</si>
  <si>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</si>
  <si>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</si>
  <si>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</si>
  <si>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</si>
  <si>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</si>
  <si>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</si>
  <si>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</si>
  <si>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</si>
  <si>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</si>
  <si>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</si>
  <si>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</si>
  <si>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</si>
  <si>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</si>
  <si>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</si>
  <si>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</si>
  <si>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</si>
  <si>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</si>
  <si>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</si>
  <si>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</si>
  <si>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</si>
  <si>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</si>
  <si>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</si>
  <si>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</si>
  <si>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</si>
  <si>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</si>
  <si>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</si>
  <si>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</si>
  <si>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</si>
  <si>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</si>
  <si>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</si>
  <si>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</si>
  <si>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</si>
  <si>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</si>
  <si>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</si>
  <si>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</si>
  <si>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</si>
  <si>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</si>
  <si>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</si>
  <si>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</si>
  <si>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</si>
  <si>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</si>
  <si>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</si>
  <si>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</si>
  <si>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</si>
  <si>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</si>
  <si>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</si>
  <si>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</si>
  <si>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</si>
  <si>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</si>
  <si>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</si>
  <si>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</si>
  <si>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</si>
  <si>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</si>
  <si>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</si>
  <si>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</si>
  <si>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</si>
  <si>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</si>
  <si>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</si>
  <si>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</si>
  <si>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</si>
  <si>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</si>
  <si>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</si>
  <si>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</si>
  <si>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</si>
  <si>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</si>
  <si>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</si>
  <si>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</si>
  <si>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</si>
  <si>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</si>
  <si>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</si>
  <si>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</si>
  <si>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</si>
  <si>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</si>
  <si>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</si>
  <si>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</si>
  <si>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</si>
  <si>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</si>
  <si>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</si>
  <si>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</si>
  <si>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</si>
  <si>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</si>
  <si>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</si>
  <si>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</si>
  <si>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</si>
  <si>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</si>
  <si>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</si>
  <si>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</si>
  <si>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</si>
  <si>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</si>
  <si>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</si>
  <si>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</si>
  <si>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</si>
  <si>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</si>
  <si>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</si>
  <si>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</si>
  <si>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</si>
  <si>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</si>
  <si>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</si>
  <si>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</si>
  <si>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</si>
  <si>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</si>
  <si>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</si>
  <si>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</si>
  <si>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</si>
  <si>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</si>
  <si>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</si>
  <si>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</si>
  <si>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</si>
  <si>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</si>
  <si>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</si>
  <si>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</si>
  <si>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</si>
  <si>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</si>
  <si>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</si>
  <si>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</si>
  <si>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</si>
  <si>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</si>
  <si>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</si>
  <si>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</si>
  <si>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</si>
  <si>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</si>
  <si>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</si>
  <si>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</si>
  <si>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</si>
  <si>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</si>
  <si>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</si>
  <si>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</si>
  <si>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</si>
  <si>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</si>
  <si>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</si>
  <si>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</si>
  <si>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</si>
  <si>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</si>
  <si>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</si>
  <si>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</si>
  <si>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</si>
  <si>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</si>
  <si>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</si>
  <si>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</si>
  <si>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</si>
  <si>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</si>
  <si>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</si>
  <si>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</si>
  <si>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</si>
  <si>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</si>
  <si>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</si>
  <si>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</si>
  <si>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</si>
  <si>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</si>
  <si>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</si>
  <si>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</si>
  <si>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</si>
  <si>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</si>
  <si>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</si>
  <si>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</si>
  <si>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</si>
  <si>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</si>
  <si>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</si>
  <si>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</si>
  <si>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</si>
  <si>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</si>
  <si>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</si>
  <si>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</si>
  <si>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</si>
  <si>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</si>
  <si>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</si>
  <si>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</si>
  <si>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</si>
  <si>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</si>
  <si>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</si>
  <si>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</si>
  <si>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</si>
  <si>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</si>
  <si>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</si>
  <si>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</si>
  <si>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</si>
  <si>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</si>
  <si>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</si>
  <si>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</si>
  <si>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</si>
  <si>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</si>
  <si>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</si>
  <si>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</si>
  <si>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</si>
  <si>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</si>
  <si>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</si>
  <si>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</si>
  <si>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</si>
  <si>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</si>
  <si>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</si>
  <si>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</si>
  <si>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</si>
  <si>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</si>
  <si>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</si>
  <si>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</si>
  <si>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</si>
  <si>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</si>
  <si>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</si>
  <si>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</si>
  <si>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</si>
  <si>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</si>
  <si>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</si>
  <si>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</si>
  <si>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</si>
  <si>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</si>
  <si>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</si>
  <si>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</si>
  <si>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</si>
  <si>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</si>
  <si>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</si>
  <si>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</si>
  <si>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</si>
  <si>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</si>
  <si>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</si>
  <si>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</si>
  <si>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</si>
  <si>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</si>
  <si>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</si>
  <si>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</si>
  <si>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</si>
  <si>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</si>
  <si>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</si>
  <si>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</si>
  <si>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</si>
  <si>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</si>
  <si>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</si>
  <si>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</si>
  <si>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</si>
  <si>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</si>
  <si>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</si>
  <si>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</si>
  <si>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</si>
  <si>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</si>
  <si>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</si>
  <si>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</si>
  <si>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</si>
  <si>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</si>
  <si>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</si>
  <si>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</si>
  <si>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</si>
  <si>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</si>
  <si>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</si>
  <si>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</si>
  <si>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</si>
  <si>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</si>
  <si>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</si>
  <si>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</si>
  <si>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</si>
  <si>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</si>
  <si>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</si>
  <si>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</si>
  <si>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</si>
  <si>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</si>
  <si>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</si>
  <si>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</si>
  <si>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</si>
  <si>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</si>
  <si>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</si>
  <si>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</si>
  <si>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</si>
  <si>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</si>
  <si>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</si>
  <si>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</si>
  <si>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</si>
  <si>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</si>
  <si>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</si>
  <si>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</si>
  <si>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</si>
  <si>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</si>
  <si>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</si>
  <si>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</si>
  <si>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</si>
  <si>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</si>
  <si>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</si>
  <si>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</si>
  <si>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</si>
  <si>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</si>
  <si>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</si>
  <si>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</si>
  <si>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</si>
  <si>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</si>
  <si>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</si>
  <si>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</si>
  <si>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</si>
  <si>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</si>
  <si>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</si>
  <si>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</si>
  <si>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</si>
  <si>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</si>
  <si>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</si>
  <si>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</si>
  <si>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</si>
  <si>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</si>
  <si>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</si>
  <si>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</si>
  <si>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</si>
  <si>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</si>
  <si>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</si>
  <si>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</si>
  <si>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</si>
  <si>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</si>
  <si>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</si>
  <si>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</si>
  <si>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</si>
  <si>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</si>
  <si>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</si>
  <si>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</si>
  <si>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</si>
  <si>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</si>
  <si>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</si>
  <si>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</si>
  <si>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</si>
  <si>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</si>
  <si>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</si>
  <si>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</si>
  <si>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</si>
  <si>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</si>
  <si>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</si>
  <si>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</si>
  <si>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</si>
  <si>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</si>
  <si>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</si>
  <si>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</si>
  <si>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</si>
  <si>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</si>
  <si>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</si>
  <si>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</si>
  <si>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</si>
  <si>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</si>
  <si>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</si>
  <si>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</si>
  <si>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</si>
  <si>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</si>
  <si>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</si>
  <si>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</si>
  <si>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</si>
  <si>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</si>
  <si>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</si>
  <si>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</si>
  <si>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</si>
  <si>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</si>
  <si>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</si>
  <si>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</si>
  <si>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</si>
  <si>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</si>
  <si>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</si>
  <si>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</si>
  <si>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</si>
  <si>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</si>
  <si>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</si>
  <si>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</si>
  <si>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</si>
  <si>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</si>
  <si>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</si>
  <si>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</si>
  <si>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</si>
  <si>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</si>
  <si>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</si>
  <si>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</si>
  <si>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</si>
  <si>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</si>
  <si>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</si>
  <si>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</si>
  <si>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</si>
  <si>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</si>
  <si>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</si>
  <si>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</si>
  <si>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</si>
  <si>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</si>
  <si>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</si>
  <si>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</si>
  <si>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</si>
  <si>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</si>
  <si>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</si>
  <si>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</si>
  <si>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</si>
  <si>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</si>
  <si>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</si>
  <si>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</si>
  <si>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</si>
  <si>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</si>
  <si>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</si>
  <si>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</si>
  <si>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</si>
  <si>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</si>
  <si>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</si>
  <si>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</si>
  <si>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</si>
  <si>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</si>
  <si>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</si>
  <si>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</si>
  <si>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</si>
  <si>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</si>
  <si>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</si>
  <si>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</si>
  <si>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</si>
  <si>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</si>
  <si>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</si>
  <si>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</si>
  <si>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</si>
  <si>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</si>
  <si>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</si>
  <si>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</si>
  <si>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</si>
  <si>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</si>
  <si>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</si>
  <si>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</si>
  <si>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</si>
  <si>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</si>
  <si>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</si>
  <si>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</si>
  <si>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</si>
  <si>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</si>
  <si>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</si>
  <si>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</si>
  <si>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</si>
  <si>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</si>
  <si>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</si>
  <si>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</si>
  <si>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</si>
  <si>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</si>
  <si>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</si>
  <si>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</si>
  <si>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</si>
  <si>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</si>
  <si>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</si>
  <si>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</si>
  <si>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</si>
  <si>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</si>
  <si>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</si>
  <si>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</si>
  <si>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</si>
  <si>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</si>
  <si>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</si>
  <si>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</si>
  <si>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</si>
  <si>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</si>
  <si>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</si>
  <si>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</si>
  <si>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</si>
  <si>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</si>
  <si>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</si>
  <si>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</si>
  <si>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</si>
  <si>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</si>
  <si>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</si>
  <si>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</si>
  <si>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</si>
  <si>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</si>
  <si>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</si>
  <si>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</si>
  <si>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</si>
  <si>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</si>
  <si>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</si>
  <si>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</si>
  <si>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</si>
  <si>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</si>
  <si>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</si>
  <si>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</si>
  <si>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</si>
  <si>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</si>
  <si>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</si>
  <si>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</si>
  <si>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</si>
  <si>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</si>
  <si>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</si>
  <si>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</si>
  <si>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</si>
  <si>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</si>
  <si>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</si>
  <si>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</si>
  <si>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</si>
  <si>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</si>
  <si>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</si>
  <si>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</si>
  <si>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</si>
  <si>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</si>
  <si>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</si>
  <si>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</si>
  <si>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</si>
  <si>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</si>
  <si>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</si>
  <si>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</si>
  <si>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</si>
  <si>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</si>
  <si>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</si>
  <si>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</si>
  <si>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</si>
  <si>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</si>
  <si>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</si>
  <si>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</si>
  <si>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</si>
  <si>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</si>
  <si>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</si>
  <si>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</si>
  <si>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</si>
  <si>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</si>
  <si>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</si>
  <si>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</si>
  <si>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</si>
  <si>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</si>
  <si>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</si>
  <si>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</si>
  <si>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</si>
  <si>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</si>
  <si>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</si>
  <si>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</si>
  <si>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</si>
  <si>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</si>
  <si>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</si>
  <si>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</si>
  <si>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</si>
  <si>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</si>
  <si>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</si>
  <si>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</si>
  <si>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</si>
  <si>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</si>
  <si>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</si>
  <si>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</si>
  <si>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</si>
  <si>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</si>
  <si>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</si>
  <si>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</si>
  <si>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</si>
  <si>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</si>
  <si>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</si>
  <si>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</si>
  <si>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</si>
  <si>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</si>
  <si>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</si>
  <si>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</si>
  <si>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</si>
  <si>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</si>
  <si>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</si>
  <si>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</si>
  <si>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</si>
  <si>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</si>
  <si>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</si>
  <si>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</si>
  <si>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</si>
  <si>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</si>
  <si>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</si>
  <si>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</si>
  <si>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</si>
  <si>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</si>
  <si>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</si>
  <si>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</si>
  <si>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</si>
  <si>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</si>
  <si>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</si>
  <si>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</si>
  <si>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</si>
  <si>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</si>
  <si>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</si>
  <si>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</si>
  <si>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</si>
  <si>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</si>
  <si>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</si>
  <si>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</si>
  <si>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</si>
  <si>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</si>
  <si>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</si>
  <si>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</si>
  <si>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</si>
  <si>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</si>
  <si>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</si>
  <si>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</si>
  <si>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</si>
  <si>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</si>
  <si>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</si>
  <si>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</si>
  <si>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</si>
  <si>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</si>
  <si>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</si>
  <si>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</si>
  <si>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</si>
  <si>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</si>
  <si>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</si>
  <si>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</si>
  <si>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</si>
  <si>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</si>
  <si>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</si>
  <si>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</si>
  <si>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</si>
  <si>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</si>
  <si>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</si>
  <si>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</si>
  <si>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</si>
  <si>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</si>
  <si>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</si>
  <si>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</si>
  <si>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</si>
  <si>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</si>
  <si>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</si>
  <si>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</si>
  <si>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</si>
  <si>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</si>
  <si>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</si>
  <si>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</si>
  <si>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</si>
  <si>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</si>
  <si>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</si>
  <si>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</si>
  <si>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</si>
  <si>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</si>
  <si>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</si>
  <si>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</si>
  <si>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</si>
  <si>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</si>
  <si>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</si>
  <si>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</si>
  <si>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</si>
  <si>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</si>
  <si>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</si>
  <si>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</si>
  <si>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</si>
  <si>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</si>
  <si>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</si>
  <si>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</si>
  <si>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</si>
  <si>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</si>
  <si>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</si>
  <si>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</si>
  <si>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</si>
  <si>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</si>
  <si>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</si>
  <si>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</si>
  <si>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</si>
  <si>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</si>
  <si>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</si>
  <si>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</si>
  <si>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</si>
  <si>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</si>
  <si>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</si>
  <si>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</si>
  <si>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</si>
  <si>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</si>
  <si>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</si>
  <si>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</si>
  <si>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</si>
  <si>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</si>
  <si>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</si>
  <si>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</si>
  <si>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</si>
  <si>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</si>
  <si>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</si>
  <si>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</si>
  <si>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</si>
  <si>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</si>
  <si>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</si>
  <si>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</si>
  <si>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</si>
  <si>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</si>
  <si>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</si>
  <si>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</si>
  <si>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</si>
  <si>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</si>
  <si>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</si>
  <si>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</si>
  <si>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</si>
  <si>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</si>
  <si>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</si>
  <si>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</si>
  <si>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</si>
  <si>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</si>
  <si>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</si>
  <si>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</si>
  <si>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</si>
  <si>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</si>
  <si>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</si>
  <si>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</si>
  <si>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</si>
  <si>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</si>
  <si>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</si>
  <si>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</si>
  <si>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</si>
  <si>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</si>
  <si>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</si>
  <si>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</si>
  <si>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</si>
  <si>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</si>
  <si>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</si>
  <si>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</si>
  <si>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</si>
  <si>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</si>
  <si>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</si>
  <si>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</si>
  <si>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</si>
  <si>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</si>
  <si>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</si>
  <si>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</si>
  <si>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</si>
  <si>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</si>
  <si>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</si>
  <si>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</si>
  <si>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</si>
  <si>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</si>
  <si>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</si>
  <si>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</si>
  <si>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</si>
  <si>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</si>
  <si>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</si>
  <si>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</si>
  <si>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</si>
  <si>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</si>
  <si>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</si>
  <si>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</si>
  <si>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</si>
  <si>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</si>
  <si>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</si>
  <si>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</si>
  <si>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</si>
  <si>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</si>
  <si>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</si>
  <si>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</si>
  <si>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</si>
  <si>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</si>
  <si>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</si>
  <si>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</si>
  <si>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</si>
  <si>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</si>
  <si>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</si>
  <si>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</si>
  <si>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</si>
  <si>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</si>
  <si>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</si>
  <si>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</si>
  <si>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</si>
  <si>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</si>
  <si>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</si>
  <si>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</si>
  <si>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</si>
  <si>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</si>
  <si>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</si>
  <si>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</si>
  <si>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</si>
  <si>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</si>
  <si>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</si>
  <si>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</si>
  <si>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</si>
  <si>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</si>
  <si>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</si>
  <si>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</si>
  <si>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</si>
  <si>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</si>
  <si>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</si>
  <si>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</si>
  <si>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</si>
  <si>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</si>
  <si>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</si>
  <si>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</si>
  <si>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</si>
  <si>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</si>
  <si>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</si>
  <si>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</si>
  <si>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</si>
  <si>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</si>
  <si>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</si>
  <si>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</si>
  <si>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</si>
  <si>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</si>
  <si>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</si>
  <si>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</si>
  <si>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</si>
  <si>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</si>
  <si>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</si>
  <si>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</si>
  <si>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</si>
  <si>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</si>
  <si>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</si>
  <si>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</si>
  <si>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</si>
  <si>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</si>
  <si>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</si>
  <si>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</si>
  <si>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</si>
  <si>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</si>
  <si>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</si>
  <si>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</si>
  <si>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</si>
  <si>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</si>
  <si>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</si>
  <si>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</si>
  <si>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</si>
  <si>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</si>
  <si>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</si>
  <si>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</si>
  <si>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</si>
  <si>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</si>
  <si>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</si>
  <si>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</si>
  <si>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</si>
  <si>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</si>
  <si>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</si>
  <si>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</si>
  <si>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</si>
  <si>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</si>
  <si>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</si>
  <si>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</si>
  <si>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</si>
  <si>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</si>
  <si>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</si>
  <si>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</si>
  <si>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</si>
  <si>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</si>
  <si>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</si>
  <si>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</si>
  <si>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</si>
  <si>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</si>
  <si>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</si>
  <si>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</si>
  <si>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</si>
  <si>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</si>
  <si>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</si>
  <si>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</si>
  <si>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</si>
  <si>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</si>
  <si>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</si>
  <si>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</si>
  <si>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</si>
  <si>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</si>
  <si>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</si>
  <si>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</si>
  <si>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</si>
  <si>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</si>
  <si>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</si>
  <si>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</si>
  <si>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</si>
  <si>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</si>
  <si>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</si>
  <si>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</si>
  <si>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</si>
  <si>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</si>
  <si>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</si>
  <si>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</si>
  <si>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</si>
  <si>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</si>
  <si>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</si>
  <si>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</si>
  <si>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</si>
  <si>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</si>
  <si>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</si>
  <si>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</si>
  <si>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</si>
  <si>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</si>
  <si>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</si>
  <si>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</si>
  <si>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</si>
  <si>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</si>
  <si>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</si>
  <si>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</si>
  <si>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</si>
  <si>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</si>
  <si>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</si>
  <si>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</si>
  <si>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</si>
  <si>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</si>
  <si>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</si>
  <si>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</si>
  <si>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</si>
  <si>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</si>
  <si>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</si>
  <si>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</si>
  <si>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</si>
  <si>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</si>
  <si>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</si>
  <si>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</si>
  <si>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</si>
  <si>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</si>
  <si>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</si>
  <si>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</si>
  <si>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</si>
  <si>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</si>
  <si>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</si>
  <si>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</si>
  <si>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</si>
  <si>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</si>
  <si>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</si>
  <si>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</si>
  <si>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</si>
  <si>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</si>
  <si>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</si>
  <si>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</si>
  <si>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</si>
  <si>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</si>
  <si>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</si>
  <si>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</si>
  <si>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</si>
  <si>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</si>
  <si>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</si>
  <si>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</si>
  <si>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</si>
  <si>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</si>
  <si>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</si>
  <si>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</si>
  <si>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</si>
  <si>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</si>
  <si>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</si>
  <si>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</si>
  <si>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</si>
  <si>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</si>
  <si>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</si>
  <si>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</si>
  <si>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</si>
  <si>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</si>
  <si>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</si>
  <si>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</si>
  <si>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</si>
  <si>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</si>
  <si>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</si>
  <si>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</si>
  <si>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</si>
  <si>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</si>
  <si>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</si>
  <si>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</si>
  <si>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</si>
  <si>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</si>
  <si>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</si>
  <si>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</si>
  <si>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</si>
  <si>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</si>
  <si>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</si>
  <si>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</si>
  <si>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</si>
  <si>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</si>
  <si>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</si>
  <si>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</si>
  <si>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</si>
  <si>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</si>
  <si>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</si>
  <si>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</si>
  <si>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</si>
  <si>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</si>
  <si>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</si>
  <si>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</si>
  <si>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</si>
  <si>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</si>
  <si>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</si>
  <si>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</si>
  <si>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</si>
  <si>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</si>
  <si>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</si>
  <si>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</si>
  <si>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</si>
  <si>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</si>
  <si>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</si>
  <si>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</si>
  <si>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</si>
  <si>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</si>
  <si>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</si>
  <si>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</si>
  <si>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</si>
  <si>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</si>
  <si>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</si>
  <si>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</si>
  <si>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</si>
  <si>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</si>
  <si>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</si>
  <si>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</si>
  <si>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</si>
  <si>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</si>
  <si>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</si>
  <si>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</si>
  <si>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</si>
  <si>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</si>
  <si>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</si>
  <si>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</si>
  <si>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</si>
  <si>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</si>
  <si>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</si>
  <si>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</si>
  <si>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</si>
  <si>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</si>
  <si>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</si>
  <si>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</si>
  <si>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</si>
  <si>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</si>
  <si>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</si>
  <si>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</si>
  <si>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</si>
  <si>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</si>
  <si>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</si>
  <si>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</si>
  <si>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</si>
  <si>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</si>
  <si>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</si>
  <si>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</si>
  <si>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</si>
  <si>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</si>
  <si>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</si>
  <si>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</si>
  <si>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</si>
  <si>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</si>
  <si>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</si>
  <si>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</si>
  <si>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</si>
  <si>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</si>
  <si>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</si>
  <si>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</si>
  <si>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</si>
  <si>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</si>
  <si>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</si>
  <si>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</si>
  <si>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</si>
  <si>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</si>
  <si>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</si>
  <si>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</si>
  <si>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</si>
  <si>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</si>
  <si>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</si>
  <si>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</si>
  <si>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</si>
  <si>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</si>
  <si>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</si>
  <si>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</si>
  <si>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</si>
  <si>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</si>
  <si>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</si>
  <si>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</si>
  <si>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</si>
  <si>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</si>
  <si>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</si>
  <si>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</si>
  <si>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</si>
  <si>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</si>
  <si>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</si>
  <si>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</si>
  <si>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</si>
  <si>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</si>
  <si>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</si>
  <si>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</si>
  <si>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</si>
  <si>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</si>
  <si>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</si>
  <si>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</si>
  <si>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</si>
  <si>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</si>
  <si>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</si>
  <si>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</si>
  <si>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</si>
  <si>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</si>
  <si>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</si>
  <si>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</si>
  <si>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</si>
  <si>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</si>
  <si>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</si>
  <si>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</si>
  <si>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</si>
  <si>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</si>
  <si>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</si>
  <si>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</si>
  <si>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</si>
  <si>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</si>
  <si>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</si>
  <si>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</si>
  <si>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</si>
  <si>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</si>
  <si>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</si>
  <si>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</si>
  <si>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</si>
  <si>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</si>
  <si>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</si>
  <si>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</si>
  <si>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</si>
  <si>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</si>
  <si>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</si>
  <si>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</si>
  <si>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</si>
  <si>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</si>
  <si>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</si>
  <si>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</si>
  <si>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</si>
  <si>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</si>
  <si>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</si>
  <si>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</si>
  <si>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</si>
  <si>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</si>
  <si>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</si>
  <si>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</si>
  <si>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</si>
  <si>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</si>
  <si>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</si>
  <si>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</si>
  <si>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</si>
  <si>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</si>
  <si>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</si>
  <si>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</si>
  <si>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</si>
  <si>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</si>
  <si>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</si>
  <si>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</si>
  <si>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</si>
  <si>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</si>
  <si>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</si>
  <si>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</si>
  <si>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</si>
  <si>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</si>
  <si>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</si>
  <si>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</si>
  <si>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</si>
  <si>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</si>
  <si>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</si>
  <si>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</si>
  <si>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</si>
  <si>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</si>
  <si>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</si>
  <si>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</si>
  <si>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</si>
  <si>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</si>
  <si>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</si>
  <si>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</si>
  <si>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</si>
  <si>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</si>
  <si>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</si>
  <si>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</si>
  <si>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</si>
  <si>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</si>
  <si>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</si>
  <si>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</si>
  <si>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</si>
  <si>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</si>
  <si>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</si>
  <si>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</si>
  <si>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</si>
  <si>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</si>
  <si>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</si>
  <si>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</si>
  <si>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</si>
  <si>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</si>
  <si>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</si>
  <si>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</si>
  <si>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</si>
  <si>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</si>
  <si>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</si>
  <si>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</si>
  <si>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</si>
  <si>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</si>
  <si>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</si>
  <si>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</si>
  <si>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</si>
  <si>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</si>
  <si>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</si>
  <si>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</si>
  <si>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</si>
  <si>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</si>
  <si>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</si>
  <si>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</si>
  <si>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</si>
  <si>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</si>
  <si>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</si>
  <si>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</si>
  <si>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</si>
  <si>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</si>
  <si>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</si>
  <si>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</si>
  <si>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</si>
  <si>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</si>
  <si>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</si>
  <si>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</si>
  <si>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</si>
  <si>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</si>
  <si>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</si>
  <si>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</si>
  <si>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</si>
  <si>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</si>
  <si>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</si>
  <si>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</si>
  <si>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</si>
  <si>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</si>
  <si>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</si>
  <si>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</si>
  <si>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</si>
  <si>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</si>
  <si>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</si>
  <si>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</si>
  <si>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</si>
  <si>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</si>
  <si>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</si>
  <si>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</si>
  <si>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</si>
  <si>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</si>
  <si>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</si>
  <si>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</si>
  <si>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</si>
  <si>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</si>
  <si>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</si>
  <si>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</si>
  <si>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</si>
  <si>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</si>
  <si>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</si>
  <si>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</si>
  <si>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</si>
  <si>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</si>
  <si>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</si>
  <si>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</si>
  <si>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</si>
  <si>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</si>
  <si>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</si>
  <si>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</si>
  <si>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</si>
  <si>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</si>
  <si>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</si>
  <si>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</si>
  <si>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</si>
  <si>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</si>
  <si>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</si>
  <si>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</si>
  <si>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</si>
  <si>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</si>
  <si>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</si>
  <si>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</si>
  <si>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</si>
  <si>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</si>
  <si>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</si>
  <si>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</si>
  <si>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</si>
  <si>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</si>
  <si>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</si>
  <si>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</si>
  <si>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</si>
  <si>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</si>
  <si>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</si>
  <si>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</si>
  <si>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</si>
  <si>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</si>
  <si>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</si>
  <si>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</si>
  <si>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</si>
  <si>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</si>
  <si>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</si>
  <si>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</si>
  <si>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</si>
  <si>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</si>
  <si>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</si>
  <si>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</si>
  <si>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</si>
  <si>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</si>
  <si>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</si>
  <si>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</si>
  <si>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</si>
  <si>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</si>
  <si>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</si>
  <si>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</si>
  <si>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</si>
  <si>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</si>
  <si>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</si>
  <si>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</si>
  <si>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</si>
  <si>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</si>
  <si>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</si>
  <si>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</si>
  <si>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</si>
  <si>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</si>
  <si>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</si>
  <si>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</si>
  <si>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</si>
  <si>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</si>
  <si>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</si>
  <si>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</si>
  <si>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</si>
  <si>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</si>
  <si>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</si>
  <si>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</si>
  <si>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</si>
  <si>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</si>
  <si>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</si>
  <si>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</si>
  <si>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</si>
  <si>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</si>
  <si>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</si>
  <si>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</si>
  <si>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</si>
  <si>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</si>
  <si>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</si>
  <si>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</si>
  <si>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</si>
  <si>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</si>
  <si>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</si>
  <si>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</si>
  <si>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</si>
  <si>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</si>
  <si>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</si>
  <si>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</si>
  <si>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</si>
  <si>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</si>
  <si>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</si>
  <si>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</si>
  <si>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</si>
  <si>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</si>
  <si>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</si>
  <si>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</si>
  <si>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</si>
  <si>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</si>
  <si>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</si>
  <si>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</si>
  <si>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</si>
  <si>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</si>
  <si>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</si>
  <si>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</si>
  <si>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</si>
  <si>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</si>
  <si>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</si>
  <si>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</si>
  <si>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</si>
  <si>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</si>
  <si>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</si>
  <si>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</si>
  <si>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</si>
  <si>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</si>
  <si>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</si>
  <si>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</si>
  <si>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</si>
  <si>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</si>
  <si>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</si>
  <si>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</si>
  <si>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</si>
  <si>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</si>
  <si>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</si>
  <si>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</si>
  <si>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</si>
  <si>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</si>
  <si>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</si>
  <si>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</si>
  <si>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</si>
  <si>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</si>
  <si>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</si>
  <si>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</si>
  <si>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</si>
  <si>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</si>
  <si>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</si>
  <si>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</si>
  <si>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</si>
  <si>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</si>
  <si>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</si>
  <si>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</si>
  <si>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</si>
  <si>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</si>
  <si>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</si>
  <si>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</si>
  <si>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</si>
  <si>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</si>
  <si>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</si>
  <si>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</si>
  <si>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</si>
  <si>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</si>
  <si>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</si>
  <si>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</si>
  <si>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</si>
  <si>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</si>
  <si>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</si>
  <si>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</si>
  <si>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</si>
  <si>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</si>
  <si>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</si>
  <si>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</si>
  <si>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</si>
  <si>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</si>
  <si>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</si>
  <si>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</si>
  <si>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</si>
  <si>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</si>
  <si>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</si>
  <si>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</si>
  <si>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</si>
  <si>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</si>
  <si>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</si>
  <si>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</si>
  <si>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</si>
  <si>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</si>
  <si>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</si>
  <si>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</si>
  <si>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</si>
  <si>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</si>
  <si>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</si>
  <si>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</si>
  <si>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</si>
  <si>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</si>
  <si>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</si>
  <si>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</si>
  <si>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</si>
  <si>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</si>
  <si>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</si>
  <si>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</si>
  <si>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</si>
  <si>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</si>
  <si>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</si>
  <si>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</si>
  <si>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</si>
  <si>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</si>
  <si>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</si>
  <si>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</si>
  <si>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</si>
  <si>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</si>
  <si>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</si>
  <si>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</si>
  <si>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</si>
  <si>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</si>
  <si>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</si>
  <si>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</si>
  <si>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</si>
  <si>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</si>
  <si>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</si>
  <si>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</si>
  <si>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</si>
  <si>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</si>
  <si>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</si>
  <si>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</si>
  <si>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</si>
  <si>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</si>
  <si>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</si>
  <si>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</si>
  <si>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</si>
  <si>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</si>
  <si>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</si>
  <si>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</si>
  <si>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</si>
  <si>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</si>
  <si>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</si>
  <si>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</si>
  <si>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</si>
  <si>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</si>
  <si>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</si>
  <si>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</si>
  <si>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</si>
  <si>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</si>
  <si>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</si>
  <si>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</si>
  <si>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</si>
  <si>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</si>
  <si>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</si>
  <si>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</si>
  <si>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</si>
  <si>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</si>
  <si>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</si>
  <si>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</si>
  <si>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</si>
  <si>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</si>
  <si>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</si>
  <si>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</si>
  <si>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</si>
  <si>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</si>
  <si>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</si>
  <si>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</si>
  <si>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</si>
  <si>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</si>
  <si>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</si>
  <si>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</si>
  <si>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</si>
  <si>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</si>
  <si>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</si>
  <si>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</si>
  <si>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</si>
  <si>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</si>
  <si>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</si>
  <si>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</si>
  <si>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</si>
  <si>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</si>
  <si>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</si>
  <si>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</si>
  <si>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</si>
  <si>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</si>
  <si>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</si>
  <si>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</si>
  <si>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</si>
  <si>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</si>
  <si>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</si>
  <si>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</si>
  <si>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</si>
  <si>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</si>
  <si>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</si>
  <si>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</si>
  <si>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</si>
  <si>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</si>
  <si>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</si>
  <si>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</si>
  <si>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</si>
  <si>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</si>
  <si>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</si>
  <si>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</si>
  <si>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</si>
  <si>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</si>
  <si>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</si>
  <si>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</si>
  <si>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</si>
  <si>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</si>
  <si>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</si>
  <si>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</si>
  <si>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</si>
  <si>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</si>
  <si>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</si>
  <si>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</si>
  <si>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</si>
  <si>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</si>
  <si>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</si>
  <si>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</si>
  <si>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</si>
  <si>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</si>
  <si>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</si>
  <si>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</si>
  <si>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</si>
  <si>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</si>
  <si>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</si>
  <si>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</si>
  <si>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</si>
  <si>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</si>
  <si>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</si>
  <si>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</si>
  <si>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</si>
  <si>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</si>
  <si>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</si>
  <si>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</si>
  <si>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</si>
  <si>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</si>
  <si>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</si>
  <si>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</si>
  <si>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</si>
  <si>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</si>
  <si>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</si>
  <si>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</si>
  <si>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</si>
  <si>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</si>
  <si>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</si>
  <si>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</si>
  <si>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</si>
  <si>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</si>
  <si>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</si>
  <si>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</si>
  <si>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</si>
  <si>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</si>
  <si>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</si>
  <si>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</si>
  <si>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</si>
  <si>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</si>
  <si>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</si>
  <si>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</si>
  <si>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</si>
  <si>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</si>
  <si>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</si>
  <si>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</si>
  <si>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</si>
  <si>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</si>
  <si>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</si>
  <si>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</si>
  <si>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</si>
  <si>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</si>
  <si>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</si>
  <si>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</si>
  <si>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</si>
  <si>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</si>
  <si>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</si>
  <si>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</si>
  <si>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</si>
  <si>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</si>
  <si>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</si>
  <si>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</si>
  <si>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</si>
  <si>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</si>
  <si>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</si>
  <si>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</si>
  <si>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</si>
  <si>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</si>
  <si>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</si>
  <si>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</si>
  <si>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</si>
  <si>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</si>
  <si>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</si>
  <si>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</si>
  <si>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</si>
  <si>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</si>
  <si>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</si>
  <si>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</si>
  <si>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</si>
  <si>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</si>
  <si>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</si>
  <si>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</si>
  <si>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</si>
  <si>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</si>
  <si>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</si>
  <si>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</si>
  <si>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</si>
  <si>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</si>
  <si>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</si>
  <si>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</si>
  <si>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</si>
  <si>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</si>
  <si>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</si>
  <si>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</si>
  <si>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</si>
  <si>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</si>
  <si>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</si>
  <si>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</si>
  <si>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</si>
  <si>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</si>
  <si>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</si>
  <si>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</si>
  <si>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</si>
  <si>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</si>
  <si>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</si>
  <si>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</si>
  <si>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</si>
  <si>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</si>
  <si>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</si>
  <si>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</si>
  <si>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</si>
  <si>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</si>
  <si>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</si>
  <si>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</si>
  <si>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</si>
  <si>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</si>
  <si>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</si>
  <si>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</si>
  <si>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</si>
  <si>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</si>
  <si>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</si>
  <si>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</si>
  <si>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</si>
  <si>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</si>
  <si>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</si>
  <si>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</si>
  <si>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</si>
  <si>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</si>
  <si>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</si>
  <si>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</si>
  <si>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</si>
  <si>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</si>
  <si>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</si>
  <si>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</si>
  <si>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</si>
  <si>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</si>
  <si>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</si>
  <si>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</si>
  <si>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</si>
  <si>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</si>
  <si>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</si>
  <si>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</si>
  <si>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</si>
  <si>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</si>
  <si>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</si>
  <si>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</si>
  <si>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</si>
  <si>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</si>
  <si>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</si>
  <si>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</si>
  <si>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</si>
  <si>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</si>
  <si>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</si>
  <si>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</si>
  <si>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</si>
  <si>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</si>
  <si>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</si>
  <si>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</si>
  <si>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</si>
  <si>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</si>
  <si>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</si>
  <si>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</si>
  <si>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</si>
  <si>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</si>
  <si>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</si>
  <si>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</si>
  <si>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</si>
  <si>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</si>
  <si>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</si>
  <si>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</si>
  <si>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</si>
  <si>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</si>
  <si>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</si>
  <si>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</si>
  <si>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</si>
  <si>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</si>
  <si>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</si>
  <si>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</si>
  <si>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</si>
  <si>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</si>
  <si>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</si>
  <si>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</si>
  <si>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</si>
  <si>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</si>
  <si>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</si>
  <si>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</si>
  <si>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</si>
  <si>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</si>
  <si>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</si>
  <si>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</si>
  <si>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</si>
  <si>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</si>
  <si>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</si>
  <si>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</si>
  <si>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</si>
  <si>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</si>
  <si>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</si>
  <si>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</si>
  <si>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</si>
  <si>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</si>
  <si>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</si>
  <si>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</si>
  <si>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</si>
  <si>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</si>
  <si>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</si>
  <si>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</si>
  <si>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</si>
  <si>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</si>
  <si>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</si>
  <si>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</si>
  <si>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</si>
  <si>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</si>
  <si>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</si>
  <si>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</si>
  <si>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</si>
  <si>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</si>
  <si>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</si>
  <si>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</si>
  <si>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</si>
  <si>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</si>
  <si>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</si>
  <si>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</si>
  <si>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</si>
  <si>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</si>
  <si>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</si>
  <si>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</si>
  <si>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</si>
  <si>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</si>
  <si>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</si>
  <si>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</si>
  <si>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</si>
  <si>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</si>
  <si>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</si>
  <si>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</si>
  <si>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</si>
  <si>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</si>
  <si>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</si>
  <si>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</si>
  <si>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</si>
  <si>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</si>
  <si>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</si>
  <si>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</si>
  <si>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</si>
  <si>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</si>
  <si>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</si>
  <si>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</si>
  <si>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</si>
  <si>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</si>
  <si>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</si>
  <si>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</si>
  <si>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</si>
  <si>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</si>
  <si>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</si>
  <si>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</si>
  <si>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</si>
  <si>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</si>
  <si>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</si>
  <si>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</si>
  <si>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</si>
  <si>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</si>
  <si>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</si>
  <si>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</si>
  <si>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</si>
  <si>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</si>
  <si>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</si>
  <si>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</si>
  <si>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</si>
  <si>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</si>
  <si>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</si>
  <si>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</si>
  <si>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</si>
  <si>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</si>
  <si>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</si>
  <si>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</si>
  <si>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</si>
  <si>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</si>
  <si>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</si>
  <si>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</si>
  <si>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</si>
  <si>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</si>
  <si>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</si>
  <si>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</si>
  <si>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</si>
  <si>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</si>
  <si>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</si>
  <si>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</si>
  <si>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</si>
  <si>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</si>
  <si>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</si>
  <si>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</si>
  <si>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</si>
  <si>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</si>
  <si>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</si>
  <si>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</si>
  <si>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</si>
  <si>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</si>
  <si>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</si>
  <si>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</si>
  <si>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</si>
  <si>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</si>
  <si>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</si>
  <si>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</si>
  <si>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</si>
  <si>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</si>
  <si>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</si>
  <si>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</si>
  <si>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</si>
  <si>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</si>
  <si>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</si>
  <si>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</si>
  <si>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</si>
  <si>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</si>
  <si>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</si>
  <si>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</si>
  <si>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</si>
  <si>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</si>
  <si>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</si>
  <si>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</si>
  <si>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</si>
  <si>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</si>
  <si>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</si>
  <si>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</si>
  <si>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</si>
  <si>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</si>
  <si>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</si>
  <si>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</si>
  <si>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</si>
  <si>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</si>
  <si>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</si>
  <si>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</si>
  <si>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</si>
  <si>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</si>
  <si>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</si>
  <si>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</si>
  <si>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</si>
  <si>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</si>
  <si>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</si>
  <si>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</si>
  <si>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</si>
  <si>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</si>
  <si>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</si>
  <si>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</si>
  <si>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</si>
  <si>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</si>
  <si>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</si>
  <si>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</si>
  <si>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</si>
  <si>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</si>
  <si>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</si>
  <si>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</si>
  <si>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</si>
  <si>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</si>
  <si>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</si>
  <si>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</si>
  <si>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</si>
  <si>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</si>
  <si>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</si>
  <si>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</si>
  <si>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</si>
  <si>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</si>
  <si>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</si>
  <si>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</si>
  <si>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</si>
  <si>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</si>
  <si>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</si>
  <si>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</si>
  <si>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</si>
  <si>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</si>
  <si>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</si>
  <si>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</si>
  <si>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</si>
  <si>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</si>
  <si>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</si>
  <si>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</si>
  <si>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</si>
  <si>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</si>
  <si>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</si>
  <si>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</si>
  <si>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</si>
  <si>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</si>
  <si>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</si>
  <si>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</si>
  <si>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</si>
  <si>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</si>
  <si>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</si>
  <si>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</si>
  <si>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</si>
  <si>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</si>
  <si>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</si>
  <si>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</si>
  <si>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</si>
  <si>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</si>
  <si>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</si>
  <si>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</si>
  <si>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</si>
  <si>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</si>
  <si>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</si>
  <si>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</si>
  <si>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</si>
  <si>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</si>
  <si>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</si>
  <si>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</si>
  <si>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</si>
  <si>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</si>
  <si>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</si>
  <si>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</si>
  <si>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</si>
  <si>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</si>
  <si>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</si>
  <si>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</si>
  <si>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</si>
  <si>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</si>
  <si>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</si>
  <si>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</si>
  <si>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</si>
  <si>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</si>
  <si>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</si>
  <si>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</si>
  <si>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</si>
  <si>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</si>
  <si>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</si>
  <si>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</si>
  <si>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</si>
  <si>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</si>
  <si>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</si>
  <si>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</si>
  <si>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</si>
  <si>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</si>
  <si>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</si>
  <si>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</si>
  <si>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</si>
  <si>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</si>
  <si>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</si>
  <si>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</si>
  <si>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</si>
  <si>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</si>
  <si>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</si>
  <si>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</si>
  <si>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</si>
  <si>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</si>
  <si>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</si>
  <si>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</si>
  <si>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</si>
  <si>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</si>
  <si>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</si>
  <si>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</si>
  <si>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</si>
  <si>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</si>
  <si>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</si>
  <si>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</si>
  <si>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</si>
  <si>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</si>
  <si>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</si>
  <si>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</si>
  <si>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</si>
  <si>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</si>
  <si>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</si>
  <si>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</si>
  <si>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</si>
  <si>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</si>
  <si>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</si>
  <si>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</si>
  <si>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</si>
  <si>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</si>
  <si>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</si>
  <si>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</si>
  <si>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</si>
  <si>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</si>
  <si>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</si>
  <si>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</si>
  <si>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</si>
  <si>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</si>
  <si>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</si>
  <si>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</si>
  <si>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</si>
  <si>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</si>
  <si>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</si>
  <si>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</si>
  <si>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</si>
  <si>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</si>
  <si>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</si>
  <si>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</si>
  <si>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</si>
  <si>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</si>
  <si>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</si>
  <si>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</si>
  <si>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</si>
  <si>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</si>
  <si>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</si>
  <si>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</si>
  <si>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</si>
  <si>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</si>
  <si>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</si>
  <si>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</si>
  <si>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</si>
  <si>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</si>
  <si>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</si>
  <si>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</si>
  <si>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</si>
  <si>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</si>
  <si>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</si>
  <si>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</si>
  <si>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</si>
  <si>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</si>
  <si>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</si>
  <si>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</si>
  <si>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</si>
  <si>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</si>
  <si>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</si>
  <si>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</si>
  <si>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</si>
  <si>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</si>
  <si>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</si>
  <si>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</si>
  <si>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</si>
  <si>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</si>
  <si>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</si>
  <si>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</si>
  <si>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</si>
  <si>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</si>
  <si>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</si>
  <si>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</si>
  <si>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</si>
  <si>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</si>
  <si>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</si>
  <si>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</si>
  <si>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</si>
  <si>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</si>
  <si>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</si>
  <si>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</si>
  <si>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</si>
  <si>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</si>
  <si>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</si>
  <si>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</si>
  <si>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</si>
  <si>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</si>
  <si>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</si>
  <si>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</si>
  <si>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</si>
  <si>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</si>
  <si>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</si>
  <si>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</si>
  <si>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</si>
  <si>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</si>
  <si>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</si>
  <si>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</si>
  <si>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</si>
  <si>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</si>
  <si>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</si>
  <si>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</si>
  <si>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</si>
  <si>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</si>
  <si>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</si>
  <si>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</si>
  <si>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</si>
  <si>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</si>
  <si>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</si>
  <si>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</si>
  <si>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</si>
  <si>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</si>
  <si>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</si>
  <si>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</si>
  <si>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</si>
  <si>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</si>
  <si>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</si>
  <si>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</si>
  <si>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</si>
  <si>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</si>
  <si>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</si>
  <si>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</si>
  <si>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</si>
  <si>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</si>
  <si>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</si>
  <si>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</si>
  <si>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</si>
  <si>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</si>
  <si>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</si>
  <si>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</si>
  <si>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</si>
  <si>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</si>
  <si>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</si>
  <si>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</si>
  <si>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</si>
  <si>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</si>
  <si>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</si>
  <si>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</si>
  <si>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</si>
  <si>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</si>
  <si>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</si>
  <si>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</si>
  <si>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</si>
  <si>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</si>
  <si>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</si>
  <si>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</si>
  <si>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</si>
  <si>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</si>
  <si>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</si>
  <si>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</si>
  <si>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</si>
  <si>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</si>
  <si>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</si>
  <si>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</si>
  <si>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</si>
  <si>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</si>
  <si>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</si>
  <si>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</si>
  <si>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</si>
  <si>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</si>
  <si>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</si>
  <si>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</si>
  <si>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</si>
  <si>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</si>
  <si>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</si>
  <si>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</si>
  <si>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</si>
  <si>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</si>
  <si>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</si>
  <si>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</si>
  <si>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</si>
  <si>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</si>
  <si>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</si>
  <si>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</si>
  <si>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</si>
  <si>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</si>
  <si>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</si>
  <si>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</si>
  <si>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</si>
  <si>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</si>
  <si>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</si>
  <si>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</si>
  <si>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</si>
  <si>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</si>
  <si>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</si>
  <si>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</si>
  <si>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</si>
  <si>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</si>
  <si>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</si>
  <si>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</si>
  <si>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</si>
  <si>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</si>
  <si>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</si>
  <si>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</si>
  <si>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</si>
  <si>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</si>
  <si>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</si>
  <si>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</si>
  <si>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</si>
  <si>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</si>
  <si>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</si>
  <si>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</si>
  <si>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</si>
  <si>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</si>
  <si>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</si>
  <si>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</si>
  <si>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</si>
  <si>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</si>
  <si>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</si>
  <si>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</si>
  <si>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</si>
  <si>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</si>
  <si>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</si>
  <si>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</si>
  <si>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</si>
  <si>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</si>
  <si>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</si>
  <si>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</si>
  <si>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</si>
  <si>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</si>
  <si>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</si>
  <si>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</si>
  <si>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</si>
  <si>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</si>
  <si>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</si>
  <si>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</si>
  <si>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</si>
  <si>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</si>
  <si>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</si>
  <si>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</si>
  <si>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</si>
  <si>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</si>
  <si>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</si>
  <si>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</si>
  <si>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</si>
  <si>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</si>
  <si>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</si>
  <si>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</si>
  <si>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</si>
  <si>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</si>
  <si>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</si>
  <si>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</si>
  <si>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</si>
  <si>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</si>
  <si>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</si>
  <si>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</si>
  <si>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</si>
  <si>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</si>
  <si>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</si>
  <si>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</si>
  <si>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</si>
  <si>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</si>
  <si>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</si>
  <si>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</si>
  <si>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</si>
  <si>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</si>
  <si>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</si>
  <si>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</si>
  <si>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</si>
  <si>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</si>
  <si>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</si>
  <si>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</si>
  <si>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</si>
  <si>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</si>
  <si>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</si>
  <si>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</si>
  <si>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</si>
  <si>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</si>
  <si>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</si>
  <si>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</si>
  <si>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</si>
  <si>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</si>
  <si>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</si>
  <si>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</si>
  <si>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</si>
  <si>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</si>
  <si>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</si>
  <si>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</si>
  <si>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</si>
  <si>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</si>
  <si>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</si>
  <si>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</si>
  <si>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</si>
  <si>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</si>
  <si>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</si>
  <si>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</si>
  <si>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</si>
  <si>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</si>
  <si>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</si>
  <si>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</si>
  <si>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</si>
  <si>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</si>
  <si>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</si>
  <si>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</si>
  <si>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</si>
  <si>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</si>
  <si>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</si>
  <si>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</si>
  <si>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</si>
  <si>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</si>
  <si>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</si>
  <si>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</si>
  <si>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</si>
  <si>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</si>
  <si>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</si>
  <si>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</si>
  <si>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</si>
  <si>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</si>
  <si>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</si>
  <si>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</si>
  <si>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</si>
  <si>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</si>
  <si>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</si>
  <si>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</si>
  <si>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</si>
  <si>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</si>
  <si>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</si>
  <si>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</si>
  <si>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</si>
  <si>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</si>
  <si>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</si>
  <si>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</si>
  <si>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</si>
  <si>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</si>
  <si>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</si>
  <si>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</si>
  <si>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</si>
  <si>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</si>
  <si>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</si>
  <si>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</si>
  <si>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</si>
  <si>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</si>
  <si>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</si>
  <si>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</si>
  <si>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</si>
  <si>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</si>
  <si>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</si>
  <si>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</si>
  <si>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</si>
  <si>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</si>
  <si>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</si>
  <si>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</si>
  <si>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</si>
  <si>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</si>
  <si>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</si>
  <si>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</si>
  <si>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</si>
  <si>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</si>
  <si>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</si>
  <si>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</si>
  <si>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</si>
  <si>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</si>
  <si>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</si>
  <si>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</si>
  <si>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</si>
  <si>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</si>
  <si>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</si>
  <si>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</si>
  <si>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</si>
  <si>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</si>
  <si>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</si>
  <si>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</si>
  <si>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</si>
  <si>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</si>
  <si>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</si>
  <si>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</si>
  <si>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</si>
  <si>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</si>
  <si>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</si>
  <si>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</si>
  <si>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</si>
  <si>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</si>
  <si>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</si>
  <si>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</si>
  <si>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</si>
  <si>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</si>
  <si>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</si>
  <si>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</si>
  <si>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</si>
  <si>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</si>
  <si>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</si>
  <si>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</si>
  <si>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</si>
  <si>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</si>
  <si>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</si>
  <si>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</si>
  <si>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</si>
  <si>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</si>
  <si>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</si>
  <si>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</si>
  <si>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</si>
  <si>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</si>
  <si>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</si>
  <si>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</si>
  <si>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</si>
  <si>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</si>
  <si>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</si>
  <si>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</si>
  <si>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</si>
  <si>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</si>
  <si>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</si>
  <si>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</si>
  <si>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</si>
  <si>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</si>
  <si>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</si>
  <si>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</si>
  <si>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</si>
  <si>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</si>
  <si>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</si>
  <si>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</si>
  <si>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</si>
  <si>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</si>
  <si>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</si>
  <si>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</si>
  <si>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</si>
  <si>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</si>
  <si>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</si>
  <si>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</si>
  <si>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</si>
  <si>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</si>
  <si>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</si>
  <si>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</si>
  <si>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</si>
  <si>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</si>
  <si>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</si>
  <si>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</si>
  <si>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</si>
  <si>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</si>
  <si>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</si>
  <si>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</si>
  <si>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</si>
  <si>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</si>
  <si>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</si>
  <si>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</si>
  <si>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</si>
  <si>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</si>
  <si>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</si>
  <si>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</si>
  <si>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</si>
  <si>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</si>
  <si>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</si>
  <si>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</si>
  <si>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</si>
  <si>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</si>
  <si>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</si>
  <si>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</si>
  <si>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</si>
  <si>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</si>
  <si>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</si>
  <si>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</si>
  <si>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</si>
  <si>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</si>
  <si>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</si>
  <si>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</si>
  <si>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</si>
  <si>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</si>
  <si>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</si>
  <si>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</si>
  <si>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</si>
  <si>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</si>
  <si>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</si>
  <si>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</si>
  <si>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</si>
  <si>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</si>
  <si>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</si>
  <si>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</si>
  <si>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</si>
  <si>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</si>
  <si>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</si>
  <si>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</si>
  <si>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</si>
  <si>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</si>
  <si>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</si>
  <si>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</si>
  <si>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</si>
  <si>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</si>
  <si>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</si>
  <si>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</si>
  <si>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</si>
  <si>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</si>
  <si>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</si>
  <si>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</si>
  <si>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</si>
  <si>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</si>
  <si>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</si>
  <si>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</si>
  <si>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</si>
  <si>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</si>
  <si>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</si>
  <si>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</si>
  <si>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</si>
  <si>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</si>
  <si>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</si>
  <si>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</si>
  <si>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</si>
  <si>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</si>
  <si>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</si>
  <si>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</si>
  <si>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</si>
  <si>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</si>
  <si>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</si>
  <si>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</si>
  <si>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</si>
  <si>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</si>
  <si>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</si>
  <si>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</si>
  <si>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</si>
  <si>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</si>
  <si>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</si>
  <si>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</si>
  <si>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</si>
  <si>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</si>
  <si>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</si>
  <si>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</si>
  <si>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</si>
  <si>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</si>
  <si>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</si>
  <si>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</si>
  <si>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</si>
  <si>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</si>
  <si>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</si>
  <si>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</si>
  <si>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</si>
  <si>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</si>
  <si>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</si>
  <si>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</si>
  <si>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</si>
  <si>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</si>
  <si>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</si>
  <si>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</si>
  <si>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</si>
  <si>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</si>
  <si>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</si>
  <si>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</si>
  <si>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</si>
  <si>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</si>
  <si>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</si>
  <si>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</si>
  <si>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</si>
  <si>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</si>
  <si>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</si>
  <si>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</si>
  <si>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</si>
  <si>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</si>
  <si>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</si>
  <si>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</si>
  <si>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</si>
  <si>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</si>
  <si>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</si>
  <si>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</si>
  <si>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</si>
  <si>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</si>
  <si>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</si>
  <si>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</si>
  <si>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</si>
  <si>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</si>
  <si>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</si>
  <si>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</si>
  <si>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</si>
  <si>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</si>
  <si>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</si>
  <si>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</si>
  <si>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</si>
  <si>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</si>
  <si>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</si>
  <si>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</si>
  <si>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</si>
  <si>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</si>
  <si>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</si>
  <si>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</si>
  <si>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</si>
  <si>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</si>
  <si>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</si>
  <si>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</si>
  <si>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</si>
  <si>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</si>
  <si>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</si>
  <si>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</si>
  <si>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</si>
  <si>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</si>
  <si>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</si>
  <si>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</si>
  <si>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</si>
  <si>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</si>
  <si>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</si>
  <si>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</si>
  <si>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</si>
  <si>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</si>
  <si>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</si>
  <si>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</si>
  <si>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</si>
  <si>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</si>
  <si>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</si>
  <si>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</si>
  <si>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</si>
  <si>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</si>
  <si>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</si>
  <si>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</si>
  <si>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</si>
  <si>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</si>
  <si>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</si>
  <si>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</si>
  <si>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</si>
  <si>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</si>
  <si>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</si>
  <si>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</si>
  <si>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</si>
  <si>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</si>
  <si>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</si>
  <si>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</si>
  <si>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</si>
  <si>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</si>
  <si>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</si>
  <si>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</si>
  <si>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</si>
  <si>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</si>
  <si>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</si>
  <si>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</si>
  <si>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</si>
  <si>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</si>
  <si>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</si>
  <si>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</si>
  <si>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</si>
  <si>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</si>
  <si>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</si>
  <si>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</si>
  <si>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</si>
  <si>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</si>
  <si>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</si>
  <si>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</si>
  <si>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</si>
  <si>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</si>
  <si>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</si>
  <si>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</si>
  <si>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</si>
  <si>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</si>
  <si>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</si>
  <si>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</si>
  <si>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</si>
  <si>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</si>
  <si>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</si>
  <si>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</si>
  <si>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</si>
  <si>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</si>
  <si>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</si>
  <si>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</si>
  <si>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</si>
  <si>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</si>
  <si>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</si>
  <si>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</si>
  <si>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</si>
  <si>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</si>
  <si>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</si>
  <si>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</si>
  <si>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</si>
  <si>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</si>
  <si>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</si>
  <si>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</si>
  <si>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</si>
  <si>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</si>
  <si>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</si>
  <si>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</si>
  <si>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</si>
  <si>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</si>
  <si>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</si>
  <si>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</si>
  <si>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</si>
  <si>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</si>
  <si>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</si>
  <si>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</si>
  <si>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</si>
  <si>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</si>
  <si>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</si>
  <si>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</si>
  <si>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</si>
  <si>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</si>
  <si>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</si>
  <si>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</si>
  <si>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</si>
  <si>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</si>
  <si>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</si>
  <si>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</si>
  <si>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</si>
  <si>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</si>
  <si>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</si>
  <si>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</si>
  <si>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</si>
  <si>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</si>
  <si>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</si>
  <si>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</si>
  <si>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</si>
  <si>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</si>
  <si>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</si>
  <si>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</si>
  <si>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</si>
  <si>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</si>
  <si>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</si>
  <si>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</si>
  <si>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</si>
  <si>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</si>
  <si>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</si>
  <si>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</si>
  <si>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</si>
  <si>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</si>
  <si>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</si>
  <si>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</si>
  <si>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</si>
  <si>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</si>
  <si>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</si>
  <si>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</si>
  <si>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</si>
  <si>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</si>
  <si>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</si>
  <si>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</si>
  <si>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</si>
  <si>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</si>
  <si>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</si>
  <si>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</si>
  <si>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</si>
  <si>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</si>
  <si>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</si>
  <si>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</si>
  <si>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</si>
  <si>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</si>
  <si>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</si>
  <si>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</si>
  <si>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</si>
  <si>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</si>
  <si>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</si>
  <si>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</si>
  <si>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</si>
  <si>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</si>
  <si>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</si>
  <si>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</si>
  <si>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</si>
  <si>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</si>
  <si>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</si>
  <si>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</si>
  <si>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</si>
  <si>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</si>
  <si>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</si>
  <si>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</si>
  <si>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</si>
  <si>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</si>
  <si>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</si>
  <si>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</si>
  <si>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</si>
  <si>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</si>
  <si>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</si>
  <si>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</si>
  <si>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</si>
  <si>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</si>
  <si>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</si>
  <si>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</si>
  <si>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</si>
  <si>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</si>
  <si>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</si>
  <si>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</si>
  <si>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</si>
  <si>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</si>
  <si>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</si>
  <si>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</si>
  <si>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</si>
  <si>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</si>
  <si>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</si>
  <si>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</si>
  <si>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</si>
  <si>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</si>
  <si>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</si>
  <si>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</si>
  <si>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</si>
  <si>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</si>
  <si>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</si>
  <si>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</si>
  <si>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</si>
  <si>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</si>
  <si>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</si>
  <si>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</si>
  <si>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</si>
  <si>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</si>
  <si>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</si>
  <si>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</si>
  <si>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</si>
  <si>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</si>
  <si>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</si>
  <si>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</si>
  <si>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</si>
  <si>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</si>
  <si>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</si>
  <si>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</si>
  <si>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</si>
  <si>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</si>
  <si>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</si>
  <si>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</si>
  <si>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</si>
  <si>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</si>
  <si>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</si>
  <si>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</si>
  <si>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</si>
  <si>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</si>
  <si>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</si>
  <si>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</si>
  <si>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</si>
  <si>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</si>
  <si>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</si>
  <si>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</si>
  <si>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</si>
  <si>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</si>
  <si>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</si>
  <si>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</si>
  <si>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</si>
  <si>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</si>
  <si>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</si>
  <si>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</si>
  <si>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</si>
  <si>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</si>
  <si>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</si>
  <si>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</si>
  <si>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</si>
  <si>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</si>
  <si>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</si>
  <si>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</si>
  <si>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</si>
  <si>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</si>
  <si>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</si>
  <si>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</si>
  <si>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</si>
  <si>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</si>
  <si>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</si>
  <si>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avoided electricity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</si>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</sst>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11" fontId="0" fillId="0" borderId="0" xfId="0" applyNumberFormat="1"/>
    <xf numFmtId="11" fontId="6" fillId="3" borderId="0" xfId="2" applyNumberFormat="1"/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c.ny.gov/permits/6285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workbookViewId="0">
      <selection activeCell="J3" sqref="J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9939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9742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workbookViewId="0">
      <pane ySplit="2" topLeftCell="A276" activePane="bottomLeft" state="frozen"/>
      <selection pane="bottomLeft" activeCell="B264" sqref="B264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9904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9904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9904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9904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9904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9904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9904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9904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9904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9904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9904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9904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9904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9904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9904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9904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9904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9904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9904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9904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9904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9930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9930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9930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9930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9930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9930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9930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604</v>
      </c>
      <c r="C152">
        <f t="shared" ref="C152:C159" si="41">0.8*D152</f>
        <v>0.75616666666666665</v>
      </c>
      <c r="D152">
        <f>'Poultry AD Calculations'!C57/'Poultry AD Calculations'!A57</f>
        <v>0.94520833333333332</v>
      </c>
      <c r="E152">
        <f t="shared" ref="E152:E159" si="42">1.2*D152</f>
        <v>1.13425</v>
      </c>
      <c r="G152" t="s">
        <v>626</v>
      </c>
      <c r="H152">
        <v>1</v>
      </c>
      <c r="I152" s="24">
        <f t="shared" ref="I152:I160" si="43">C152*H152</f>
        <v>0.75616666666666665</v>
      </c>
      <c r="J152" s="24">
        <f t="shared" ref="J152:J160" si="44">D152*H152</f>
        <v>0.94520833333333332</v>
      </c>
      <c r="K152" s="24">
        <f t="shared" ref="K152:K160" si="45">E152*H152</f>
        <v>1.13425</v>
      </c>
      <c r="L152" s="2" t="s">
        <v>630</v>
      </c>
    </row>
    <row r="153" spans="1:12" x14ac:dyDescent="0.45">
      <c r="A153" t="s">
        <v>617</v>
      </c>
      <c r="B153" t="s">
        <v>604</v>
      </c>
      <c r="C153">
        <f t="shared" si="41"/>
        <v>0.38356000000000001</v>
      </c>
      <c r="D153">
        <f>'Poultry AD Calculations'!F57/'Poultry AD Calculations'!A57</f>
        <v>0.47944999999999999</v>
      </c>
      <c r="E153">
        <f t="shared" si="42"/>
        <v>0.57533999999999996</v>
      </c>
      <c r="G153" t="s">
        <v>626</v>
      </c>
      <c r="H153">
        <v>1</v>
      </c>
      <c r="I153" s="24">
        <f t="shared" si="43"/>
        <v>0.38356000000000001</v>
      </c>
      <c r="J153" s="24">
        <f t="shared" si="44"/>
        <v>0.47944999999999999</v>
      </c>
      <c r="K153" s="24">
        <f t="shared" si="45"/>
        <v>0.57533999999999996</v>
      </c>
      <c r="L153" s="2" t="s">
        <v>630</v>
      </c>
    </row>
    <row r="154" spans="1:12" x14ac:dyDescent="0.45">
      <c r="A154" t="s">
        <v>618</v>
      </c>
      <c r="B154" t="s">
        <v>604</v>
      </c>
      <c r="C154">
        <f>0.8*D154</f>
        <v>0.252</v>
      </c>
      <c r="D154">
        <f>'Poultry AD Calculations'!I4/'Poultry AD Calculations'!A4</f>
        <v>0.315</v>
      </c>
      <c r="E154">
        <f>1.2*D154</f>
        <v>0.378</v>
      </c>
      <c r="G154" t="s">
        <v>626</v>
      </c>
      <c r="H154">
        <v>1</v>
      </c>
      <c r="I154" s="24">
        <f t="shared" si="43"/>
        <v>0.252</v>
      </c>
      <c r="J154" s="24">
        <f t="shared" si="44"/>
        <v>0.315</v>
      </c>
      <c r="K154" s="24">
        <f t="shared" si="45"/>
        <v>0.378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9909</v>
      </c>
      <c r="B174" t="s">
        <v>9911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9912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9913</v>
      </c>
      <c r="M174" t="s">
        <v>9914</v>
      </c>
    </row>
    <row r="175" spans="1:13" x14ac:dyDescent="0.45">
      <c r="A175" t="s">
        <v>9910</v>
      </c>
      <c r="B175" t="s">
        <v>9911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9912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9913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9815</v>
      </c>
      <c r="B188" t="s">
        <v>9816</v>
      </c>
      <c r="C188">
        <f>0.9*D188</f>
        <v>467.82</v>
      </c>
      <c r="D188">
        <v>519.79999999999995</v>
      </c>
      <c r="E188">
        <f>1.1*D188</f>
        <v>571.78</v>
      </c>
      <c r="G188" t="s">
        <v>9817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9817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</f>
        <v>464.28596701705584</v>
      </c>
      <c r="I191" s="8">
        <f>C191*H191</f>
        <v>83.571474063070056</v>
      </c>
      <c r="J191" s="8">
        <f>D191*H191</f>
        <v>92.857193403411173</v>
      </c>
      <c r="K191" s="8">
        <f>E191*H191</f>
        <v>102.14291274375231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f>6</f>
        <v>6</v>
      </c>
      <c r="I192" s="12">
        <f>C192*H192</f>
        <v>7263</v>
      </c>
      <c r="J192" s="12">
        <f>D192*H192</f>
        <v>8070</v>
      </c>
      <c r="K192" s="12">
        <f>E192*H192</f>
        <v>8877.0000000000018</v>
      </c>
      <c r="L192" s="25" t="s">
        <v>180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</f>
        <v>464.28596701705584</v>
      </c>
      <c r="I193" s="8">
        <f t="shared" ref="I193" si="74">C193*H193</f>
        <v>83.571474063070056</v>
      </c>
      <c r="J193" s="8">
        <f t="shared" ref="J193" si="75">D193*H193</f>
        <v>92.857193403411173</v>
      </c>
      <c r="K193" s="8">
        <f t="shared" ref="K193" si="76">E193*H193</f>
        <v>102.14291274375231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f>6</f>
        <v>6</v>
      </c>
      <c r="I194" s="8">
        <f t="shared" ref="I194:I197" si="79">C194*H194</f>
        <v>3159</v>
      </c>
      <c r="J194" s="8">
        <f t="shared" ref="J194:J197" si="80">D194*H194</f>
        <v>3510</v>
      </c>
      <c r="K194" s="8">
        <f t="shared" ref="K194:K197" si="81">E194*H194</f>
        <v>3861</v>
      </c>
      <c r="L194" s="25" t="s">
        <v>180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f>6</f>
        <v>6</v>
      </c>
      <c r="I195" s="8">
        <f t="shared" si="79"/>
        <v>3585.6000000000004</v>
      </c>
      <c r="J195" s="8">
        <f t="shared" si="80"/>
        <v>3984</v>
      </c>
      <c r="K195" s="8">
        <f t="shared" si="81"/>
        <v>4382.4000000000005</v>
      </c>
      <c r="L195" s="25" t="s">
        <v>180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f>6</f>
        <v>6</v>
      </c>
      <c r="I196" s="8">
        <f t="shared" si="79"/>
        <v>4017.6000000000004</v>
      </c>
      <c r="J196" s="8">
        <f t="shared" si="80"/>
        <v>4464</v>
      </c>
      <c r="K196" s="8">
        <f t="shared" si="81"/>
        <v>4910.4000000000005</v>
      </c>
      <c r="L196" s="25" t="s">
        <v>180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f>6</f>
        <v>6</v>
      </c>
      <c r="I197" s="8">
        <f t="shared" si="79"/>
        <v>4698</v>
      </c>
      <c r="J197" s="8">
        <f t="shared" si="80"/>
        <v>5220</v>
      </c>
      <c r="K197" s="8">
        <f t="shared" si="81"/>
        <v>5742.0000000000009</v>
      </c>
      <c r="L197" s="25" t="s">
        <v>180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10273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10272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10270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10271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9905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9905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9905</v>
      </c>
    </row>
    <row r="269" spans="1:12" x14ac:dyDescent="0.45">
      <c r="A269" t="s">
        <v>9900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9905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9905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9905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9905</v>
      </c>
    </row>
    <row r="273" spans="1:12" x14ac:dyDescent="0.45">
      <c r="A273" t="s">
        <v>9901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9905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9905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9905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9905</v>
      </c>
    </row>
    <row r="277" spans="1:12" x14ac:dyDescent="0.45">
      <c r="A277" t="s">
        <v>9902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9905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9905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9905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9905</v>
      </c>
    </row>
    <row r="281" spans="1:12" x14ac:dyDescent="0.45">
      <c r="A281" t="s">
        <v>9903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9905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853" activePane="bottomLeft" state="frozen"/>
      <selection pane="bottomLeft" activeCell="A879" sqref="A879:B882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10373</v>
      </c>
      <c r="D3" s="43"/>
      <c r="E3" s="58">
        <v>1.3810499999999999E-5</v>
      </c>
      <c r="F3" s="43"/>
      <c r="G3" s="43"/>
      <c r="H3" s="43" t="s">
        <v>9705</v>
      </c>
      <c r="I3" s="43">
        <v>1</v>
      </c>
      <c r="J3" s="43"/>
      <c r="K3" s="43">
        <f>E3*I3</f>
        <v>1.3810499999999999E-5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10374</v>
      </c>
      <c r="D4" s="39"/>
      <c r="E4">
        <v>3.1890000000000002E-2</v>
      </c>
      <c r="F4" s="39"/>
      <c r="G4" s="39"/>
      <c r="H4" s="39" t="s">
        <v>9705</v>
      </c>
      <c r="I4" s="39">
        <v>1</v>
      </c>
      <c r="J4" s="39"/>
      <c r="K4" s="37">
        <f t="shared" ref="K4:K67" si="0">E4*I4</f>
        <v>3.1890000000000002E-2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10374</v>
      </c>
      <c r="E5">
        <v>1.2999999999999999E-4</v>
      </c>
      <c r="H5" s="39" t="s">
        <v>9705</v>
      </c>
      <c r="I5" s="39">
        <v>1</v>
      </c>
      <c r="K5" s="37">
        <f t="shared" si="0"/>
        <v>1.2999999999999999E-4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10374</v>
      </c>
      <c r="E6">
        <v>1.7000000000000001E-4</v>
      </c>
      <c r="H6" s="39" t="s">
        <v>9705</v>
      </c>
      <c r="I6" s="39">
        <v>1</v>
      </c>
      <c r="K6" s="37">
        <f t="shared" si="0"/>
        <v>1.7000000000000001E-4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10374</v>
      </c>
      <c r="E7">
        <v>1.0529999999999999E-2</v>
      </c>
      <c r="H7" s="39" t="s">
        <v>9705</v>
      </c>
      <c r="I7" s="39">
        <v>1</v>
      </c>
      <c r="K7" s="37">
        <f t="shared" si="0"/>
        <v>1.0529999999999999E-2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10374</v>
      </c>
      <c r="E8">
        <v>1.2030000000000001E-2</v>
      </c>
      <c r="H8" s="39" t="s">
        <v>9705</v>
      </c>
      <c r="I8" s="39">
        <v>1</v>
      </c>
      <c r="K8" s="37">
        <f t="shared" si="0"/>
        <v>1.2030000000000001E-2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10374</v>
      </c>
      <c r="E9" s="58">
        <v>5.4954000000000004E-7</v>
      </c>
      <c r="H9" s="39" t="s">
        <v>9705</v>
      </c>
      <c r="I9" s="39">
        <v>1</v>
      </c>
      <c r="K9" s="37">
        <f t="shared" si="0"/>
        <v>5.4954000000000004E-7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10374</v>
      </c>
      <c r="E10" s="58">
        <v>6.91856E-8</v>
      </c>
      <c r="H10" s="39" t="s">
        <v>9705</v>
      </c>
      <c r="I10" s="39">
        <v>1</v>
      </c>
      <c r="K10" s="37">
        <f t="shared" si="0"/>
        <v>6.91856E-8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10374</v>
      </c>
      <c r="E11">
        <v>3.8999999999999999E-4</v>
      </c>
      <c r="H11" s="39" t="s">
        <v>9705</v>
      </c>
      <c r="I11" s="39">
        <v>1</v>
      </c>
      <c r="K11" s="37">
        <f t="shared" si="0"/>
        <v>3.8999999999999999E-4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10374</v>
      </c>
      <c r="E12">
        <v>2.32E-3</v>
      </c>
      <c r="H12" s="39" t="s">
        <v>9705</v>
      </c>
      <c r="I12" s="39">
        <v>1</v>
      </c>
      <c r="K12" s="37">
        <f t="shared" si="0"/>
        <v>2.32E-3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10374</v>
      </c>
      <c r="E13">
        <v>1.1E-4</v>
      </c>
      <c r="H13" s="39" t="s">
        <v>9705</v>
      </c>
      <c r="I13" s="39">
        <v>1</v>
      </c>
      <c r="K13" s="37">
        <f t="shared" si="0"/>
        <v>1.1E-4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10374</v>
      </c>
      <c r="E14" s="58">
        <v>4.7838299999999999E-5</v>
      </c>
      <c r="H14" s="39" t="s">
        <v>9705</v>
      </c>
      <c r="I14" s="39">
        <v>1</v>
      </c>
      <c r="K14" s="37">
        <f t="shared" si="0"/>
        <v>4.7838299999999999E-5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10374</v>
      </c>
      <c r="E15">
        <v>1.6000000000000001E-4</v>
      </c>
      <c r="H15" s="39" t="s">
        <v>9705</v>
      </c>
      <c r="I15" s="39">
        <v>1</v>
      </c>
      <c r="K15" s="37">
        <f t="shared" si="0"/>
        <v>1.6000000000000001E-4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10374</v>
      </c>
      <c r="E16" s="58">
        <v>5.6193700000000002E-9</v>
      </c>
      <c r="H16" s="39" t="s">
        <v>9705</v>
      </c>
      <c r="I16" s="39">
        <v>1</v>
      </c>
      <c r="K16" s="37">
        <f t="shared" si="0"/>
        <v>5.6193700000000002E-9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10374</v>
      </c>
      <c r="E17" s="58">
        <v>5.5468199999999997E-6</v>
      </c>
      <c r="H17" s="39" t="s">
        <v>9705</v>
      </c>
      <c r="I17" s="39">
        <v>1</v>
      </c>
      <c r="K17" s="37">
        <f t="shared" si="0"/>
        <v>5.5468199999999997E-6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10374</v>
      </c>
      <c r="E18" s="58">
        <v>3.4452000000000002E-5</v>
      </c>
      <c r="H18" s="39" t="s">
        <v>9705</v>
      </c>
      <c r="I18" s="39">
        <v>1</v>
      </c>
      <c r="K18" s="37">
        <f t="shared" si="0"/>
        <v>3.4452000000000002E-5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10374</v>
      </c>
      <c r="E19" s="58">
        <v>3.9466199999999998E-5</v>
      </c>
      <c r="H19" s="39" t="s">
        <v>9705</v>
      </c>
      <c r="I19" s="39">
        <v>1</v>
      </c>
      <c r="K19" s="37">
        <f t="shared" si="0"/>
        <v>3.9466199999999998E-5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10374</v>
      </c>
      <c r="E20" s="58">
        <v>6.5298300000000005E-5</v>
      </c>
      <c r="H20" s="39" t="s">
        <v>9705</v>
      </c>
      <c r="I20" s="39">
        <v>1</v>
      </c>
      <c r="K20" s="37">
        <f t="shared" si="0"/>
        <v>6.5298300000000005E-5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10375</v>
      </c>
      <c r="D21" s="43"/>
      <c r="E21">
        <v>3.6999999999999999E-4</v>
      </c>
      <c r="F21" s="43"/>
      <c r="G21" s="43"/>
      <c r="H21" s="43" t="s">
        <v>9688</v>
      </c>
      <c r="I21" s="43">
        <v>1</v>
      </c>
      <c r="J21" s="43"/>
      <c r="K21" s="37">
        <f t="shared" si="0"/>
        <v>3.6999999999999999E-4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10375</v>
      </c>
      <c r="D22" s="39"/>
      <c r="E22">
        <v>0.24926000000000001</v>
      </c>
      <c r="F22" s="39"/>
      <c r="G22" s="39"/>
      <c r="H22" s="39" t="s">
        <v>9688</v>
      </c>
      <c r="I22" s="39">
        <v>1</v>
      </c>
      <c r="J22" s="39"/>
      <c r="K22" s="37">
        <f t="shared" si="0"/>
        <v>0.24926000000000001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10375</v>
      </c>
      <c r="E23">
        <v>3.449E-2</v>
      </c>
      <c r="H23" s="39" t="s">
        <v>9688</v>
      </c>
      <c r="I23" s="39">
        <v>1</v>
      </c>
      <c r="K23" s="37">
        <f t="shared" si="0"/>
        <v>3.449E-2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10375</v>
      </c>
      <c r="E24">
        <v>4.2889999999999998E-2</v>
      </c>
      <c r="H24" s="39" t="s">
        <v>9688</v>
      </c>
      <c r="I24" s="39">
        <v>1</v>
      </c>
      <c r="K24" s="37">
        <f t="shared" si="0"/>
        <v>4.2889999999999998E-2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10375</v>
      </c>
      <c r="E25">
        <v>1.8829</v>
      </c>
      <c r="H25" s="39" t="s">
        <v>9688</v>
      </c>
      <c r="I25" s="39">
        <v>1</v>
      </c>
      <c r="K25" s="37">
        <f t="shared" si="0"/>
        <v>1.8829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10375</v>
      </c>
      <c r="E26">
        <v>8.8260000000000005E-2</v>
      </c>
      <c r="H26" s="39" t="s">
        <v>9688</v>
      </c>
      <c r="I26" s="39">
        <v>1</v>
      </c>
      <c r="K26" s="37">
        <f t="shared" si="0"/>
        <v>8.8260000000000005E-2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10375</v>
      </c>
      <c r="E27">
        <v>3.1600999999999998E-5</v>
      </c>
      <c r="H27" s="39" t="s">
        <v>9688</v>
      </c>
      <c r="I27" s="39">
        <v>1</v>
      </c>
      <c r="K27" s="37">
        <f t="shared" si="0"/>
        <v>3.1600999999999998E-5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10375</v>
      </c>
      <c r="E28">
        <v>6.0714E-6</v>
      </c>
      <c r="H28" s="39" t="s">
        <v>9688</v>
      </c>
      <c r="I28" s="39">
        <v>1</v>
      </c>
      <c r="K28" s="37">
        <f t="shared" si="0"/>
        <v>6.0714E-6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10375</v>
      </c>
      <c r="E29">
        <v>8.3599999999999994E-3</v>
      </c>
      <c r="H29" s="39" t="s">
        <v>9688</v>
      </c>
      <c r="I29" s="39">
        <v>1</v>
      </c>
      <c r="K29" s="37">
        <f t="shared" si="0"/>
        <v>8.3599999999999994E-3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10375</v>
      </c>
      <c r="E30">
        <v>0.33618999999999999</v>
      </c>
      <c r="H30" s="39" t="s">
        <v>9688</v>
      </c>
      <c r="I30" s="39">
        <v>1</v>
      </c>
      <c r="K30" s="37">
        <f t="shared" si="0"/>
        <v>0.33618999999999999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10375</v>
      </c>
      <c r="E31">
        <v>0.25206000000000001</v>
      </c>
      <c r="H31" s="39" t="s">
        <v>9688</v>
      </c>
      <c r="I31" s="39">
        <v>1</v>
      </c>
      <c r="K31" s="37">
        <f t="shared" si="0"/>
        <v>0.25206000000000001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10375</v>
      </c>
      <c r="E32">
        <v>1.414E-2</v>
      </c>
      <c r="H32" s="39" t="s">
        <v>9688</v>
      </c>
      <c r="I32" s="39">
        <v>1</v>
      </c>
      <c r="K32" s="37">
        <f t="shared" si="0"/>
        <v>1.414E-2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10375</v>
      </c>
      <c r="E33">
        <v>2.9E-4</v>
      </c>
      <c r="H33" s="39" t="s">
        <v>9688</v>
      </c>
      <c r="I33" s="39">
        <v>1</v>
      </c>
      <c r="K33" s="37">
        <f t="shared" si="0"/>
        <v>2.9E-4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10375</v>
      </c>
      <c r="E34">
        <v>1.25658E-7</v>
      </c>
      <c r="H34" s="39" t="s">
        <v>9688</v>
      </c>
      <c r="I34" s="39">
        <v>1</v>
      </c>
      <c r="K34" s="37">
        <f t="shared" si="0"/>
        <v>1.25658E-7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10375</v>
      </c>
      <c r="E35">
        <v>1.3999999999999999E-4</v>
      </c>
      <c r="H35" s="39" t="s">
        <v>9688</v>
      </c>
      <c r="I35" s="39">
        <v>1</v>
      </c>
      <c r="K35" s="37">
        <f t="shared" si="0"/>
        <v>1.3999999999999999E-4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10375</v>
      </c>
      <c r="E36">
        <v>3.1E-4</v>
      </c>
      <c r="H36" s="39" t="s">
        <v>9688</v>
      </c>
      <c r="I36" s="39">
        <v>1</v>
      </c>
      <c r="K36" s="37">
        <f t="shared" si="0"/>
        <v>3.1E-4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10375</v>
      </c>
      <c r="E37">
        <v>3.5E-4</v>
      </c>
      <c r="H37" s="39" t="s">
        <v>9688</v>
      </c>
      <c r="I37" s="39">
        <v>1</v>
      </c>
      <c r="K37" s="37">
        <f t="shared" si="0"/>
        <v>3.5E-4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10375</v>
      </c>
      <c r="E38">
        <v>5.47E-3</v>
      </c>
      <c r="H38" s="39" t="s">
        <v>9688</v>
      </c>
      <c r="I38" s="39">
        <v>1</v>
      </c>
      <c r="K38" s="37">
        <f t="shared" si="0"/>
        <v>5.47E-3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10376</v>
      </c>
      <c r="D39" s="43"/>
      <c r="E39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37">
        <f t="shared" si="0"/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10376</v>
      </c>
      <c r="D40" s="39"/>
      <c r="E40">
        <v>0.13541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7">
        <f t="shared" si="0"/>
        <v>19.742778000000001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10376</v>
      </c>
      <c r="E41">
        <v>5.4400000000000004E-3</v>
      </c>
      <c r="H41" s="39" t="s">
        <v>9705</v>
      </c>
      <c r="I41" s="39">
        <f>1*'Conversion Factors'!$D$56*'Conversion Factors'!$D$57/1000</f>
        <v>145.80000000000001</v>
      </c>
      <c r="K41" s="37">
        <f t="shared" si="0"/>
        <v>0.79315200000000008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10376</v>
      </c>
      <c r="E42">
        <v>7.1599999999999997E-3</v>
      </c>
      <c r="H42" s="39" t="s">
        <v>9705</v>
      </c>
      <c r="I42" s="39">
        <f>1*'Conversion Factors'!$D$56*'Conversion Factors'!$D$57/1000</f>
        <v>145.80000000000001</v>
      </c>
      <c r="K42" s="37">
        <f t="shared" si="0"/>
        <v>1.043928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10376</v>
      </c>
      <c r="E43">
        <v>0.48592000000000002</v>
      </c>
      <c r="H43" s="39" t="s">
        <v>9705</v>
      </c>
      <c r="I43" s="39">
        <f>1*'Conversion Factors'!$D$56*'Conversion Factors'!$D$57/1000</f>
        <v>145.80000000000001</v>
      </c>
      <c r="K43" s="37">
        <f t="shared" si="0"/>
        <v>70.847136000000006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10376</v>
      </c>
      <c r="E44">
        <v>3.7580000000000002E-2</v>
      </c>
      <c r="H44" s="39" t="s">
        <v>9705</v>
      </c>
      <c r="I44" s="39">
        <f>1*'Conversion Factors'!$D$56*'Conversion Factors'!$D$57/1000</f>
        <v>145.80000000000001</v>
      </c>
      <c r="K44" s="37">
        <f t="shared" si="0"/>
        <v>5.4791640000000008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10376</v>
      </c>
      <c r="E45">
        <v>1.8821099999999998E-5</v>
      </c>
      <c r="H45" s="39" t="s">
        <v>9705</v>
      </c>
      <c r="I45" s="39">
        <f>1*'Conversion Factors'!$D$56*'Conversion Factors'!$D$57/1000</f>
        <v>145.80000000000001</v>
      </c>
      <c r="K45" s="37">
        <f t="shared" si="0"/>
        <v>2.7441163799999998E-3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10376</v>
      </c>
      <c r="E46">
        <v>3.8467500000000001E-6</v>
      </c>
      <c r="H46" s="39" t="s">
        <v>9705</v>
      </c>
      <c r="I46" s="39">
        <f>1*'Conversion Factors'!$D$56*'Conversion Factors'!$D$57/1000</f>
        <v>145.80000000000001</v>
      </c>
      <c r="K46" s="37">
        <f t="shared" si="0"/>
        <v>5.6085615000000004E-4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10376</v>
      </c>
      <c r="E47">
        <v>1.0749999999999999E-2</v>
      </c>
      <c r="H47" s="39" t="s">
        <v>9705</v>
      </c>
      <c r="I47" s="39">
        <f>1*'Conversion Factors'!$D$56*'Conversion Factors'!$D$57/1000</f>
        <v>145.80000000000001</v>
      </c>
      <c r="K47" s="37">
        <f t="shared" si="0"/>
        <v>1.56735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10376</v>
      </c>
      <c r="E48">
        <v>0.49192999999999998</v>
      </c>
      <c r="H48" s="39" t="s">
        <v>9705</v>
      </c>
      <c r="I48" s="39">
        <f>1*'Conversion Factors'!$D$56*'Conversion Factors'!$D$57/1000</f>
        <v>145.80000000000001</v>
      </c>
      <c r="K48" s="37">
        <f t="shared" si="0"/>
        <v>71.723393999999999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10376</v>
      </c>
      <c r="E49">
        <v>1.8400000000000001E-3</v>
      </c>
      <c r="H49" s="39" t="s">
        <v>9705</v>
      </c>
      <c r="I49" s="39">
        <f>1*'Conversion Factors'!$D$56*'Conversion Factors'!$D$57/1000</f>
        <v>145.80000000000001</v>
      </c>
      <c r="K49" s="37">
        <f t="shared" si="0"/>
        <v>0.26827200000000001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10376</v>
      </c>
      <c r="E50">
        <v>1.1259999999999999E-2</v>
      </c>
      <c r="H50" s="39" t="s">
        <v>9705</v>
      </c>
      <c r="I50" s="39">
        <f>1*'Conversion Factors'!$D$56*'Conversion Factors'!$D$57/1000</f>
        <v>145.80000000000001</v>
      </c>
      <c r="K50" s="37">
        <f t="shared" si="0"/>
        <v>1.6417079999999999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10376</v>
      </c>
      <c r="E51">
        <v>3.4099999999999998E-3</v>
      </c>
      <c r="H51" s="39" t="s">
        <v>9705</v>
      </c>
      <c r="I51" s="39">
        <f>1*'Conversion Factors'!$D$56*'Conversion Factors'!$D$57/1000</f>
        <v>145.80000000000001</v>
      </c>
      <c r="K51" s="37">
        <f t="shared" si="0"/>
        <v>0.49717800000000001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10376</v>
      </c>
      <c r="E52">
        <v>4.4721900000000003E-8</v>
      </c>
      <c r="H52" s="39" t="s">
        <v>9705</v>
      </c>
      <c r="I52" s="39">
        <f>1*'Conversion Factors'!$D$56*'Conversion Factors'!$D$57/1000</f>
        <v>145.80000000000001</v>
      </c>
      <c r="K52" s="37">
        <f t="shared" si="0"/>
        <v>6.5204530200000008E-6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10376</v>
      </c>
      <c r="E53">
        <v>3.2000000000000003E-4</v>
      </c>
      <c r="H53" s="39" t="s">
        <v>9705</v>
      </c>
      <c r="I53" s="39">
        <f>1*'Conversion Factors'!$D$56*'Conversion Factors'!$D$57/1000</f>
        <v>145.80000000000001</v>
      </c>
      <c r="K53" s="37">
        <f t="shared" si="0"/>
        <v>4.665600000000001E-2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10376</v>
      </c>
      <c r="E54">
        <v>1.06E-3</v>
      </c>
      <c r="H54" s="39" t="s">
        <v>9705</v>
      </c>
      <c r="I54" s="39">
        <f>1*'Conversion Factors'!$D$56*'Conversion Factors'!$D$57/1000</f>
        <v>145.80000000000001</v>
      </c>
      <c r="K54" s="37">
        <f t="shared" si="0"/>
        <v>0.15454800000000002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10376</v>
      </c>
      <c r="E55">
        <v>1.09E-3</v>
      </c>
      <c r="H55" s="39" t="s">
        <v>9705</v>
      </c>
      <c r="I55" s="39">
        <f>1*'Conversion Factors'!$D$56*'Conversion Factors'!$D$57/1000</f>
        <v>145.80000000000001</v>
      </c>
      <c r="K55" s="37">
        <f t="shared" si="0"/>
        <v>0.15892200000000001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10376</v>
      </c>
      <c r="E56">
        <v>2.9E-4</v>
      </c>
      <c r="H56" s="39" t="s">
        <v>9705</v>
      </c>
      <c r="I56" s="39">
        <f>1*'Conversion Factors'!$D$56*'Conversion Factors'!$D$57/1000</f>
        <v>145.80000000000001</v>
      </c>
      <c r="K56" s="37">
        <f t="shared" si="0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10377</v>
      </c>
      <c r="D57" s="43"/>
      <c r="E57">
        <v>1.6661000000000001E-7</v>
      </c>
      <c r="F57" s="43"/>
      <c r="G57" s="43"/>
      <c r="H57" s="43" t="s">
        <v>9714</v>
      </c>
      <c r="I57" s="43">
        <v>1</v>
      </c>
      <c r="J57" s="43"/>
      <c r="K57" s="37">
        <f t="shared" si="0"/>
        <v>1.6661000000000001E-7</v>
      </c>
      <c r="L57" s="43"/>
      <c r="M57" s="43" t="s">
        <v>9692</v>
      </c>
      <c r="N57" s="43" t="s">
        <v>9714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10377</v>
      </c>
      <c r="D58" s="39"/>
      <c r="E58">
        <v>7.5632999999999999E-5</v>
      </c>
      <c r="F58" s="39"/>
      <c r="G58" s="39"/>
      <c r="H58" s="39" t="s">
        <v>9714</v>
      </c>
      <c r="I58" s="39">
        <v>1</v>
      </c>
      <c r="J58" s="39"/>
      <c r="K58" s="37">
        <f t="shared" si="0"/>
        <v>7.5632999999999999E-5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10377</v>
      </c>
      <c r="E59">
        <v>3.2775599999999999E-6</v>
      </c>
      <c r="H59" s="39" t="s">
        <v>9714</v>
      </c>
      <c r="I59" s="39">
        <v>1</v>
      </c>
      <c r="K59" s="37">
        <f t="shared" si="0"/>
        <v>3.2775599999999999E-6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10377</v>
      </c>
      <c r="E60">
        <v>4.4452899999999998E-6</v>
      </c>
      <c r="H60" s="39" t="s">
        <v>9714</v>
      </c>
      <c r="I60" s="39">
        <v>1</v>
      </c>
      <c r="K60" s="37">
        <f t="shared" si="0"/>
        <v>4.4452899999999998E-6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10377</v>
      </c>
      <c r="E61">
        <v>1.7000000000000001E-4</v>
      </c>
      <c r="H61" s="39" t="s">
        <v>9714</v>
      </c>
      <c r="I61" s="39">
        <v>1</v>
      </c>
      <c r="K61" s="37">
        <f t="shared" si="0"/>
        <v>1.7000000000000001E-4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10377</v>
      </c>
      <c r="E62">
        <v>2.4425799999999999E-5</v>
      </c>
      <c r="H62" s="39" t="s">
        <v>9714</v>
      </c>
      <c r="I62" s="39">
        <v>1</v>
      </c>
      <c r="K62" s="37">
        <f t="shared" si="0"/>
        <v>2.4425799999999999E-5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10377</v>
      </c>
      <c r="E63">
        <v>2.0671999999999999E-7</v>
      </c>
      <c r="H63" s="39" t="s">
        <v>9714</v>
      </c>
      <c r="I63" s="39">
        <v>1</v>
      </c>
      <c r="K63" s="37">
        <f t="shared" si="0"/>
        <v>2.0671999999999999E-7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10377</v>
      </c>
      <c r="E64">
        <v>2.0550999999999999E-7</v>
      </c>
      <c r="H64" s="39" t="s">
        <v>9714</v>
      </c>
      <c r="I64" s="39">
        <v>1</v>
      </c>
      <c r="K64" s="37">
        <f t="shared" si="0"/>
        <v>2.0550999999999999E-7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10377</v>
      </c>
      <c r="E65">
        <v>3.7379999999999998E-5</v>
      </c>
      <c r="H65" s="39" t="s">
        <v>9714</v>
      </c>
      <c r="I65" s="39">
        <v>1</v>
      </c>
      <c r="K65" s="37">
        <f t="shared" si="0"/>
        <v>3.7379999999999998E-5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10377</v>
      </c>
      <c r="E66">
        <v>3.6000000000000002E-4</v>
      </c>
      <c r="H66" s="39" t="s">
        <v>9714</v>
      </c>
      <c r="I66" s="39">
        <v>1</v>
      </c>
      <c r="K66" s="37">
        <f t="shared" si="0"/>
        <v>3.6000000000000002E-4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10377</v>
      </c>
      <c r="E67">
        <v>1.9426E-5</v>
      </c>
      <c r="H67" s="39" t="s">
        <v>9714</v>
      </c>
      <c r="I67" s="39">
        <v>1</v>
      </c>
      <c r="K67" s="37">
        <f t="shared" si="0"/>
        <v>1.9426E-5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10377</v>
      </c>
      <c r="E68">
        <v>4.9553300000000002E-6</v>
      </c>
      <c r="H68" s="39" t="s">
        <v>9714</v>
      </c>
      <c r="I68" s="39">
        <v>1</v>
      </c>
      <c r="K68" s="37">
        <f t="shared" ref="K68:K131" si="1">E68*I68</f>
        <v>4.9553300000000002E-6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10377</v>
      </c>
      <c r="E69">
        <v>6.9849599999999996E-7</v>
      </c>
      <c r="H69" s="39" t="s">
        <v>9714</v>
      </c>
      <c r="I69" s="39">
        <v>1</v>
      </c>
      <c r="K69" s="37">
        <f t="shared" si="1"/>
        <v>6.9849599999999996E-7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10377</v>
      </c>
      <c r="E70">
        <v>2.5698499999999999E-11</v>
      </c>
      <c r="H70" s="39" t="s">
        <v>9714</v>
      </c>
      <c r="I70" s="39">
        <v>1</v>
      </c>
      <c r="K70" s="37">
        <f t="shared" si="1"/>
        <v>2.5698499999999999E-11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10377</v>
      </c>
      <c r="E71">
        <v>1.4378200000000001E-7</v>
      </c>
      <c r="H71" s="39" t="s">
        <v>9714</v>
      </c>
      <c r="I71" s="39">
        <v>1</v>
      </c>
      <c r="K71" s="37">
        <f t="shared" si="1"/>
        <v>1.4378200000000001E-7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10377</v>
      </c>
      <c r="E72">
        <v>1.5241900000000001E-7</v>
      </c>
      <c r="H72" s="39" t="s">
        <v>9714</v>
      </c>
      <c r="I72" s="39">
        <v>1</v>
      </c>
      <c r="K72" s="37">
        <f t="shared" si="1"/>
        <v>1.5241900000000001E-7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10377</v>
      </c>
      <c r="E73">
        <v>1.6117899999999999E-7</v>
      </c>
      <c r="H73" s="39" t="s">
        <v>9714</v>
      </c>
      <c r="I73" s="39">
        <v>1</v>
      </c>
      <c r="K73" s="37">
        <f t="shared" si="1"/>
        <v>1.6117899999999999E-7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10377</v>
      </c>
      <c r="E74">
        <v>4.8211700000000001E-6</v>
      </c>
      <c r="H74" s="39" t="s">
        <v>9714</v>
      </c>
      <c r="I74" s="39">
        <v>1</v>
      </c>
      <c r="K74" s="37">
        <f t="shared" si="1"/>
        <v>4.8211700000000001E-6</v>
      </c>
      <c r="M74" s="39" t="s">
        <v>9704</v>
      </c>
      <c r="N74" s="39" t="s">
        <v>9714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si="1"/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1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1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1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1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1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1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1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1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1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1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1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1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1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1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1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1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1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1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1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1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1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1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1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1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1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1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1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1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1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1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1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1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1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1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1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1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1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1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ref="K132:K195" si="2">E132*I132</f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si="2"/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2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2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2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2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2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2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2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2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2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2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2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2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2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2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2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2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2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2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2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2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2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2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2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2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2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2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2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2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2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2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2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2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2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2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2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2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2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2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ref="K196:K200" si="3">E196*I196</f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308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si="7"/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7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7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7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7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7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7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7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7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7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7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7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7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7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7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7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7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7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7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7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7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7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7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7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7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7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7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7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7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7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7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7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7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7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7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7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7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7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7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7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7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7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7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7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7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7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7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ref="K309:K369" si="8">E309*I309</f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si="8"/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8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8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8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8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8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8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8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8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8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8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8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8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8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8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8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8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8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8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8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8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8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8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8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8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8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8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8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8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8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8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8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8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8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8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8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8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8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8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8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8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8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8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8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Parameters'!J52+'ALCA Data'!E$372*'Model Parameters'!J53+'ALCA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Parameters'!J55+'ALCA Data'!E$372*'Model Parameters'!J56+'ALCA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Parameters'!J58+'ALCA Data'!E$372*'Model Parameters'!J59+'ALCA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Parameters'!J61+'ALCA Data'!E$372*'Model Parameters'!J62+'ALCA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Parameters'!J64+'ALCA Data'!E$372*'Model Parameters'!J65+'ALCA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Parameters'!J67+'ALCA Data'!E$372*'Model Parameters'!J68+'ALCA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Parameters'!J70+'ALCA Data'!E$372*'Model Parameters'!J71+'ALCA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441" si="9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9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9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9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9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9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9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9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8.0903199999999995E-5</v>
      </c>
      <c r="F386" s="43"/>
      <c r="G386" s="43"/>
      <c r="H386" s="43" t="s">
        <v>9714</v>
      </c>
      <c r="I386" s="43">
        <f>1000</f>
        <v>1000</v>
      </c>
      <c r="J386" s="43"/>
      <c r="K386" s="37">
        <f t="shared" si="9"/>
        <v>8.0903199999999995E-2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6.9699999999999996E-3</v>
      </c>
      <c r="F387" s="39"/>
      <c r="G387" s="39"/>
      <c r="H387" s="39" t="s">
        <v>9714</v>
      </c>
      <c r="I387" s="39">
        <f>1000</f>
        <v>1000</v>
      </c>
      <c r="J387" s="39"/>
      <c r="K387" s="37">
        <f t="shared" si="9"/>
        <v>6.97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40">
        <v>6.7183799999999999E-5</v>
      </c>
      <c r="H388" s="39" t="s">
        <v>9714</v>
      </c>
      <c r="I388" s="39">
        <f>1000</f>
        <v>1000</v>
      </c>
      <c r="K388" s="37">
        <f t="shared" si="9"/>
        <v>6.7183800000000002E-2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40">
        <v>8.9404600000000001E-5</v>
      </c>
      <c r="H389" s="39" t="s">
        <v>9714</v>
      </c>
      <c r="I389" s="39">
        <f>1000</f>
        <v>1000</v>
      </c>
      <c r="K389" s="37">
        <f t="shared" si="9"/>
        <v>8.9404600000000001E-2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6.2700000000000004E-3</v>
      </c>
      <c r="H390" s="39" t="s">
        <v>9714</v>
      </c>
      <c r="I390" s="39">
        <f>1000</f>
        <v>1000</v>
      </c>
      <c r="K390" s="37">
        <f t="shared" si="9"/>
        <v>6.2700000000000005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3.8999999999999999E-4</v>
      </c>
      <c r="H391" s="39" t="s">
        <v>9714</v>
      </c>
      <c r="I391" s="39">
        <f>1000</f>
        <v>1000</v>
      </c>
      <c r="K391" s="37">
        <f t="shared" si="9"/>
        <v>0.39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7.9099999999999998E-5</v>
      </c>
      <c r="H392" s="39" t="s">
        <v>9714</v>
      </c>
      <c r="I392" s="39">
        <f>1000</f>
        <v>1000</v>
      </c>
      <c r="K392" s="37">
        <f t="shared" si="9"/>
        <v>7.9100000000000004E-2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4.0029700000000001E-5</v>
      </c>
      <c r="H393" s="39" t="s">
        <v>9714</v>
      </c>
      <c r="I393" s="39">
        <f>1000</f>
        <v>1000</v>
      </c>
      <c r="K393" s="37">
        <f t="shared" si="9"/>
        <v>4.0029700000000001E-2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40">
        <v>1.4999999999999999E-4</v>
      </c>
      <c r="H394" s="39" t="s">
        <v>9714</v>
      </c>
      <c r="I394" s="39">
        <f>1000</f>
        <v>1000</v>
      </c>
      <c r="K394" s="37">
        <f t="shared" si="9"/>
        <v>0.15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40">
        <v>3.2499999999999999E-3</v>
      </c>
      <c r="H395" s="39" t="s">
        <v>9714</v>
      </c>
      <c r="I395" s="39">
        <f>1000</f>
        <v>1000</v>
      </c>
      <c r="K395" s="37">
        <f t="shared" si="9"/>
        <v>3.25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40">
        <v>2.56113E-5</v>
      </c>
      <c r="H396" s="39" t="s">
        <v>9714</v>
      </c>
      <c r="I396" s="39">
        <f>1000</f>
        <v>1000</v>
      </c>
      <c r="K396" s="37">
        <f t="shared" si="9"/>
        <v>2.56113E-2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40">
        <v>6.7667899999999996E-5</v>
      </c>
      <c r="H397" s="39" t="s">
        <v>9714</v>
      </c>
      <c r="I397" s="39">
        <f>1000</f>
        <v>1000</v>
      </c>
      <c r="K397" s="37">
        <f t="shared" si="9"/>
        <v>6.7667900000000003E-2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40">
        <v>6.9825600000000004E-5</v>
      </c>
      <c r="H398" s="39" t="s">
        <v>9714</v>
      </c>
      <c r="I398" s="39">
        <f>1000</f>
        <v>1000</v>
      </c>
      <c r="K398" s="37">
        <f t="shared" si="9"/>
        <v>6.9825600000000002E-2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1.7870999999999999E-7</v>
      </c>
      <c r="H399" s="39" t="s">
        <v>9714</v>
      </c>
      <c r="I399" s="39">
        <f>1000</f>
        <v>1000</v>
      </c>
      <c r="K399" s="37">
        <f t="shared" si="9"/>
        <v>1.7871E-4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1.2770400000000001E-5</v>
      </c>
      <c r="H400" s="39" t="s">
        <v>9714</v>
      </c>
      <c r="I400" s="39">
        <f>1000</f>
        <v>1000</v>
      </c>
      <c r="K400" s="37">
        <f t="shared" si="9"/>
        <v>1.2770400000000001E-2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1.8284700000000001E-5</v>
      </c>
      <c r="H401" s="39" t="s">
        <v>9714</v>
      </c>
      <c r="I401" s="39">
        <f>1000</f>
        <v>1000</v>
      </c>
      <c r="K401" s="37">
        <f t="shared" si="9"/>
        <v>1.8284700000000001E-2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1.86332E-5</v>
      </c>
      <c r="H402" s="39" t="s">
        <v>9714</v>
      </c>
      <c r="I402" s="39">
        <f>1000</f>
        <v>1000</v>
      </c>
      <c r="K402" s="37">
        <f t="shared" si="9"/>
        <v>1.8633199999999999E-2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3.6000000000000002E-4</v>
      </c>
      <c r="H403" s="39" t="s">
        <v>9714</v>
      </c>
      <c r="I403" s="39">
        <f>1000</f>
        <v>1000</v>
      </c>
      <c r="K403" s="37">
        <f t="shared" si="9"/>
        <v>0.36000000000000004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9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9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9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9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9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9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9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9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9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9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9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9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9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9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9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9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9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9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10372</v>
      </c>
      <c r="E422">
        <v>4.5199999999999997E-3</v>
      </c>
      <c r="H422" s="39" t="s">
        <v>9688</v>
      </c>
      <c r="I422" s="39">
        <f>1*'Model Parameters'!J$219*'Model Parameters'!J$245</f>
        <v>1681.9444444444446</v>
      </c>
      <c r="K422" s="37">
        <f t="shared" si="9"/>
        <v>7.6023888888888891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10372</v>
      </c>
      <c r="E423">
        <v>1.2492799999999999</v>
      </c>
      <c r="H423" s="39" t="s">
        <v>9688</v>
      </c>
      <c r="I423" s="39">
        <f>1*'Model Parameters'!J$219*'Model Parameters'!J$245</f>
        <v>1681.9444444444446</v>
      </c>
      <c r="K423" s="37">
        <f t="shared" si="9"/>
        <v>2101.2195555555554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10372</v>
      </c>
      <c r="E424">
        <v>6.9419999999999996E-2</v>
      </c>
      <c r="H424" s="39" t="s">
        <v>9688</v>
      </c>
      <c r="I424" s="39">
        <f>1*'Model Parameters'!J$219*'Model Parameters'!J$245</f>
        <v>1681.9444444444446</v>
      </c>
      <c r="K424" s="37">
        <f t="shared" si="9"/>
        <v>116.76058333333333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10372</v>
      </c>
      <c r="E425">
        <v>9.5530000000000004E-2</v>
      </c>
      <c r="H425" s="39" t="s">
        <v>9688</v>
      </c>
      <c r="I425" s="39">
        <f>1*'Model Parameters'!J$219*'Model Parameters'!J$245</f>
        <v>1681.9444444444446</v>
      </c>
      <c r="K425" s="37">
        <f t="shared" si="9"/>
        <v>160.67615277777779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10372</v>
      </c>
      <c r="E426">
        <v>0.49177999999999999</v>
      </c>
      <c r="H426" s="39" t="s">
        <v>9688</v>
      </c>
      <c r="I426" s="39">
        <f>1*'Model Parameters'!J$219*'Model Parameters'!J$245</f>
        <v>1681.9444444444446</v>
      </c>
      <c r="K426" s="37">
        <f t="shared" si="9"/>
        <v>827.1466388888889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10372</v>
      </c>
      <c r="E427">
        <v>0.27227000000000001</v>
      </c>
      <c r="H427" s="39" t="s">
        <v>9688</v>
      </c>
      <c r="I427" s="39">
        <f>1*'Model Parameters'!J$219*'Model Parameters'!J$245</f>
        <v>1681.9444444444446</v>
      </c>
      <c r="K427" s="37">
        <f t="shared" si="9"/>
        <v>457.94301388888897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10372</v>
      </c>
      <c r="E428">
        <v>2.7899999999999999E-3</v>
      </c>
      <c r="H428" s="39" t="s">
        <v>9688</v>
      </c>
      <c r="I428" s="39">
        <f>1*'Model Parameters'!J$219*'Model Parameters'!J$245</f>
        <v>1681.9444444444446</v>
      </c>
      <c r="K428" s="37">
        <f t="shared" si="9"/>
        <v>4.6926250000000005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10372</v>
      </c>
      <c r="E429">
        <v>1.7000000000000001E-4</v>
      </c>
      <c r="H429" s="39" t="s">
        <v>9688</v>
      </c>
      <c r="I429" s="39">
        <f>1*'Model Parameters'!J$219*'Model Parameters'!J$245</f>
        <v>1681.9444444444446</v>
      </c>
      <c r="K429" s="37">
        <f t="shared" si="9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10372</v>
      </c>
      <c r="E430">
        <v>0.13592000000000001</v>
      </c>
      <c r="H430" s="39" t="s">
        <v>9688</v>
      </c>
      <c r="I430" s="39">
        <f>1*'Model Parameters'!J$219*'Model Parameters'!J$245</f>
        <v>1681.9444444444446</v>
      </c>
      <c r="K430" s="37">
        <f t="shared" si="9"/>
        <v>228.60988888888892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10372</v>
      </c>
      <c r="E431">
        <v>2.7690299999999999</v>
      </c>
      <c r="H431" s="39" t="s">
        <v>9688</v>
      </c>
      <c r="I431" s="39">
        <f>1*'Model Parameters'!J$219*'Model Parameters'!J$245</f>
        <v>1681.9444444444446</v>
      </c>
      <c r="K431" s="37">
        <f t="shared" si="9"/>
        <v>4657.3546249999999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10372</v>
      </c>
      <c r="E432">
        <v>1.89E-3</v>
      </c>
      <c r="H432" s="39" t="s">
        <v>9688</v>
      </c>
      <c r="I432" s="39">
        <f>1*'Model Parameters'!J$219*'Model Parameters'!J$245</f>
        <v>1681.9444444444446</v>
      </c>
      <c r="K432" s="37">
        <f t="shared" si="9"/>
        <v>3.1788750000000001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10372</v>
      </c>
      <c r="E433">
        <v>1.6900000000000001E-3</v>
      </c>
      <c r="H433" s="39" t="s">
        <v>9688</v>
      </c>
      <c r="I433" s="39">
        <f>1*'Model Parameters'!J$219*'Model Parameters'!J$245</f>
        <v>1681.9444444444446</v>
      </c>
      <c r="K433" s="37">
        <f t="shared" si="9"/>
        <v>2.8424861111111115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10372</v>
      </c>
      <c r="E434">
        <v>8.8999999999999995E-4</v>
      </c>
      <c r="H434" s="39" t="s">
        <v>9688</v>
      </c>
      <c r="I434" s="39">
        <f>1*'Model Parameters'!J$219*'Model Parameters'!J$245</f>
        <v>1681.9444444444446</v>
      </c>
      <c r="K434" s="37">
        <f t="shared" si="9"/>
        <v>1.4969305555555557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10372</v>
      </c>
      <c r="E435">
        <v>1.8734100000000001E-7</v>
      </c>
      <c r="H435" s="39" t="s">
        <v>9688</v>
      </c>
      <c r="I435" s="39">
        <f>1*'Model Parameters'!J$219*'Model Parameters'!J$245</f>
        <v>1681.9444444444446</v>
      </c>
      <c r="K435" s="37">
        <f t="shared" si="9"/>
        <v>3.1509715416666671E-4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10372</v>
      </c>
      <c r="E436">
        <v>1.014E-2</v>
      </c>
      <c r="H436" s="39" t="s">
        <v>9688</v>
      </c>
      <c r="I436" s="39">
        <f>1*'Model Parameters'!J$219*'Model Parameters'!J$245</f>
        <v>1681.9444444444446</v>
      </c>
      <c r="K436" s="37">
        <f t="shared" si="9"/>
        <v>17.054916666666667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10372</v>
      </c>
      <c r="E437">
        <v>1.0200000000000001E-3</v>
      </c>
      <c r="H437" s="39" t="s">
        <v>9688</v>
      </c>
      <c r="I437" s="39">
        <f>1*'Model Parameters'!J$219*'Model Parameters'!J$245</f>
        <v>1681.9444444444446</v>
      </c>
      <c r="K437" s="37">
        <f t="shared" si="9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10372</v>
      </c>
      <c r="E438">
        <v>1.0200000000000001E-3</v>
      </c>
      <c r="H438" s="39" t="s">
        <v>9688</v>
      </c>
      <c r="I438" s="39">
        <f>1*'Model Parameters'!J$219*'Model Parameters'!J$245</f>
        <v>1681.9444444444446</v>
      </c>
      <c r="K438" s="37">
        <f t="shared" si="9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10372</v>
      </c>
      <c r="E439">
        <v>2.5000000000000001E-3</v>
      </c>
      <c r="H439" s="39" t="s">
        <v>9688</v>
      </c>
      <c r="I439" s="39">
        <f>1*'Model Parameters'!J$219*'Model Parameters'!J$245</f>
        <v>1681.9444444444446</v>
      </c>
      <c r="K439" s="37">
        <f t="shared" si="9"/>
        <v>4.2048611111111116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10372</v>
      </c>
      <c r="E440">
        <v>4.5199999999999997E-3</v>
      </c>
      <c r="H440" s="39" t="s">
        <v>9688</v>
      </c>
      <c r="I440" s="39">
        <f>1*'Model Parameters'!J$219*'Model Parameters'!J$246</f>
        <v>1973.6111111111111</v>
      </c>
      <c r="K440" s="37">
        <f t="shared" si="9"/>
        <v>8.9207222222222207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10372</v>
      </c>
      <c r="E441">
        <v>1.2492799999999999</v>
      </c>
      <c r="H441" s="39" t="s">
        <v>9688</v>
      </c>
      <c r="I441" s="39">
        <f>1*'Model Parameters'!J$219*'Model Parameters'!J$246</f>
        <v>1973.6111111111111</v>
      </c>
      <c r="K441" s="37">
        <f t="shared" si="9"/>
        <v>2465.5928888888889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10372</v>
      </c>
      <c r="E442">
        <v>6.9419999999999996E-2</v>
      </c>
      <c r="H442" s="39" t="s">
        <v>9688</v>
      </c>
      <c r="I442" s="39">
        <f>1*'Model Parameters'!J$219*'Model Parameters'!J$246</f>
        <v>1973.6111111111111</v>
      </c>
      <c r="K442" s="37">
        <f t="shared" ref="K442:K559" si="10">E442*I442</f>
        <v>137.00808333333333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10372</v>
      </c>
      <c r="E443">
        <v>9.5530000000000004E-2</v>
      </c>
      <c r="H443" s="39" t="s">
        <v>9688</v>
      </c>
      <c r="I443" s="39">
        <f>1*'Model Parameters'!J$219*'Model Parameters'!J$246</f>
        <v>1973.6111111111111</v>
      </c>
      <c r="K443" s="37">
        <f t="shared" si="10"/>
        <v>188.53906944444444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10372</v>
      </c>
      <c r="E444">
        <v>0.49177999999999999</v>
      </c>
      <c r="H444" s="39" t="s">
        <v>9688</v>
      </c>
      <c r="I444" s="39">
        <f>1*'Model Parameters'!J$219*'Model Parameters'!J$246</f>
        <v>1973.6111111111111</v>
      </c>
      <c r="K444" s="37">
        <f t="shared" si="10"/>
        <v>970.58247222222224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10372</v>
      </c>
      <c r="E445">
        <v>0.27227000000000001</v>
      </c>
      <c r="H445" s="39" t="s">
        <v>9688</v>
      </c>
      <c r="I445" s="39">
        <f>1*'Model Parameters'!J$219*'Model Parameters'!J$246</f>
        <v>1973.6111111111111</v>
      </c>
      <c r="K445" s="37">
        <f t="shared" si="10"/>
        <v>537.35509722222218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10372</v>
      </c>
      <c r="E446">
        <v>2.7899999999999999E-3</v>
      </c>
      <c r="H446" s="39" t="s">
        <v>9688</v>
      </c>
      <c r="I446" s="39">
        <f>1*'Model Parameters'!J$219*'Model Parameters'!J$246</f>
        <v>1973.6111111111111</v>
      </c>
      <c r="K446" s="37">
        <f t="shared" si="10"/>
        <v>5.5063750000000002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10372</v>
      </c>
      <c r="E447">
        <v>1.7000000000000001E-4</v>
      </c>
      <c r="H447" s="39" t="s">
        <v>9688</v>
      </c>
      <c r="I447" s="39">
        <f>1*'Model Parameters'!J$219*'Model Parameters'!J$246</f>
        <v>1973.6111111111111</v>
      </c>
      <c r="K447" s="37">
        <f t="shared" si="10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10372</v>
      </c>
      <c r="E448">
        <v>0.13592000000000001</v>
      </c>
      <c r="H448" s="39" t="s">
        <v>9688</v>
      </c>
      <c r="I448" s="39">
        <f>1*'Model Parameters'!J$219*'Model Parameters'!J$246</f>
        <v>1973.6111111111111</v>
      </c>
      <c r="K448" s="37">
        <f t="shared" si="10"/>
        <v>268.25322222222223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10372</v>
      </c>
      <c r="E449">
        <v>2.7690299999999999</v>
      </c>
      <c r="H449" s="39" t="s">
        <v>9688</v>
      </c>
      <c r="I449" s="39">
        <f>1*'Model Parameters'!J$219*'Model Parameters'!J$246</f>
        <v>1973.6111111111111</v>
      </c>
      <c r="K449" s="37">
        <f t="shared" si="10"/>
        <v>5464.9883749999999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10372</v>
      </c>
      <c r="E450">
        <v>1.89E-3</v>
      </c>
      <c r="H450" s="39" t="s">
        <v>9688</v>
      </c>
      <c r="I450" s="39">
        <f>1*'Model Parameters'!J$219*'Model Parameters'!J$246</f>
        <v>1973.6111111111111</v>
      </c>
      <c r="K450" s="37">
        <f t="shared" si="10"/>
        <v>3.7301249999999997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10372</v>
      </c>
      <c r="E451">
        <v>1.6900000000000001E-3</v>
      </c>
      <c r="H451" s="39" t="s">
        <v>9688</v>
      </c>
      <c r="I451" s="39">
        <f>1*'Model Parameters'!J$219*'Model Parameters'!J$246</f>
        <v>1973.6111111111111</v>
      </c>
      <c r="K451" s="37">
        <f t="shared" si="10"/>
        <v>3.3354027777777779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10372</v>
      </c>
      <c r="E452">
        <v>8.8999999999999995E-4</v>
      </c>
      <c r="H452" s="39" t="s">
        <v>9688</v>
      </c>
      <c r="I452" s="39">
        <f>1*'Model Parameters'!J$219*'Model Parameters'!J$246</f>
        <v>1973.6111111111111</v>
      </c>
      <c r="K452" s="37">
        <f t="shared" si="10"/>
        <v>1.7565138888888887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10372</v>
      </c>
      <c r="E453">
        <v>1.8734100000000001E-7</v>
      </c>
      <c r="H453" s="39" t="s">
        <v>9688</v>
      </c>
      <c r="I453" s="39">
        <f>1*'Model Parameters'!J$219*'Model Parameters'!J$246</f>
        <v>1973.6111111111111</v>
      </c>
      <c r="K453" s="37">
        <f t="shared" si="10"/>
        <v>3.6973827916666666E-4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10372</v>
      </c>
      <c r="E454">
        <v>1.014E-2</v>
      </c>
      <c r="H454" s="39" t="s">
        <v>9688</v>
      </c>
      <c r="I454" s="39">
        <f>1*'Model Parameters'!J$219*'Model Parameters'!J$246</f>
        <v>1973.6111111111111</v>
      </c>
      <c r="K454" s="37">
        <f t="shared" si="10"/>
        <v>20.012416666666667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10372</v>
      </c>
      <c r="E455">
        <v>1.0200000000000001E-3</v>
      </c>
      <c r="H455" s="39" t="s">
        <v>9688</v>
      </c>
      <c r="I455" s="39">
        <f>1*'Model Parameters'!J$219*'Model Parameters'!J$246</f>
        <v>1973.6111111111111</v>
      </c>
      <c r="K455" s="37">
        <f t="shared" si="10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10372</v>
      </c>
      <c r="E456">
        <v>1.0200000000000001E-3</v>
      </c>
      <c r="H456" s="39" t="s">
        <v>9688</v>
      </c>
      <c r="I456" s="39">
        <f>1*'Model Parameters'!J$219*'Model Parameters'!J$246</f>
        <v>1973.6111111111111</v>
      </c>
      <c r="K456" s="37">
        <f t="shared" si="10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10372</v>
      </c>
      <c r="E457">
        <v>2.5000000000000001E-3</v>
      </c>
      <c r="H457" s="39" t="s">
        <v>9688</v>
      </c>
      <c r="I457" s="39">
        <f>1*'Model Parameters'!J$219*'Model Parameters'!J$246</f>
        <v>1973.6111111111111</v>
      </c>
      <c r="K457" s="37">
        <f t="shared" si="10"/>
        <v>4.9340277777777777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10372</v>
      </c>
      <c r="E458">
        <v>4.5199999999999997E-3</v>
      </c>
      <c r="H458" s="39" t="s">
        <v>9688</v>
      </c>
      <c r="I458" s="39">
        <f>1*'Model Parameters'!J$219*'Model Parameters'!J$247</f>
        <v>1944.4444444444446</v>
      </c>
      <c r="K458" s="37">
        <f t="shared" si="10"/>
        <v>8.7888888888888896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10372</v>
      </c>
      <c r="E459">
        <v>1.2492799999999999</v>
      </c>
      <c r="H459" s="39" t="s">
        <v>9688</v>
      </c>
      <c r="I459" s="39">
        <f>1*'Model Parameters'!J$219*'Model Parameters'!J$247</f>
        <v>1944.4444444444446</v>
      </c>
      <c r="K459" s="37">
        <f t="shared" si="10"/>
        <v>2429.1555555555556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10372</v>
      </c>
      <c r="E460">
        <v>6.9419999999999996E-2</v>
      </c>
      <c r="H460" s="39" t="s">
        <v>9688</v>
      </c>
      <c r="I460" s="39">
        <f>1*'Model Parameters'!J$219*'Model Parameters'!J$247</f>
        <v>1944.4444444444446</v>
      </c>
      <c r="K460" s="37">
        <f t="shared" si="10"/>
        <v>134.98333333333332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10372</v>
      </c>
      <c r="E461">
        <v>9.5530000000000004E-2</v>
      </c>
      <c r="H461" s="39" t="s">
        <v>9688</v>
      </c>
      <c r="I461" s="39">
        <f>1*'Model Parameters'!J$219*'Model Parameters'!J$247</f>
        <v>1944.4444444444446</v>
      </c>
      <c r="K461" s="37">
        <f t="shared" si="10"/>
        <v>185.75277777777779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10372</v>
      </c>
      <c r="E462">
        <v>0.49177999999999999</v>
      </c>
      <c r="H462" s="39" t="s">
        <v>9688</v>
      </c>
      <c r="I462" s="39">
        <f>1*'Model Parameters'!J$219*'Model Parameters'!J$247</f>
        <v>1944.4444444444446</v>
      </c>
      <c r="K462" s="37">
        <f t="shared" si="10"/>
        <v>956.23888888888894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10372</v>
      </c>
      <c r="E463">
        <v>0.27227000000000001</v>
      </c>
      <c r="H463" s="39" t="s">
        <v>9688</v>
      </c>
      <c r="I463" s="39">
        <f>1*'Model Parameters'!J$219*'Model Parameters'!J$247</f>
        <v>1944.4444444444446</v>
      </c>
      <c r="K463" s="37">
        <f t="shared" si="10"/>
        <v>529.41388888888889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10372</v>
      </c>
      <c r="E464">
        <v>2.7899999999999999E-3</v>
      </c>
      <c r="H464" s="39" t="s">
        <v>9688</v>
      </c>
      <c r="I464" s="39">
        <f>1*'Model Parameters'!J$219*'Model Parameters'!J$247</f>
        <v>1944.4444444444446</v>
      </c>
      <c r="K464" s="37">
        <f t="shared" si="10"/>
        <v>5.4249999999999998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10372</v>
      </c>
      <c r="E465">
        <v>1.7000000000000001E-4</v>
      </c>
      <c r="H465" s="39" t="s">
        <v>9688</v>
      </c>
      <c r="I465" s="39">
        <f>1*'Model Parameters'!J$219*'Model Parameters'!J$247</f>
        <v>1944.4444444444446</v>
      </c>
      <c r="K465" s="37">
        <f t="shared" si="10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10372</v>
      </c>
      <c r="E466">
        <v>0.13592000000000001</v>
      </c>
      <c r="H466" s="39" t="s">
        <v>9688</v>
      </c>
      <c r="I466" s="39">
        <f>1*'Model Parameters'!J$219*'Model Parameters'!J$247</f>
        <v>1944.4444444444446</v>
      </c>
      <c r="K466" s="37">
        <f t="shared" si="10"/>
        <v>264.28888888888895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10372</v>
      </c>
      <c r="E467">
        <v>2.7690299999999999</v>
      </c>
      <c r="H467" s="39" t="s">
        <v>9688</v>
      </c>
      <c r="I467" s="39">
        <f>1*'Model Parameters'!J$219*'Model Parameters'!J$247</f>
        <v>1944.4444444444446</v>
      </c>
      <c r="K467" s="37">
        <f t="shared" si="10"/>
        <v>5384.2250000000004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10372</v>
      </c>
      <c r="E468">
        <v>1.89E-3</v>
      </c>
      <c r="H468" s="39" t="s">
        <v>9688</v>
      </c>
      <c r="I468" s="39">
        <f>1*'Model Parameters'!J$219*'Model Parameters'!J$247</f>
        <v>1944.4444444444446</v>
      </c>
      <c r="K468" s="37">
        <f t="shared" si="10"/>
        <v>3.6750000000000003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10372</v>
      </c>
      <c r="E469">
        <v>1.6900000000000001E-3</v>
      </c>
      <c r="H469" s="39" t="s">
        <v>9688</v>
      </c>
      <c r="I469" s="39">
        <f>1*'Model Parameters'!J$219*'Model Parameters'!J$247</f>
        <v>1944.4444444444446</v>
      </c>
      <c r="K469" s="37">
        <f t="shared" si="10"/>
        <v>3.2861111111111114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10372</v>
      </c>
      <c r="E470">
        <v>8.8999999999999995E-4</v>
      </c>
      <c r="H470" s="39" t="s">
        <v>9688</v>
      </c>
      <c r="I470" s="39">
        <f>1*'Model Parameters'!J$219*'Model Parameters'!J$247</f>
        <v>1944.4444444444446</v>
      </c>
      <c r="K470" s="37">
        <f t="shared" si="10"/>
        <v>1.7305555555555556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10372</v>
      </c>
      <c r="E471">
        <v>1.8734100000000001E-7</v>
      </c>
      <c r="H471" s="39" t="s">
        <v>9688</v>
      </c>
      <c r="I471" s="39">
        <f>1*'Model Parameters'!J$219*'Model Parameters'!J$247</f>
        <v>1944.4444444444446</v>
      </c>
      <c r="K471" s="37">
        <f t="shared" si="10"/>
        <v>3.6427416666666673E-4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10372</v>
      </c>
      <c r="E472">
        <v>1.014E-2</v>
      </c>
      <c r="H472" s="39" t="s">
        <v>9688</v>
      </c>
      <c r="I472" s="39">
        <f>1*'Model Parameters'!J$219*'Model Parameters'!J$247</f>
        <v>1944.4444444444446</v>
      </c>
      <c r="K472" s="37">
        <f t="shared" si="10"/>
        <v>19.716666666666669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10372</v>
      </c>
      <c r="E473">
        <v>1.0200000000000001E-3</v>
      </c>
      <c r="H473" s="39" t="s">
        <v>9688</v>
      </c>
      <c r="I473" s="39">
        <f>1*'Model Parameters'!J$219*'Model Parameters'!J$247</f>
        <v>1944.4444444444446</v>
      </c>
      <c r="K473" s="37">
        <f t="shared" si="10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10372</v>
      </c>
      <c r="E474">
        <v>1.0200000000000001E-3</v>
      </c>
      <c r="H474" s="39" t="s">
        <v>9688</v>
      </c>
      <c r="I474" s="39">
        <f>1*'Model Parameters'!J$219*'Model Parameters'!J$247</f>
        <v>1944.4444444444446</v>
      </c>
      <c r="K474" s="37">
        <f t="shared" si="10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10372</v>
      </c>
      <c r="E475">
        <v>2.5000000000000001E-3</v>
      </c>
      <c r="H475" s="39" t="s">
        <v>9688</v>
      </c>
      <c r="I475" s="39">
        <f>1*'Model Parameters'!J$219*'Model Parameters'!J$247</f>
        <v>1944.4444444444446</v>
      </c>
      <c r="K475" s="37">
        <f t="shared" si="10"/>
        <v>4.8611111111111116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10372</v>
      </c>
      <c r="D476" s="43"/>
      <c r="E476">
        <v>4.5199999999999997E-3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37">
        <f t="shared" si="10"/>
        <v>8.9646666666666661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10372</v>
      </c>
      <c r="D477" s="39"/>
      <c r="E477">
        <v>1.2492799999999999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7">
        <f t="shared" si="10"/>
        <v>2477.7386666666666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10372</v>
      </c>
      <c r="E478">
        <v>6.9419999999999996E-2</v>
      </c>
      <c r="H478" s="39" t="s">
        <v>9688</v>
      </c>
      <c r="I478" s="39">
        <f>1*'Model Parameters'!J$219*'Model Parameters'!J$248</f>
        <v>1983.3333333333333</v>
      </c>
      <c r="K478" s="37">
        <f t="shared" si="10"/>
        <v>137.68299999999999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10372</v>
      </c>
      <c r="E479">
        <v>9.5530000000000004E-2</v>
      </c>
      <c r="H479" s="39" t="s">
        <v>9688</v>
      </c>
      <c r="I479" s="39">
        <f>1*'Model Parameters'!J$219*'Model Parameters'!J$248</f>
        <v>1983.3333333333333</v>
      </c>
      <c r="K479" s="37">
        <f t="shared" si="10"/>
        <v>189.46783333333335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10372</v>
      </c>
      <c r="E480">
        <v>0.49177999999999999</v>
      </c>
      <c r="H480" s="39" t="s">
        <v>9688</v>
      </c>
      <c r="I480" s="39">
        <f>1*'Model Parameters'!J$219*'Model Parameters'!J$248</f>
        <v>1983.3333333333333</v>
      </c>
      <c r="K480" s="37">
        <f t="shared" si="10"/>
        <v>975.36366666666663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10372</v>
      </c>
      <c r="E481">
        <v>0.27227000000000001</v>
      </c>
      <c r="H481" s="39" t="s">
        <v>9688</v>
      </c>
      <c r="I481" s="39">
        <f>1*'Model Parameters'!J$219*'Model Parameters'!J$248</f>
        <v>1983.3333333333333</v>
      </c>
      <c r="K481" s="37">
        <f t="shared" si="10"/>
        <v>540.00216666666665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10372</v>
      </c>
      <c r="E482">
        <v>2.7899999999999999E-3</v>
      </c>
      <c r="H482" s="39" t="s">
        <v>9688</v>
      </c>
      <c r="I482" s="39">
        <f>1*'Model Parameters'!J$219*'Model Parameters'!J$248</f>
        <v>1983.3333333333333</v>
      </c>
      <c r="K482" s="37">
        <f t="shared" si="10"/>
        <v>5.5335000000000001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10372</v>
      </c>
      <c r="E483">
        <v>1.7000000000000001E-4</v>
      </c>
      <c r="H483" s="39" t="s">
        <v>9688</v>
      </c>
      <c r="I483" s="39">
        <f>1*'Model Parameters'!J$219*'Model Parameters'!J$248</f>
        <v>1983.3333333333333</v>
      </c>
      <c r="K483" s="37">
        <f t="shared" si="10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10372</v>
      </c>
      <c r="E484">
        <v>0.13592000000000001</v>
      </c>
      <c r="H484" s="39" t="s">
        <v>9688</v>
      </c>
      <c r="I484" s="39">
        <f>1*'Model Parameters'!J$219*'Model Parameters'!J$248</f>
        <v>1983.3333333333333</v>
      </c>
      <c r="K484" s="37">
        <f t="shared" si="10"/>
        <v>269.5746666666667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10372</v>
      </c>
      <c r="E485">
        <v>2.7690299999999999</v>
      </c>
      <c r="H485" s="39" t="s">
        <v>9688</v>
      </c>
      <c r="I485" s="39">
        <f>1*'Model Parameters'!J$219*'Model Parameters'!J$248</f>
        <v>1983.3333333333333</v>
      </c>
      <c r="K485" s="37">
        <f t="shared" si="10"/>
        <v>5491.9094999999998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10372</v>
      </c>
      <c r="E486">
        <v>1.89E-3</v>
      </c>
      <c r="H486" s="39" t="s">
        <v>9688</v>
      </c>
      <c r="I486" s="39">
        <f>1*'Model Parameters'!J$219*'Model Parameters'!J$248</f>
        <v>1983.3333333333333</v>
      </c>
      <c r="K486" s="37">
        <f t="shared" si="10"/>
        <v>3.7484999999999999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10372</v>
      </c>
      <c r="E487">
        <v>1.6900000000000001E-3</v>
      </c>
      <c r="H487" s="39" t="s">
        <v>9688</v>
      </c>
      <c r="I487" s="39">
        <f>1*'Model Parameters'!J$219*'Model Parameters'!J$248</f>
        <v>1983.3333333333333</v>
      </c>
      <c r="K487" s="37">
        <f t="shared" si="10"/>
        <v>3.3518333333333334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10372</v>
      </c>
      <c r="E488">
        <v>8.8999999999999995E-4</v>
      </c>
      <c r="H488" s="39" t="s">
        <v>9688</v>
      </c>
      <c r="I488" s="39">
        <f>1*'Model Parameters'!J$219*'Model Parameters'!J$248</f>
        <v>1983.3333333333333</v>
      </c>
      <c r="K488" s="37">
        <f t="shared" si="10"/>
        <v>1.7651666666666666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10372</v>
      </c>
      <c r="E489">
        <v>1.8734100000000001E-7</v>
      </c>
      <c r="H489" s="39" t="s">
        <v>9688</v>
      </c>
      <c r="I489" s="39">
        <f>1*'Model Parameters'!J$219*'Model Parameters'!J$248</f>
        <v>1983.3333333333333</v>
      </c>
      <c r="K489" s="37">
        <f t="shared" si="10"/>
        <v>3.7155964999999999E-4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10372</v>
      </c>
      <c r="E490">
        <v>1.014E-2</v>
      </c>
      <c r="H490" s="39" t="s">
        <v>9688</v>
      </c>
      <c r="I490" s="39">
        <f>1*'Model Parameters'!J$219*'Model Parameters'!J$248</f>
        <v>1983.3333333333333</v>
      </c>
      <c r="K490" s="37">
        <f t="shared" si="10"/>
        <v>20.110999999999997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10372</v>
      </c>
      <c r="E491">
        <v>1.0200000000000001E-3</v>
      </c>
      <c r="H491" s="39" t="s">
        <v>9688</v>
      </c>
      <c r="I491" s="39">
        <f>1*'Model Parameters'!J$219*'Model Parameters'!J$248</f>
        <v>1983.3333333333333</v>
      </c>
      <c r="K491" s="37">
        <f t="shared" si="10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10372</v>
      </c>
      <c r="E492">
        <v>1.0200000000000001E-3</v>
      </c>
      <c r="H492" s="39" t="s">
        <v>9688</v>
      </c>
      <c r="I492" s="39">
        <f>1*'Model Parameters'!J$219*'Model Parameters'!J$248</f>
        <v>1983.3333333333333</v>
      </c>
      <c r="K492" s="37">
        <f t="shared" si="10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10372</v>
      </c>
      <c r="E493">
        <v>2.5000000000000001E-3</v>
      </c>
      <c r="H493" s="39" t="s">
        <v>9688</v>
      </c>
      <c r="I493" s="39">
        <f>1*'Model Parameters'!J$219*'Model Parameters'!J$248</f>
        <v>1983.3333333333333</v>
      </c>
      <c r="K493" s="37">
        <f t="shared" si="10"/>
        <v>4.958333333333333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0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0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0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0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0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0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0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0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0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0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0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0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0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0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0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0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0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0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0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0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0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si="10"/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0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0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0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0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0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0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0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0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0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0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0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0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si="10"/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0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8.0903199999999995E-5</v>
      </c>
      <c r="F532" s="43"/>
      <c r="G532" s="43"/>
      <c r="H532" s="43" t="s">
        <v>9714</v>
      </c>
      <c r="I532" s="43">
        <f>1000</f>
        <v>1000</v>
      </c>
      <c r="J532" s="43"/>
      <c r="K532" s="37">
        <f t="shared" si="10"/>
        <v>8.0903199999999995E-2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6.9699999999999996E-3</v>
      </c>
      <c r="F533" s="39"/>
      <c r="G533" s="39"/>
      <c r="H533" s="39" t="s">
        <v>9714</v>
      </c>
      <c r="I533" s="39">
        <f>1000</f>
        <v>1000</v>
      </c>
      <c r="J533" s="39"/>
      <c r="K533" s="37">
        <f t="shared" si="10"/>
        <v>6.97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40">
        <v>6.7183799999999999E-5</v>
      </c>
      <c r="H534" s="39" t="s">
        <v>9714</v>
      </c>
      <c r="I534" s="39">
        <f>1000</f>
        <v>1000</v>
      </c>
      <c r="K534" s="37">
        <f t="shared" si="10"/>
        <v>6.7183800000000002E-2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40">
        <v>8.9404600000000001E-5</v>
      </c>
      <c r="H535" s="39" t="s">
        <v>9714</v>
      </c>
      <c r="I535" s="39">
        <f>1000</f>
        <v>1000</v>
      </c>
      <c r="K535" s="37">
        <f t="shared" si="10"/>
        <v>8.9404600000000001E-2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6.2700000000000004E-3</v>
      </c>
      <c r="H536" s="39" t="s">
        <v>9714</v>
      </c>
      <c r="I536" s="39">
        <f>1000</f>
        <v>1000</v>
      </c>
      <c r="K536" s="37">
        <f t="shared" si="10"/>
        <v>6.2700000000000005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3.8999999999999999E-4</v>
      </c>
      <c r="H537" s="39" t="s">
        <v>9714</v>
      </c>
      <c r="I537" s="39">
        <f>1000</f>
        <v>1000</v>
      </c>
      <c r="K537" s="37">
        <f t="shared" si="10"/>
        <v>0.39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7.9099999999999998E-5</v>
      </c>
      <c r="H538" s="39" t="s">
        <v>9714</v>
      </c>
      <c r="I538" s="39">
        <f>1000</f>
        <v>1000</v>
      </c>
      <c r="K538" s="37">
        <f t="shared" si="10"/>
        <v>7.9100000000000004E-2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4.0029700000000001E-5</v>
      </c>
      <c r="H539" s="39" t="s">
        <v>9714</v>
      </c>
      <c r="I539" s="39">
        <f>1000</f>
        <v>1000</v>
      </c>
      <c r="K539" s="37">
        <f t="shared" si="10"/>
        <v>4.0029700000000001E-2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40">
        <v>1.4999999999999999E-4</v>
      </c>
      <c r="H540" s="39" t="s">
        <v>9714</v>
      </c>
      <c r="I540" s="39">
        <f>1000</f>
        <v>1000</v>
      </c>
      <c r="K540" s="37">
        <f t="shared" si="10"/>
        <v>0.15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40">
        <v>3.2499999999999999E-3</v>
      </c>
      <c r="H541" s="39" t="s">
        <v>9714</v>
      </c>
      <c r="I541" s="39">
        <f>1000</f>
        <v>1000</v>
      </c>
      <c r="K541" s="37">
        <f t="shared" si="10"/>
        <v>3.25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40">
        <v>2.56113E-5</v>
      </c>
      <c r="H542" s="39" t="s">
        <v>9714</v>
      </c>
      <c r="I542" s="39">
        <f>1000</f>
        <v>1000</v>
      </c>
      <c r="K542" s="37">
        <f t="shared" si="10"/>
        <v>2.56113E-2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40">
        <v>6.7667899999999996E-5</v>
      </c>
      <c r="H543" s="39" t="s">
        <v>9714</v>
      </c>
      <c r="I543" s="39">
        <f>1000</f>
        <v>1000</v>
      </c>
      <c r="K543" s="37">
        <f t="shared" si="10"/>
        <v>6.7667900000000003E-2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40">
        <v>6.9825600000000004E-5</v>
      </c>
      <c r="H544" s="39" t="s">
        <v>9714</v>
      </c>
      <c r="I544" s="39">
        <f>1000</f>
        <v>1000</v>
      </c>
      <c r="K544" s="37">
        <f t="shared" si="10"/>
        <v>6.9825600000000002E-2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1.7870999999999999E-7</v>
      </c>
      <c r="H545" s="39" t="s">
        <v>9714</v>
      </c>
      <c r="I545" s="39">
        <f>1000</f>
        <v>1000</v>
      </c>
      <c r="K545" s="37">
        <f t="shared" si="10"/>
        <v>1.7871E-4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1.2770400000000001E-5</v>
      </c>
      <c r="H546" s="39" t="s">
        <v>9714</v>
      </c>
      <c r="I546" s="39">
        <f>1000</f>
        <v>1000</v>
      </c>
      <c r="K546" s="37">
        <f t="shared" si="10"/>
        <v>1.2770400000000001E-2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1.8284700000000001E-5</v>
      </c>
      <c r="H547" s="39" t="s">
        <v>9714</v>
      </c>
      <c r="I547" s="39">
        <f>1000</f>
        <v>1000</v>
      </c>
      <c r="K547" s="37">
        <f t="shared" si="10"/>
        <v>1.8284700000000001E-2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1.86332E-5</v>
      </c>
      <c r="H548" s="39" t="s">
        <v>9714</v>
      </c>
      <c r="I548" s="39">
        <f>1000</f>
        <v>1000</v>
      </c>
      <c r="K548" s="37">
        <f t="shared" si="10"/>
        <v>1.8633199999999999E-2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3.6000000000000002E-4</v>
      </c>
      <c r="H549" s="39" t="s">
        <v>9714</v>
      </c>
      <c r="I549" s="39">
        <f>1000</f>
        <v>1000</v>
      </c>
      <c r="K549" s="37">
        <f t="shared" si="10"/>
        <v>0.36000000000000004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0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0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0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0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0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0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0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0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0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0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ref="K560:K585" si="11">E560*I560</f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1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1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1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1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1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1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1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39" t="s">
        <v>10372</v>
      </c>
      <c r="E568">
        <v>4.5199999999999997E-3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37">
        <f t="shared" si="11"/>
        <v>11.161888888888887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10372</v>
      </c>
      <c r="D569" s="39"/>
      <c r="E569">
        <v>1.2492799999999999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7">
        <f t="shared" si="11"/>
        <v>3085.0275555555554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10372</v>
      </c>
      <c r="E570">
        <v>6.9419999999999996E-2</v>
      </c>
      <c r="H570" s="39" t="s">
        <v>9688</v>
      </c>
      <c r="I570" s="39">
        <f>1*'Model Parameters'!J$219*'Model Parameters'!J$303</f>
        <v>2469.4444444444443</v>
      </c>
      <c r="K570" s="37">
        <f t="shared" si="11"/>
        <v>171.4288333333333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10372</v>
      </c>
      <c r="E571">
        <v>9.5530000000000004E-2</v>
      </c>
      <c r="H571" s="39" t="s">
        <v>9688</v>
      </c>
      <c r="I571" s="39">
        <f>1*'Model Parameters'!J$219*'Model Parameters'!J$303</f>
        <v>2469.4444444444443</v>
      </c>
      <c r="K571" s="37">
        <f t="shared" si="11"/>
        <v>235.90602777777778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10372</v>
      </c>
      <c r="E572">
        <v>0.49177999999999999</v>
      </c>
      <c r="H572" s="39" t="s">
        <v>9688</v>
      </c>
      <c r="I572" s="39">
        <f>1*'Model Parameters'!J$219*'Model Parameters'!J$303</f>
        <v>2469.4444444444443</v>
      </c>
      <c r="K572" s="37">
        <f t="shared" si="11"/>
        <v>1214.4233888888889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10372</v>
      </c>
      <c r="E573">
        <v>0.27227000000000001</v>
      </c>
      <c r="H573" s="39" t="s">
        <v>9688</v>
      </c>
      <c r="I573" s="39">
        <f>1*'Model Parameters'!J$219*'Model Parameters'!J$303</f>
        <v>2469.4444444444443</v>
      </c>
      <c r="K573" s="37">
        <f t="shared" si="11"/>
        <v>672.35563888888885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10372</v>
      </c>
      <c r="E574">
        <v>2.7899999999999999E-3</v>
      </c>
      <c r="H574" s="39" t="s">
        <v>9688</v>
      </c>
      <c r="I574" s="39">
        <f>1*'Model Parameters'!J$219*'Model Parameters'!J$303</f>
        <v>2469.4444444444443</v>
      </c>
      <c r="K574" s="37">
        <f t="shared" si="11"/>
        <v>6.8897499999999994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10372</v>
      </c>
      <c r="E575">
        <v>1.7000000000000001E-4</v>
      </c>
      <c r="H575" s="39" t="s">
        <v>9688</v>
      </c>
      <c r="I575" s="39">
        <f>1*'Model Parameters'!J$219*'Model Parameters'!J$303</f>
        <v>2469.4444444444443</v>
      </c>
      <c r="K575" s="37">
        <f t="shared" si="11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10372</v>
      </c>
      <c r="E576">
        <v>0.13592000000000001</v>
      </c>
      <c r="H576" s="39" t="s">
        <v>9688</v>
      </c>
      <c r="I576" s="39">
        <f>1*'Model Parameters'!J$219*'Model Parameters'!J$303</f>
        <v>2469.4444444444443</v>
      </c>
      <c r="K576" s="37">
        <f t="shared" si="11"/>
        <v>335.6468888888889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10372</v>
      </c>
      <c r="E577">
        <v>2.7690299999999999</v>
      </c>
      <c r="H577" s="39" t="s">
        <v>9688</v>
      </c>
      <c r="I577" s="39">
        <f>1*'Model Parameters'!J$219*'Model Parameters'!J$303</f>
        <v>2469.4444444444443</v>
      </c>
      <c r="K577" s="37">
        <f t="shared" si="11"/>
        <v>6837.9657499999994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10372</v>
      </c>
      <c r="E578">
        <v>1.89E-3</v>
      </c>
      <c r="H578" s="39" t="s">
        <v>9688</v>
      </c>
      <c r="I578" s="39">
        <f>1*'Model Parameters'!J$219*'Model Parameters'!J$303</f>
        <v>2469.4444444444443</v>
      </c>
      <c r="K578" s="37">
        <f t="shared" si="11"/>
        <v>4.6672500000000001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10372</v>
      </c>
      <c r="E579">
        <v>1.6900000000000001E-3</v>
      </c>
      <c r="H579" s="39" t="s">
        <v>9688</v>
      </c>
      <c r="I579" s="39">
        <f>1*'Model Parameters'!J$219*'Model Parameters'!J$303</f>
        <v>2469.4444444444443</v>
      </c>
      <c r="K579" s="37">
        <f t="shared" si="11"/>
        <v>4.1733611111111113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10372</v>
      </c>
      <c r="E580">
        <v>8.8999999999999995E-4</v>
      </c>
      <c r="H580" s="39" t="s">
        <v>9688</v>
      </c>
      <c r="I580" s="39">
        <f>1*'Model Parameters'!J$219*'Model Parameters'!J$303</f>
        <v>2469.4444444444443</v>
      </c>
      <c r="K580" s="37">
        <f t="shared" si="11"/>
        <v>2.1978055555555551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10372</v>
      </c>
      <c r="E581">
        <v>1.8734100000000001E-7</v>
      </c>
      <c r="H581" s="39" t="s">
        <v>9688</v>
      </c>
      <c r="I581" s="39">
        <f>1*'Model Parameters'!J$219*'Model Parameters'!J$303</f>
        <v>2469.4444444444443</v>
      </c>
      <c r="K581" s="37">
        <f t="shared" si="11"/>
        <v>4.6262819166666667E-4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10372</v>
      </c>
      <c r="E582">
        <v>1.014E-2</v>
      </c>
      <c r="H582" s="39" t="s">
        <v>9688</v>
      </c>
      <c r="I582" s="39">
        <f>1*'Model Parameters'!J$219*'Model Parameters'!J$303</f>
        <v>2469.4444444444443</v>
      </c>
      <c r="K582" s="37">
        <f t="shared" si="11"/>
        <v>25.040166666666664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10372</v>
      </c>
      <c r="E583">
        <v>1.0200000000000001E-3</v>
      </c>
      <c r="H583" s="39" t="s">
        <v>9688</v>
      </c>
      <c r="I583" s="39">
        <f>1*'Model Parameters'!J$219*'Model Parameters'!J$303</f>
        <v>2469.4444444444443</v>
      </c>
      <c r="K583" s="37">
        <f t="shared" si="11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10372</v>
      </c>
      <c r="E584">
        <v>1.0200000000000001E-3</v>
      </c>
      <c r="H584" s="39" t="s">
        <v>9688</v>
      </c>
      <c r="I584" s="39">
        <f>1*'Model Parameters'!J$219*'Model Parameters'!J$303</f>
        <v>2469.4444444444443</v>
      </c>
      <c r="K584" s="37">
        <f t="shared" si="11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10372</v>
      </c>
      <c r="E585">
        <v>2.5000000000000001E-3</v>
      </c>
      <c r="H585" s="39" t="s">
        <v>9688</v>
      </c>
      <c r="I585" s="39">
        <f>1*'Model Parameters'!J$219*'Model Parameters'!J$303</f>
        <v>2469.4444444444443</v>
      </c>
      <c r="K585" s="37">
        <f t="shared" si="11"/>
        <v>6.1736111111111107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2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2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2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2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2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2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2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2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2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2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2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2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2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2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65" si="13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3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si="13"/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3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3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3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3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8.0903199999999995E-5</v>
      </c>
      <c r="F609" s="43"/>
      <c r="G609" s="43"/>
      <c r="H609" s="43" t="s">
        <v>9714</v>
      </c>
      <c r="I609" s="43">
        <f>1000</f>
        <v>1000</v>
      </c>
      <c r="J609" s="43"/>
      <c r="K609" s="37">
        <f t="shared" si="13"/>
        <v>8.0903199999999995E-2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6.9699999999999996E-3</v>
      </c>
      <c r="F610" s="39"/>
      <c r="G610" s="39"/>
      <c r="H610" s="39" t="s">
        <v>9714</v>
      </c>
      <c r="I610" s="39">
        <f>1000</f>
        <v>1000</v>
      </c>
      <c r="J610" s="39"/>
      <c r="K610" s="37">
        <f t="shared" si="13"/>
        <v>6.97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40">
        <v>6.7183799999999999E-5</v>
      </c>
      <c r="H611" s="39" t="s">
        <v>9714</v>
      </c>
      <c r="I611" s="39">
        <f>1000</f>
        <v>1000</v>
      </c>
      <c r="K611" s="37">
        <f t="shared" si="13"/>
        <v>6.7183800000000002E-2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40">
        <v>8.9404600000000001E-5</v>
      </c>
      <c r="H612" s="39" t="s">
        <v>9714</v>
      </c>
      <c r="I612" s="39">
        <f>1000</f>
        <v>1000</v>
      </c>
      <c r="K612" s="37">
        <f t="shared" si="13"/>
        <v>8.9404600000000001E-2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6.2700000000000004E-3</v>
      </c>
      <c r="H613" s="39" t="s">
        <v>9714</v>
      </c>
      <c r="I613" s="39">
        <f>1000</f>
        <v>1000</v>
      </c>
      <c r="K613" s="37">
        <f t="shared" si="13"/>
        <v>6.2700000000000005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3.8999999999999999E-4</v>
      </c>
      <c r="H614" s="39" t="s">
        <v>9714</v>
      </c>
      <c r="I614" s="39">
        <f>1000</f>
        <v>1000</v>
      </c>
      <c r="K614" s="37">
        <f t="shared" si="13"/>
        <v>0.39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7.9099999999999998E-5</v>
      </c>
      <c r="H615" s="39" t="s">
        <v>9714</v>
      </c>
      <c r="I615" s="39">
        <f>1000</f>
        <v>1000</v>
      </c>
      <c r="K615" s="37">
        <f t="shared" si="13"/>
        <v>7.9100000000000004E-2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4.0029700000000001E-5</v>
      </c>
      <c r="H616" s="39" t="s">
        <v>9714</v>
      </c>
      <c r="I616" s="39">
        <f>1000</f>
        <v>1000</v>
      </c>
      <c r="K616" s="37">
        <f t="shared" si="13"/>
        <v>4.0029700000000001E-2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40">
        <v>1.4999999999999999E-4</v>
      </c>
      <c r="H617" s="39" t="s">
        <v>9714</v>
      </c>
      <c r="I617" s="39">
        <f>1000</f>
        <v>1000</v>
      </c>
      <c r="K617" s="37">
        <f t="shared" si="13"/>
        <v>0.15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40">
        <v>3.2499999999999999E-3</v>
      </c>
      <c r="H618" s="39" t="s">
        <v>9714</v>
      </c>
      <c r="I618" s="39">
        <f>1000</f>
        <v>1000</v>
      </c>
      <c r="K618" s="37">
        <f t="shared" si="13"/>
        <v>3.25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40">
        <v>2.56113E-5</v>
      </c>
      <c r="H619" s="39" t="s">
        <v>9714</v>
      </c>
      <c r="I619" s="39">
        <f>1000</f>
        <v>1000</v>
      </c>
      <c r="K619" s="37">
        <f t="shared" si="13"/>
        <v>2.56113E-2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40">
        <v>6.7667899999999996E-5</v>
      </c>
      <c r="H620" s="39" t="s">
        <v>9714</v>
      </c>
      <c r="I620" s="39">
        <f>1000</f>
        <v>1000</v>
      </c>
      <c r="K620" s="37">
        <f t="shared" si="13"/>
        <v>6.7667900000000003E-2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40">
        <v>6.9825600000000004E-5</v>
      </c>
      <c r="H621" s="39" t="s">
        <v>9714</v>
      </c>
      <c r="I621" s="39">
        <f>1000</f>
        <v>1000</v>
      </c>
      <c r="K621" s="37">
        <f t="shared" si="13"/>
        <v>6.9825600000000002E-2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1.7870999999999999E-7</v>
      </c>
      <c r="H622" s="39" t="s">
        <v>9714</v>
      </c>
      <c r="I622" s="39">
        <f>1000</f>
        <v>1000</v>
      </c>
      <c r="K622" s="37">
        <f t="shared" si="13"/>
        <v>1.7871E-4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1.2770400000000001E-5</v>
      </c>
      <c r="H623" s="39" t="s">
        <v>9714</v>
      </c>
      <c r="I623" s="39">
        <f>1000</f>
        <v>1000</v>
      </c>
      <c r="K623" s="37">
        <f t="shared" si="13"/>
        <v>1.2770400000000001E-2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1.8284700000000001E-5</v>
      </c>
      <c r="H624" s="39" t="s">
        <v>9714</v>
      </c>
      <c r="I624" s="39">
        <f>1000</f>
        <v>1000</v>
      </c>
      <c r="K624" s="37">
        <f t="shared" si="13"/>
        <v>1.8284700000000001E-2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1.86332E-5</v>
      </c>
      <c r="H625" s="39" t="s">
        <v>9714</v>
      </c>
      <c r="I625" s="39">
        <f>1000</f>
        <v>1000</v>
      </c>
      <c r="K625" s="37">
        <f t="shared" si="13"/>
        <v>1.8633199999999999E-2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3.6000000000000002E-4</v>
      </c>
      <c r="H626" s="39" t="s">
        <v>9714</v>
      </c>
      <c r="I626" s="39">
        <f>1000</f>
        <v>1000</v>
      </c>
      <c r="K626" s="37">
        <f t="shared" si="13"/>
        <v>0.36000000000000004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si="13"/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3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3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3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3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3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3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3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3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3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3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3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3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3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3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3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3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3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3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3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3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3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3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3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3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3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3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3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3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3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3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3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3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3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3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3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3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3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10378</v>
      </c>
      <c r="D665" s="43"/>
      <c r="E665">
        <v>1.31E-3</v>
      </c>
      <c r="F665" s="43"/>
      <c r="G665" s="43"/>
      <c r="H665" s="43" t="s">
        <v>9917</v>
      </c>
      <c r="I665" s="43">
        <f>1/0.6</f>
        <v>1.6666666666666667</v>
      </c>
      <c r="J665" s="43"/>
      <c r="K665" s="37">
        <f t="shared" si="13"/>
        <v>2.1833333333333336E-3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10378</v>
      </c>
      <c r="D666" s="39"/>
      <c r="E666">
        <v>0.25802999999999998</v>
      </c>
      <c r="F666" s="39"/>
      <c r="G666" s="39"/>
      <c r="H666" s="39" t="s">
        <v>9917</v>
      </c>
      <c r="I666" s="39">
        <f>1/0.6</f>
        <v>1.6666666666666667</v>
      </c>
      <c r="J666" s="39"/>
      <c r="K666" s="37">
        <f t="shared" ref="K666:K718" si="14">E666*I666</f>
        <v>0.43004999999999999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10378</v>
      </c>
      <c r="E667">
        <v>3.98E-3</v>
      </c>
      <c r="H667" s="39" t="s">
        <v>9917</v>
      </c>
      <c r="I667" s="39">
        <f t="shared" ref="I667:I682" si="15">1/0.6</f>
        <v>1.6666666666666667</v>
      </c>
      <c r="K667" s="37">
        <f t="shared" si="14"/>
        <v>6.633333333333334E-3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10378</v>
      </c>
      <c r="E668">
        <v>5.28E-3</v>
      </c>
      <c r="H668" s="39" t="s">
        <v>9917</v>
      </c>
      <c r="I668" s="39">
        <f t="shared" si="15"/>
        <v>1.6666666666666667</v>
      </c>
      <c r="K668" s="37">
        <f t="shared" si="14"/>
        <v>8.8000000000000005E-3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10378</v>
      </c>
      <c r="E669">
        <v>0.32425999999999999</v>
      </c>
      <c r="H669" s="39" t="s">
        <v>9917</v>
      </c>
      <c r="I669" s="39">
        <f t="shared" si="15"/>
        <v>1.6666666666666667</v>
      </c>
      <c r="K669" s="37">
        <f t="shared" si="14"/>
        <v>0.54043333333333332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10378</v>
      </c>
      <c r="E670">
        <v>2.3730000000000001E-2</v>
      </c>
      <c r="H670" s="39" t="s">
        <v>9917</v>
      </c>
      <c r="I670" s="39">
        <f t="shared" si="15"/>
        <v>1.6666666666666667</v>
      </c>
      <c r="K670" s="37">
        <f t="shared" si="14"/>
        <v>3.9550000000000002E-2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10378</v>
      </c>
      <c r="E671">
        <v>4.1550400000000001E-5</v>
      </c>
      <c r="H671" s="39" t="s">
        <v>9917</v>
      </c>
      <c r="I671" s="39">
        <f t="shared" si="15"/>
        <v>1.6666666666666667</v>
      </c>
      <c r="K671" s="37">
        <f t="shared" si="14"/>
        <v>6.9250666666666671E-5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10378</v>
      </c>
      <c r="E672">
        <v>3.15729E-6</v>
      </c>
      <c r="H672" s="39" t="s">
        <v>9917</v>
      </c>
      <c r="I672" s="39">
        <f t="shared" si="15"/>
        <v>1.6666666666666667</v>
      </c>
      <c r="K672" s="37">
        <f t="shared" si="14"/>
        <v>5.2621500000000001E-6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10378</v>
      </c>
      <c r="E673">
        <v>7.11E-3</v>
      </c>
      <c r="H673" s="39" t="s">
        <v>9917</v>
      </c>
      <c r="I673" s="39">
        <f t="shared" si="15"/>
        <v>1.6666666666666667</v>
      </c>
      <c r="K673" s="37">
        <f t="shared" si="14"/>
        <v>1.1850000000000001E-2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10378</v>
      </c>
      <c r="E674">
        <v>0.10349999999999999</v>
      </c>
      <c r="H674" s="39" t="s">
        <v>9917</v>
      </c>
      <c r="I674" s="39">
        <f t="shared" si="15"/>
        <v>1.6666666666666667</v>
      </c>
      <c r="K674" s="37">
        <f t="shared" si="14"/>
        <v>0.17249999999999999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10378</v>
      </c>
      <c r="E675">
        <v>3.2399999999999998E-3</v>
      </c>
      <c r="H675" s="39" t="s">
        <v>9917</v>
      </c>
      <c r="I675" s="39">
        <f t="shared" si="15"/>
        <v>1.6666666666666667</v>
      </c>
      <c r="K675" s="37">
        <f t="shared" si="14"/>
        <v>5.4000000000000003E-3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10378</v>
      </c>
      <c r="E676">
        <v>8.3400000000000002E-3</v>
      </c>
      <c r="H676" s="39" t="s">
        <v>9917</v>
      </c>
      <c r="I676" s="39">
        <f t="shared" si="15"/>
        <v>1.6666666666666667</v>
      </c>
      <c r="K676" s="37">
        <f t="shared" si="14"/>
        <v>1.3900000000000001E-2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10378</v>
      </c>
      <c r="E677">
        <v>1.39E-3</v>
      </c>
      <c r="H677" s="39" t="s">
        <v>9917</v>
      </c>
      <c r="I677" s="39">
        <f t="shared" si="15"/>
        <v>1.6666666666666667</v>
      </c>
      <c r="K677" s="37">
        <f t="shared" si="14"/>
        <v>2.3166666666666665E-3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10378</v>
      </c>
      <c r="E678">
        <v>7.2264400000000002E-7</v>
      </c>
      <c r="H678" s="39" t="s">
        <v>9917</v>
      </c>
      <c r="I678" s="39">
        <f t="shared" si="15"/>
        <v>1.6666666666666667</v>
      </c>
      <c r="K678" s="37">
        <f t="shared" si="14"/>
        <v>1.2044066666666667E-6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10378</v>
      </c>
      <c r="E679">
        <v>3.3E-4</v>
      </c>
      <c r="H679" s="39" t="s">
        <v>9917</v>
      </c>
      <c r="I679" s="39">
        <f t="shared" si="15"/>
        <v>1.6666666666666667</v>
      </c>
      <c r="K679" s="37">
        <f t="shared" si="14"/>
        <v>5.5000000000000003E-4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10378</v>
      </c>
      <c r="E680">
        <v>3.1E-4</v>
      </c>
      <c r="H680" s="39" t="s">
        <v>9917</v>
      </c>
      <c r="I680" s="39">
        <f t="shared" si="15"/>
        <v>1.6666666666666667</v>
      </c>
      <c r="K680" s="37">
        <f t="shared" si="14"/>
        <v>5.1666666666666668E-4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10378</v>
      </c>
      <c r="E681">
        <v>3.2000000000000003E-4</v>
      </c>
      <c r="H681" s="39" t="s">
        <v>9917</v>
      </c>
      <c r="I681" s="39">
        <f t="shared" si="15"/>
        <v>1.6666666666666667</v>
      </c>
      <c r="K681" s="37">
        <f t="shared" si="14"/>
        <v>5.3333333333333336E-4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10378</v>
      </c>
      <c r="E682">
        <v>2.5000000000000001E-4</v>
      </c>
      <c r="H682" s="39" t="s">
        <v>9917</v>
      </c>
      <c r="I682" s="39">
        <f t="shared" si="15"/>
        <v>1.6666666666666667</v>
      </c>
      <c r="K682" s="37">
        <f t="shared" si="14"/>
        <v>4.1666666666666669E-4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4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4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4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4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4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4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4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4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4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4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4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4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4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4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4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4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4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4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10379</v>
      </c>
      <c r="D701" s="43"/>
      <c r="E701">
        <v>157.678</v>
      </c>
      <c r="F701" s="43"/>
      <c r="G701" s="43"/>
      <c r="H701" s="43" t="s">
        <v>9736</v>
      </c>
      <c r="I701" s="43">
        <f>1/300</f>
        <v>3.3333333333333335E-3</v>
      </c>
      <c r="J701" s="43"/>
      <c r="K701" s="37">
        <f t="shared" si="14"/>
        <v>0.52559333333333336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10379</v>
      </c>
      <c r="D702" s="39"/>
      <c r="E702">
        <v>50173</v>
      </c>
      <c r="F702" s="39"/>
      <c r="G702" s="39"/>
      <c r="H702" s="39" t="s">
        <v>9736</v>
      </c>
      <c r="I702" s="39">
        <f>1/300</f>
        <v>3.3333333333333335E-3</v>
      </c>
      <c r="J702" s="39"/>
      <c r="K702" s="37">
        <f t="shared" si="14"/>
        <v>167.24333333333334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10379</v>
      </c>
      <c r="E703">
        <v>4999.71</v>
      </c>
      <c r="H703" s="39" t="s">
        <v>9736</v>
      </c>
      <c r="I703" s="39">
        <f t="shared" ref="I703:I718" si="16">1/300</f>
        <v>3.3333333333333335E-3</v>
      </c>
      <c r="K703" s="37">
        <f t="shared" si="14"/>
        <v>16.665700000000001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10379</v>
      </c>
      <c r="E704">
        <v>6705</v>
      </c>
      <c r="H704" s="39" t="s">
        <v>9736</v>
      </c>
      <c r="I704" s="39">
        <f t="shared" si="16"/>
        <v>3.3333333333333335E-3</v>
      </c>
      <c r="K704" s="37">
        <f t="shared" si="14"/>
        <v>22.35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10379</v>
      </c>
      <c r="E705">
        <v>556570</v>
      </c>
      <c r="H705" s="39" t="s">
        <v>9736</v>
      </c>
      <c r="I705" s="39">
        <f t="shared" si="16"/>
        <v>3.3333333333333335E-3</v>
      </c>
      <c r="K705" s="37">
        <f t="shared" si="14"/>
        <v>1855.2333333333333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10379</v>
      </c>
      <c r="E706">
        <v>10413.9</v>
      </c>
      <c r="H706" s="39" t="s">
        <v>9736</v>
      </c>
      <c r="I706" s="39">
        <f t="shared" si="16"/>
        <v>3.3333333333333335E-3</v>
      </c>
      <c r="K706" s="37">
        <f t="shared" si="14"/>
        <v>34.713000000000001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10379</v>
      </c>
      <c r="E707">
        <v>14.638</v>
      </c>
      <c r="H707" s="39" t="s">
        <v>9736</v>
      </c>
      <c r="I707" s="39">
        <f t="shared" si="16"/>
        <v>3.3333333333333335E-3</v>
      </c>
      <c r="K707" s="37">
        <f t="shared" si="14"/>
        <v>4.8793333333333334E-2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10379</v>
      </c>
      <c r="E708">
        <v>2.1220699999999999</v>
      </c>
      <c r="H708" s="39" t="s">
        <v>9736</v>
      </c>
      <c r="I708" s="39">
        <f t="shared" si="16"/>
        <v>3.3333333333333335E-3</v>
      </c>
      <c r="K708" s="37">
        <f t="shared" si="14"/>
        <v>7.0735666666666671E-3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10379</v>
      </c>
      <c r="E709">
        <v>19652.400000000001</v>
      </c>
      <c r="H709" s="39" t="s">
        <v>9736</v>
      </c>
      <c r="I709" s="39">
        <f t="shared" si="16"/>
        <v>3.3333333333333335E-3</v>
      </c>
      <c r="K709" s="37">
        <f t="shared" si="14"/>
        <v>65.50800000000001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10379</v>
      </c>
      <c r="E710">
        <v>86558.8</v>
      </c>
      <c r="H710" s="39" t="s">
        <v>9736</v>
      </c>
      <c r="I710" s="39">
        <f t="shared" si="16"/>
        <v>3.3333333333333335E-3</v>
      </c>
      <c r="K710" s="37">
        <f t="shared" si="14"/>
        <v>288.52933333333334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10379</v>
      </c>
      <c r="E711">
        <v>1092.3</v>
      </c>
      <c r="H711" s="39" t="s">
        <v>9736</v>
      </c>
      <c r="I711" s="39">
        <f t="shared" si="16"/>
        <v>3.3333333333333335E-3</v>
      </c>
      <c r="K711" s="37">
        <f t="shared" si="14"/>
        <v>3.641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10379</v>
      </c>
      <c r="E712">
        <v>10421.9</v>
      </c>
      <c r="H712" s="39" t="s">
        <v>9736</v>
      </c>
      <c r="I712" s="39">
        <f t="shared" si="16"/>
        <v>3.3333333333333335E-3</v>
      </c>
      <c r="K712" s="37">
        <f t="shared" si="14"/>
        <v>34.739666666666665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10379</v>
      </c>
      <c r="E713">
        <v>5443.6</v>
      </c>
      <c r="H713" s="39" t="s">
        <v>9736</v>
      </c>
      <c r="I713" s="39">
        <f t="shared" si="16"/>
        <v>3.3333333333333335E-3</v>
      </c>
      <c r="K713" s="37">
        <f t="shared" si="14"/>
        <v>18.145333333333337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10379</v>
      </c>
      <c r="E714">
        <v>8.9200000000000008E-3</v>
      </c>
      <c r="H714" s="39" t="s">
        <v>9736</v>
      </c>
      <c r="I714" s="39">
        <f t="shared" si="16"/>
        <v>3.3333333333333335E-3</v>
      </c>
      <c r="K714" s="37">
        <f t="shared" si="14"/>
        <v>2.9733333333333339E-5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10379</v>
      </c>
      <c r="E715">
        <v>88.156999999999996</v>
      </c>
      <c r="H715" s="39" t="s">
        <v>9736</v>
      </c>
      <c r="I715" s="39">
        <f t="shared" si="16"/>
        <v>3.3333333333333335E-3</v>
      </c>
      <c r="K715" s="37">
        <f t="shared" si="14"/>
        <v>0.29385666666666665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10379</v>
      </c>
      <c r="E716">
        <v>153.13</v>
      </c>
      <c r="H716" s="39" t="s">
        <v>9736</v>
      </c>
      <c r="I716" s="39">
        <f t="shared" si="16"/>
        <v>3.3333333333333335E-3</v>
      </c>
      <c r="K716" s="37">
        <f t="shared" si="14"/>
        <v>0.51043333333333341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10379</v>
      </c>
      <c r="E717">
        <v>159.84</v>
      </c>
      <c r="H717" s="39" t="s">
        <v>9736</v>
      </c>
      <c r="I717" s="39">
        <f t="shared" si="16"/>
        <v>3.3333333333333335E-3</v>
      </c>
      <c r="K717" s="37">
        <f t="shared" si="14"/>
        <v>0.53280000000000005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10379</v>
      </c>
      <c r="E718">
        <v>282.72000000000003</v>
      </c>
      <c r="H718" s="39" t="s">
        <v>9736</v>
      </c>
      <c r="I718" s="39">
        <f t="shared" si="16"/>
        <v>3.3333333333333335E-3</v>
      </c>
      <c r="K718" s="37">
        <f t="shared" si="14"/>
        <v>0.94240000000000013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10380</v>
      </c>
      <c r="D719" s="43"/>
      <c r="E719">
        <v>1237000</v>
      </c>
      <c r="F719" s="43"/>
      <c r="G719" s="43"/>
      <c r="H719" s="43" t="s">
        <v>9739</v>
      </c>
      <c r="I719" s="43">
        <f>1/K$737</f>
        <v>8.8346336054112227E-10</v>
      </c>
      <c r="J719" s="43"/>
      <c r="K719" s="59">
        <f>E719*I719</f>
        <v>1.0928441769893682E-3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10380</v>
      </c>
      <c r="E720">
        <v>153800000</v>
      </c>
      <c r="H720" s="39" t="s">
        <v>9739</v>
      </c>
      <c r="I720" s="39">
        <f t="shared" ref="I720:I736" si="17">1/K$737</f>
        <v>8.8346336054112227E-10</v>
      </c>
      <c r="K720" s="37">
        <f t="shared" ref="K720:K737" si="18">E720*I720</f>
        <v>0.1358766648512246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10380</v>
      </c>
      <c r="E721">
        <v>81124000</v>
      </c>
      <c r="H721" s="39" t="s">
        <v>9739</v>
      </c>
      <c r="I721" s="39">
        <f t="shared" si="17"/>
        <v>8.8346336054112227E-10</v>
      </c>
      <c r="K721" s="37">
        <f t="shared" si="18"/>
        <v>7.1670081660537996E-2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10380</v>
      </c>
      <c r="E722">
        <v>104938000</v>
      </c>
      <c r="H722" s="39" t="s">
        <v>9739</v>
      </c>
      <c r="I722" s="39">
        <f t="shared" si="17"/>
        <v>8.8346336054112227E-10</v>
      </c>
      <c r="K722" s="37">
        <f t="shared" si="18"/>
        <v>9.2708878128464289E-2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10380</v>
      </c>
      <c r="E723">
        <v>6963200000</v>
      </c>
      <c r="H723" s="39" t="s">
        <v>9739</v>
      </c>
      <c r="I723" s="39">
        <f t="shared" si="17"/>
        <v>8.8346336054112227E-10</v>
      </c>
      <c r="K723" s="37">
        <f t="shared" si="18"/>
        <v>6.1517320721199429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10380</v>
      </c>
      <c r="E724">
        <v>36141000</v>
      </c>
      <c r="H724" s="39" t="s">
        <v>9739</v>
      </c>
      <c r="I724" s="39">
        <f t="shared" si="17"/>
        <v>8.8346336054112227E-10</v>
      </c>
      <c r="K724" s="37">
        <f t="shared" si="18"/>
        <v>3.1929249313316699E-2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10380</v>
      </c>
      <c r="E725">
        <v>146950</v>
      </c>
      <c r="H725" s="39" t="s">
        <v>9739</v>
      </c>
      <c r="I725" s="39">
        <f t="shared" si="17"/>
        <v>8.8346336054112227E-10</v>
      </c>
      <c r="K725" s="37">
        <f t="shared" si="18"/>
        <v>1.2982494083151793E-4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10380</v>
      </c>
      <c r="E726">
        <v>7767.6</v>
      </c>
      <c r="H726" s="39" t="s">
        <v>9739</v>
      </c>
      <c r="I726" s="39">
        <f t="shared" si="17"/>
        <v>8.8346336054112227E-10</v>
      </c>
      <c r="K726" s="37">
        <f t="shared" si="18"/>
        <v>6.8623899993392218E-6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10380</v>
      </c>
      <c r="E727">
        <v>62873000</v>
      </c>
      <c r="H727" s="39" t="s">
        <v>9739</v>
      </c>
      <c r="I727" s="39">
        <f t="shared" si="17"/>
        <v>8.8346336054112227E-10</v>
      </c>
      <c r="K727" s="37">
        <f t="shared" si="18"/>
        <v>5.5545991867301983E-2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10380</v>
      </c>
      <c r="E728">
        <v>1252800000</v>
      </c>
      <c r="H728" s="39" t="s">
        <v>9739</v>
      </c>
      <c r="I728" s="39">
        <f t="shared" si="17"/>
        <v>8.8346336054112227E-10</v>
      </c>
      <c r="K728" s="37">
        <f t="shared" si="18"/>
        <v>1.1068028980859179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10380</v>
      </c>
      <c r="E729">
        <v>15744000</v>
      </c>
      <c r="H729" s="39" t="s">
        <v>9739</v>
      </c>
      <c r="I729" s="39">
        <f t="shared" si="17"/>
        <v>8.8346336054112227E-10</v>
      </c>
      <c r="K729" s="37">
        <f t="shared" si="18"/>
        <v>1.3909247148359428E-2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10380</v>
      </c>
      <c r="E730">
        <v>15195800</v>
      </c>
      <c r="H730" s="39" t="s">
        <v>9739</v>
      </c>
      <c r="I730" s="39">
        <f t="shared" si="17"/>
        <v>8.8346336054112227E-10</v>
      </c>
      <c r="K730" s="37">
        <f t="shared" si="18"/>
        <v>1.3424932534110786E-2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10380</v>
      </c>
      <c r="E731">
        <v>12441000</v>
      </c>
      <c r="H731" s="39" t="s">
        <v>9739</v>
      </c>
      <c r="I731" s="39">
        <f t="shared" si="17"/>
        <v>8.8346336054112227E-10</v>
      </c>
      <c r="K731" s="37">
        <f t="shared" si="18"/>
        <v>1.0991167668492102E-2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10380</v>
      </c>
      <c r="E732">
        <v>59.199480000000001</v>
      </c>
      <c r="H732" s="39" t="s">
        <v>9739</v>
      </c>
      <c r="I732" s="39">
        <f t="shared" si="17"/>
        <v>8.8346336054112227E-10</v>
      </c>
      <c r="K732" s="37">
        <f t="shared" si="18"/>
        <v>5.2300571543086958E-8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10380</v>
      </c>
      <c r="E733">
        <v>515150</v>
      </c>
      <c r="H733" s="39" t="s">
        <v>9739</v>
      </c>
      <c r="I733" s="39">
        <f t="shared" si="17"/>
        <v>8.8346336054112227E-10</v>
      </c>
      <c r="K733" s="37">
        <f t="shared" si="18"/>
        <v>4.5511615018275912E-4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10380</v>
      </c>
      <c r="E734">
        <v>487388</v>
      </c>
      <c r="H734" s="39" t="s">
        <v>9739</v>
      </c>
      <c r="I734" s="39">
        <f t="shared" si="17"/>
        <v>8.8346336054112227E-10</v>
      </c>
      <c r="K734" s="37">
        <f t="shared" si="18"/>
        <v>4.3058944036741652E-4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10380</v>
      </c>
      <c r="E735">
        <v>502984</v>
      </c>
      <c r="H735" s="39" t="s">
        <v>9739</v>
      </c>
      <c r="I735" s="39">
        <f t="shared" si="17"/>
        <v>8.8346336054112227E-10</v>
      </c>
      <c r="K735" s="37">
        <f t="shared" si="18"/>
        <v>4.4436793493841584E-4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10380</v>
      </c>
      <c r="E736">
        <v>1326300</v>
      </c>
      <c r="H736" s="39" t="s">
        <v>9739</v>
      </c>
      <c r="I736" s="39">
        <f t="shared" si="17"/>
        <v>8.8346336054112227E-10</v>
      </c>
      <c r="K736" s="37">
        <f t="shared" si="18"/>
        <v>1.1717374550856904E-3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10380</v>
      </c>
      <c r="E737">
        <v>528046000</v>
      </c>
      <c r="H737" s="39" t="s">
        <v>9741</v>
      </c>
      <c r="I737" s="39">
        <f>1*'Conversion Factors'!$D$6*'Conversion Factors'!$D$12</f>
        <v>2.1435800176905113</v>
      </c>
      <c r="K737" s="47">
        <f t="shared" si="18"/>
        <v>1131908854.0214038</v>
      </c>
      <c r="M737" s="39" t="s">
        <v>9743</v>
      </c>
      <c r="N737" s="39" t="str">
        <f t="shared" ref="N737" si="19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</row>
    <row r="739" spans="1:14" x14ac:dyDescent="0.45">
      <c r="A739" s="43" t="s">
        <v>9748</v>
      </c>
      <c r="B739" s="43" t="s">
        <v>9690</v>
      </c>
      <c r="C739" s="43" t="s">
        <v>10381</v>
      </c>
      <c r="D739" s="43"/>
      <c r="E739">
        <v>1.7149999999999999E-2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 s="37">
        <f>E739*I739</f>
        <v>5.1969696969696964E-2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10381</v>
      </c>
      <c r="E740">
        <v>5.4849500000000004</v>
      </c>
      <c r="H740" s="39" t="s">
        <v>9821</v>
      </c>
      <c r="I740" s="39">
        <f>1/'Conversion Factors'!D$66</f>
        <v>3.0303030303030303</v>
      </c>
      <c r="K740" s="37">
        <f t="shared" ref="K740:K803" si="20">E740*I740</f>
        <v>16.621060606060606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10381</v>
      </c>
      <c r="E741">
        <v>0.33939999999999998</v>
      </c>
      <c r="H741" s="39" t="s">
        <v>9821</v>
      </c>
      <c r="I741" s="39">
        <f>1/'Conversion Factors'!D$66</f>
        <v>3.0303030303030303</v>
      </c>
      <c r="K741" s="37">
        <f t="shared" si="20"/>
        <v>1.0284848484848483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10381</v>
      </c>
      <c r="E742">
        <v>0.44885999999999998</v>
      </c>
      <c r="H742" s="39" t="s">
        <v>9821</v>
      </c>
      <c r="I742" s="39">
        <f>1/'Conversion Factors'!D$66</f>
        <v>3.0303030303030303</v>
      </c>
      <c r="K742" s="37">
        <f t="shared" si="20"/>
        <v>1.3601818181818182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10381</v>
      </c>
      <c r="E743">
        <v>39.187010000000001</v>
      </c>
      <c r="H743" s="39" t="s">
        <v>9821</v>
      </c>
      <c r="I743" s="39">
        <f>1/'Conversion Factors'!D$66</f>
        <v>3.0303030303030303</v>
      </c>
      <c r="K743" s="37">
        <f t="shared" si="20"/>
        <v>118.74851515151515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10381</v>
      </c>
      <c r="E744">
        <v>1.6162399999999999</v>
      </c>
      <c r="H744" s="39" t="s">
        <v>9821</v>
      </c>
      <c r="I744" s="39">
        <f>1/'Conversion Factors'!D$66</f>
        <v>3.0303030303030303</v>
      </c>
      <c r="K744" s="37">
        <f t="shared" si="20"/>
        <v>4.8976969696969697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10381</v>
      </c>
      <c r="E745">
        <v>8.9999999999999998E-4</v>
      </c>
      <c r="H745" s="39" t="s">
        <v>9821</v>
      </c>
      <c r="I745" s="39">
        <f>1/'Conversion Factors'!D$66</f>
        <v>3.0303030303030303</v>
      </c>
      <c r="K745" s="37">
        <f t="shared" si="20"/>
        <v>2.7272727272727271E-3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10381</v>
      </c>
      <c r="E746">
        <v>5.0000000000000001E-4</v>
      </c>
      <c r="H746" s="39" t="s">
        <v>9821</v>
      </c>
      <c r="I746" s="39">
        <f>1/'Conversion Factors'!D$66</f>
        <v>3.0303030303030303</v>
      </c>
      <c r="K746" s="37">
        <f t="shared" si="20"/>
        <v>1.5151515151515152E-3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10381</v>
      </c>
      <c r="E747">
        <v>0.28911999999999999</v>
      </c>
      <c r="H747" s="39" t="s">
        <v>9821</v>
      </c>
      <c r="I747" s="39">
        <f>1/'Conversion Factors'!D$66</f>
        <v>3.0303030303030303</v>
      </c>
      <c r="K747" s="37">
        <f t="shared" si="20"/>
        <v>0.87612121212121208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10381</v>
      </c>
      <c r="E748">
        <v>6.6243999999999996</v>
      </c>
      <c r="H748" s="39" t="s">
        <v>9821</v>
      </c>
      <c r="I748" s="39">
        <f>1/'Conversion Factors'!D$66</f>
        <v>3.0303030303030303</v>
      </c>
      <c r="K748" s="37">
        <f t="shared" si="20"/>
        <v>20.073939393939394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10381</v>
      </c>
      <c r="E749">
        <v>0.15065999999999999</v>
      </c>
      <c r="H749" s="39" t="s">
        <v>9821</v>
      </c>
      <c r="I749" s="39">
        <f>1/'Conversion Factors'!D$66</f>
        <v>3.0303030303030303</v>
      </c>
      <c r="K749" s="37">
        <f t="shared" si="20"/>
        <v>0.45654545454545453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10381</v>
      </c>
      <c r="E750">
        <v>0.11815000000000001</v>
      </c>
      <c r="H750" s="39" t="s">
        <v>9821</v>
      </c>
      <c r="I750" s="39">
        <f>1/'Conversion Factors'!D$66</f>
        <v>3.0303030303030303</v>
      </c>
      <c r="K750" s="37">
        <f t="shared" si="20"/>
        <v>0.35803030303030303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10381</v>
      </c>
      <c r="E751">
        <v>0.12402000000000001</v>
      </c>
      <c r="H751" s="39" t="s">
        <v>9821</v>
      </c>
      <c r="I751" s="39">
        <f>1/'Conversion Factors'!D$66</f>
        <v>3.0303030303030303</v>
      </c>
      <c r="K751" s="37">
        <f t="shared" si="20"/>
        <v>0.37581818181818183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10381</v>
      </c>
      <c r="E752">
        <v>3.4320999999999999E-5</v>
      </c>
      <c r="H752" s="39" t="s">
        <v>9821</v>
      </c>
      <c r="I752" s="39">
        <f>1/'Conversion Factors'!D$66</f>
        <v>3.0303030303030303</v>
      </c>
      <c r="K752" s="37">
        <f t="shared" si="20"/>
        <v>1.0400303030303029E-4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10381</v>
      </c>
      <c r="E753">
        <v>5.6899999999999997E-3</v>
      </c>
      <c r="H753" s="39" t="s">
        <v>9821</v>
      </c>
      <c r="I753" s="39">
        <f>1/'Conversion Factors'!D$66</f>
        <v>3.0303030303030303</v>
      </c>
      <c r="K753" s="37">
        <f t="shared" si="20"/>
        <v>1.7242424242424243E-2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10381</v>
      </c>
      <c r="E754">
        <v>1.043E-2</v>
      </c>
      <c r="H754" s="39" t="s">
        <v>9821</v>
      </c>
      <c r="I754" s="39">
        <f>1/'Conversion Factors'!D$66</f>
        <v>3.0303030303030303</v>
      </c>
      <c r="K754" s="37">
        <f t="shared" si="20"/>
        <v>3.1606060606060603E-2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10381</v>
      </c>
      <c r="E755">
        <v>1.111E-2</v>
      </c>
      <c r="H755" s="39" t="s">
        <v>9821</v>
      </c>
      <c r="I755" s="39">
        <f>1/'Conversion Factors'!D$66</f>
        <v>3.0303030303030303</v>
      </c>
      <c r="K755" s="37">
        <f t="shared" si="20"/>
        <v>3.3666666666666664E-2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10381</v>
      </c>
      <c r="E756">
        <v>0.12869</v>
      </c>
      <c r="H756" s="39" t="s">
        <v>9821</v>
      </c>
      <c r="I756" s="39">
        <f>1/'Conversion Factors'!D$66</f>
        <v>3.0303030303030303</v>
      </c>
      <c r="K756" s="37">
        <f t="shared" si="20"/>
        <v>0.38996969696969697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10382</v>
      </c>
      <c r="D757" s="43"/>
      <c r="E757">
        <v>1.315E-2</v>
      </c>
      <c r="F757" s="43"/>
      <c r="G757" s="43"/>
      <c r="H757" s="43" t="s">
        <v>9824</v>
      </c>
      <c r="I757" s="43">
        <v>1</v>
      </c>
      <c r="J757" s="43"/>
      <c r="K757" s="37">
        <f t="shared" si="20"/>
        <v>1.315E-2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10382</v>
      </c>
      <c r="E758">
        <v>3.1644399999999999</v>
      </c>
      <c r="H758" s="39" t="s">
        <v>9824</v>
      </c>
      <c r="I758" s="39">
        <v>1</v>
      </c>
      <c r="K758" s="37">
        <f t="shared" si="20"/>
        <v>3.1644399999999999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10382</v>
      </c>
      <c r="E759">
        <v>0.22993</v>
      </c>
      <c r="H759" s="39" t="s">
        <v>9824</v>
      </c>
      <c r="I759" s="39">
        <v>1</v>
      </c>
      <c r="K759" s="37">
        <f t="shared" si="20"/>
        <v>0.22993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10382</v>
      </c>
      <c r="E760">
        <v>0.30208000000000002</v>
      </c>
      <c r="H760" s="39" t="s">
        <v>9824</v>
      </c>
      <c r="I760" s="39">
        <v>1</v>
      </c>
      <c r="K760" s="37">
        <f t="shared" si="20"/>
        <v>0.30208000000000002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10382</v>
      </c>
      <c r="E761">
        <v>24.966850000000001</v>
      </c>
      <c r="H761" s="39" t="s">
        <v>9824</v>
      </c>
      <c r="I761" s="39">
        <v>1</v>
      </c>
      <c r="K761" s="37">
        <f t="shared" si="20"/>
        <v>24.966850000000001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10382</v>
      </c>
      <c r="E762">
        <v>0.79976000000000003</v>
      </c>
      <c r="H762" s="39" t="s">
        <v>9824</v>
      </c>
      <c r="I762" s="39">
        <v>1</v>
      </c>
      <c r="K762" s="37">
        <f t="shared" si="20"/>
        <v>0.79976000000000003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10382</v>
      </c>
      <c r="E763">
        <v>8.4999999999999995E-4</v>
      </c>
      <c r="H763" s="39" t="s">
        <v>9824</v>
      </c>
      <c r="I763" s="39">
        <v>1</v>
      </c>
      <c r="K763" s="37">
        <f t="shared" si="20"/>
        <v>8.4999999999999995E-4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10382</v>
      </c>
      <c r="E764">
        <v>1.9000000000000001E-4</v>
      </c>
      <c r="H764" s="39" t="s">
        <v>9824</v>
      </c>
      <c r="I764" s="39">
        <v>1</v>
      </c>
      <c r="K764" s="37">
        <f t="shared" si="20"/>
        <v>1.9000000000000001E-4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10382</v>
      </c>
      <c r="E765">
        <v>0.18201999999999999</v>
      </c>
      <c r="H765" s="39" t="s">
        <v>9824</v>
      </c>
      <c r="I765" s="39">
        <v>1</v>
      </c>
      <c r="K765" s="37">
        <f t="shared" si="20"/>
        <v>0.18201999999999999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10382</v>
      </c>
      <c r="E766">
        <v>4.6300400000000002</v>
      </c>
      <c r="H766" s="39" t="s">
        <v>9824</v>
      </c>
      <c r="I766" s="39">
        <v>1</v>
      </c>
      <c r="K766" s="37">
        <f t="shared" si="20"/>
        <v>4.6300400000000002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10382</v>
      </c>
      <c r="E767">
        <v>0.15472</v>
      </c>
      <c r="H767" s="39" t="s">
        <v>9824</v>
      </c>
      <c r="I767" s="39">
        <v>1</v>
      </c>
      <c r="K767" s="37">
        <f t="shared" si="20"/>
        <v>0.15472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10382</v>
      </c>
      <c r="E768">
        <v>0.17566000000000001</v>
      </c>
      <c r="H768" s="39" t="s">
        <v>9824</v>
      </c>
      <c r="I768" s="39">
        <v>1</v>
      </c>
      <c r="K768" s="37">
        <f t="shared" si="20"/>
        <v>0.17566000000000001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10382</v>
      </c>
      <c r="E769">
        <v>0.14441999999999999</v>
      </c>
      <c r="H769" s="39" t="s">
        <v>9824</v>
      </c>
      <c r="I769" s="39">
        <v>1</v>
      </c>
      <c r="K769" s="37">
        <f t="shared" si="20"/>
        <v>0.14441999999999999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10382</v>
      </c>
      <c r="E770">
        <v>2.0063000000000001E-5</v>
      </c>
      <c r="H770" s="39" t="s">
        <v>9824</v>
      </c>
      <c r="I770" s="39">
        <v>1</v>
      </c>
      <c r="K770" s="37">
        <f t="shared" si="20"/>
        <v>2.0063000000000001E-5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10382</v>
      </c>
      <c r="E771">
        <v>4.9899999999999996E-3</v>
      </c>
      <c r="H771" s="39" t="s">
        <v>9824</v>
      </c>
      <c r="I771" s="39">
        <v>1</v>
      </c>
      <c r="K771" s="37">
        <f t="shared" si="20"/>
        <v>4.9899999999999996E-3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10382</v>
      </c>
      <c r="E772">
        <v>8.4700000000000001E-3</v>
      </c>
      <c r="H772" s="39" t="s">
        <v>9824</v>
      </c>
      <c r="I772" s="39">
        <v>1</v>
      </c>
      <c r="K772" s="37">
        <f t="shared" si="20"/>
        <v>8.4700000000000001E-3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10382</v>
      </c>
      <c r="E773">
        <v>8.8199999999999997E-3</v>
      </c>
      <c r="H773" s="39" t="s">
        <v>9824</v>
      </c>
      <c r="I773" s="39">
        <v>1</v>
      </c>
      <c r="K773" s="37">
        <f t="shared" si="20"/>
        <v>8.8199999999999997E-3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10382</v>
      </c>
      <c r="E774">
        <v>4.7899999999999998E-2</v>
      </c>
      <c r="H774" s="39" t="s">
        <v>9824</v>
      </c>
      <c r="I774" s="39">
        <v>1</v>
      </c>
      <c r="K774" s="37">
        <f t="shared" si="20"/>
        <v>4.7899999999999998E-2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10383</v>
      </c>
      <c r="D775" s="43"/>
      <c r="E775">
        <v>7.9000000000000008E-3</v>
      </c>
      <c r="F775" s="43"/>
      <c r="G775" s="43"/>
      <c r="H775" s="43" t="s">
        <v>9826</v>
      </c>
      <c r="I775" s="43">
        <v>1</v>
      </c>
      <c r="J775" s="43"/>
      <c r="K775" s="37">
        <f t="shared" si="20"/>
        <v>7.9000000000000008E-3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10383</v>
      </c>
      <c r="E776">
        <v>2.1074199999999998</v>
      </c>
      <c r="H776" s="39" t="s">
        <v>9826</v>
      </c>
      <c r="I776" s="39">
        <v>1</v>
      </c>
      <c r="K776" s="37">
        <f t="shared" si="20"/>
        <v>2.1074199999999998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10383</v>
      </c>
      <c r="E777">
        <v>0.14393</v>
      </c>
      <c r="H777" s="39" t="s">
        <v>9826</v>
      </c>
      <c r="I777" s="39">
        <v>1</v>
      </c>
      <c r="K777" s="37">
        <f t="shared" si="20"/>
        <v>0.14393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10383</v>
      </c>
      <c r="E778">
        <v>0.18964</v>
      </c>
      <c r="H778" s="39" t="s">
        <v>9826</v>
      </c>
      <c r="I778" s="39">
        <v>1</v>
      </c>
      <c r="K778" s="37">
        <f t="shared" si="20"/>
        <v>0.18964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10383</v>
      </c>
      <c r="E779">
        <v>16.85013</v>
      </c>
      <c r="H779" s="39" t="s">
        <v>9826</v>
      </c>
      <c r="I779" s="39">
        <v>1</v>
      </c>
      <c r="K779" s="37">
        <f t="shared" si="20"/>
        <v>16.85013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10383</v>
      </c>
      <c r="E780">
        <v>0.51036999999999999</v>
      </c>
      <c r="H780" s="39" t="s">
        <v>9826</v>
      </c>
      <c r="I780" s="39">
        <v>1</v>
      </c>
      <c r="K780" s="37">
        <f t="shared" si="20"/>
        <v>0.51036999999999999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10383</v>
      </c>
      <c r="E781">
        <v>4.4000000000000002E-4</v>
      </c>
      <c r="H781" s="39" t="s">
        <v>9826</v>
      </c>
      <c r="I781" s="39">
        <v>1</v>
      </c>
      <c r="K781" s="37">
        <f t="shared" si="20"/>
        <v>4.4000000000000002E-4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10383</v>
      </c>
      <c r="E782">
        <v>1.6000000000000001E-4</v>
      </c>
      <c r="H782" s="39" t="s">
        <v>9826</v>
      </c>
      <c r="I782" s="39">
        <v>1</v>
      </c>
      <c r="K782" s="37">
        <f t="shared" si="20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10383</v>
      </c>
      <c r="E783">
        <v>0.14493</v>
      </c>
      <c r="H783" s="39" t="s">
        <v>9826</v>
      </c>
      <c r="I783" s="39">
        <v>1</v>
      </c>
      <c r="K783" s="37">
        <f t="shared" si="20"/>
        <v>0.14493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10383</v>
      </c>
      <c r="E784">
        <v>2.46462</v>
      </c>
      <c r="H784" s="39" t="s">
        <v>9826</v>
      </c>
      <c r="I784" s="39">
        <v>1</v>
      </c>
      <c r="K784" s="37">
        <f t="shared" si="20"/>
        <v>2.46462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10383</v>
      </c>
      <c r="E785">
        <v>6.4130000000000006E-2</v>
      </c>
      <c r="H785" s="39" t="s">
        <v>9826</v>
      </c>
      <c r="I785" s="39">
        <v>1</v>
      </c>
      <c r="K785" s="37">
        <f t="shared" si="20"/>
        <v>6.4130000000000006E-2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10383</v>
      </c>
      <c r="E786">
        <v>7.782E-2</v>
      </c>
      <c r="H786" s="39" t="s">
        <v>9826</v>
      </c>
      <c r="I786" s="39">
        <v>1</v>
      </c>
      <c r="K786" s="37">
        <f t="shared" si="20"/>
        <v>7.782E-2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10383</v>
      </c>
      <c r="E787">
        <v>5.8270000000000002E-2</v>
      </c>
      <c r="H787" s="39" t="s">
        <v>9826</v>
      </c>
      <c r="I787" s="39">
        <v>1</v>
      </c>
      <c r="K787" s="37">
        <f t="shared" si="20"/>
        <v>5.8270000000000002E-2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10383</v>
      </c>
      <c r="E788">
        <v>1.6520000000000001E-5</v>
      </c>
      <c r="H788" s="39" t="s">
        <v>9826</v>
      </c>
      <c r="I788" s="39">
        <v>1</v>
      </c>
      <c r="K788" s="37">
        <f t="shared" si="20"/>
        <v>1.6520000000000001E-5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10383</v>
      </c>
      <c r="E789">
        <v>2.7499999999999998E-3</v>
      </c>
      <c r="H789" s="39" t="s">
        <v>9826</v>
      </c>
      <c r="I789" s="39">
        <v>1</v>
      </c>
      <c r="K789" s="37">
        <f t="shared" si="20"/>
        <v>2.7499999999999998E-3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10383</v>
      </c>
      <c r="E790">
        <v>5.3899999999999998E-3</v>
      </c>
      <c r="H790" s="39" t="s">
        <v>9826</v>
      </c>
      <c r="I790" s="39">
        <v>1</v>
      </c>
      <c r="K790" s="37">
        <f t="shared" si="20"/>
        <v>5.3899999999999998E-3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10383</v>
      </c>
      <c r="E791">
        <v>5.62E-3</v>
      </c>
      <c r="H791" s="39" t="s">
        <v>9826</v>
      </c>
      <c r="I791" s="39">
        <v>1</v>
      </c>
      <c r="K791" s="37">
        <f t="shared" si="20"/>
        <v>5.62E-3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10383</v>
      </c>
      <c r="E792">
        <v>2.4060000000000002E-2</v>
      </c>
      <c r="H792" s="39" t="s">
        <v>9826</v>
      </c>
      <c r="I792" s="39">
        <v>1</v>
      </c>
      <c r="K792" s="37">
        <f t="shared" si="20"/>
        <v>2.4060000000000002E-2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10384</v>
      </c>
      <c r="D793" s="43"/>
      <c r="E793">
        <v>3985.1</v>
      </c>
      <c r="F793" s="43"/>
      <c r="G793" s="43"/>
      <c r="H793" s="43" t="s">
        <v>9887</v>
      </c>
      <c r="I793" s="39">
        <f>1/16000*0.95</f>
        <v>5.9375E-5</v>
      </c>
      <c r="J793" s="43"/>
      <c r="K793" s="37">
        <f t="shared" si="20"/>
        <v>0.23661531250000001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10384</v>
      </c>
      <c r="E794">
        <v>1677200</v>
      </c>
      <c r="H794" s="39" t="s">
        <v>9887</v>
      </c>
      <c r="I794" s="39">
        <f t="shared" ref="I794:I810" si="21">1/16000*0.95</f>
        <v>5.9375E-5</v>
      </c>
      <c r="K794" s="37">
        <f t="shared" si="20"/>
        <v>99.583749999999995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10384</v>
      </c>
      <c r="E795">
        <v>97229</v>
      </c>
      <c r="H795" s="39" t="s">
        <v>9887</v>
      </c>
      <c r="I795" s="39">
        <f t="shared" si="21"/>
        <v>5.9375E-5</v>
      </c>
      <c r="K795" s="37">
        <f t="shared" si="20"/>
        <v>5.7729718749999996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10384</v>
      </c>
      <c r="E796">
        <v>135977</v>
      </c>
      <c r="H796" s="39" t="s">
        <v>9887</v>
      </c>
      <c r="I796" s="39">
        <f t="shared" si="21"/>
        <v>5.9375E-5</v>
      </c>
      <c r="K796" s="37">
        <f t="shared" si="20"/>
        <v>8.0736343749999993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10384</v>
      </c>
      <c r="E797">
        <v>7440800</v>
      </c>
      <c r="H797" s="39" t="s">
        <v>9887</v>
      </c>
      <c r="I797" s="39">
        <f t="shared" si="21"/>
        <v>5.9375E-5</v>
      </c>
      <c r="K797" s="37">
        <f t="shared" si="20"/>
        <v>441.79750000000001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10384</v>
      </c>
      <c r="E798">
        <v>415029</v>
      </c>
      <c r="H798" s="39" t="s">
        <v>9887</v>
      </c>
      <c r="I798" s="39">
        <f t="shared" si="21"/>
        <v>5.9375E-5</v>
      </c>
      <c r="K798" s="37">
        <f t="shared" si="20"/>
        <v>24.642346875000001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10384</v>
      </c>
      <c r="E799">
        <v>513.52</v>
      </c>
      <c r="H799" s="39" t="s">
        <v>9887</v>
      </c>
      <c r="I799" s="39">
        <f t="shared" si="21"/>
        <v>5.9375E-5</v>
      </c>
      <c r="K799" s="37">
        <f t="shared" si="20"/>
        <v>3.049025E-2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10384</v>
      </c>
      <c r="E800">
        <v>89.843199999999996</v>
      </c>
      <c r="H800" s="39" t="s">
        <v>9887</v>
      </c>
      <c r="I800" s="39">
        <f t="shared" si="21"/>
        <v>5.9375E-5</v>
      </c>
      <c r="K800" s="37">
        <f t="shared" si="20"/>
        <v>5.3344399999999993E-3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10384</v>
      </c>
      <c r="E801">
        <v>1313500</v>
      </c>
      <c r="H801" s="39" t="s">
        <v>9887</v>
      </c>
      <c r="I801" s="39">
        <f t="shared" si="21"/>
        <v>5.9375E-5</v>
      </c>
      <c r="K801" s="37">
        <f t="shared" si="20"/>
        <v>77.989062500000003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10384</v>
      </c>
      <c r="E802">
        <v>1800700</v>
      </c>
      <c r="H802" s="39" t="s">
        <v>9887</v>
      </c>
      <c r="I802" s="39">
        <f t="shared" si="21"/>
        <v>5.9375E-5</v>
      </c>
      <c r="K802" s="37">
        <f t="shared" si="20"/>
        <v>106.9165625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10384</v>
      </c>
      <c r="E803">
        <v>37011</v>
      </c>
      <c r="H803" s="39" t="s">
        <v>9887</v>
      </c>
      <c r="I803" s="39">
        <f t="shared" si="21"/>
        <v>5.9375E-5</v>
      </c>
      <c r="K803" s="37">
        <f t="shared" si="20"/>
        <v>2.1975281249999998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10384</v>
      </c>
      <c r="E804">
        <v>120500</v>
      </c>
      <c r="H804" s="39" t="s">
        <v>9887</v>
      </c>
      <c r="I804" s="39">
        <f t="shared" si="21"/>
        <v>5.9375E-5</v>
      </c>
      <c r="K804" s="37">
        <f t="shared" ref="K804:K828" si="22">E804*I804</f>
        <v>7.1546874999999996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10384</v>
      </c>
      <c r="E805">
        <v>288990</v>
      </c>
      <c r="H805" s="39" t="s">
        <v>9887</v>
      </c>
      <c r="I805" s="39">
        <f t="shared" si="21"/>
        <v>5.9375E-5</v>
      </c>
      <c r="K805" s="37">
        <f t="shared" si="22"/>
        <v>17.158781250000001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10384</v>
      </c>
      <c r="E806">
        <v>0.31688</v>
      </c>
      <c r="H806" s="39" t="s">
        <v>9887</v>
      </c>
      <c r="I806" s="39">
        <f t="shared" si="21"/>
        <v>5.9375E-5</v>
      </c>
      <c r="K806" s="37">
        <f t="shared" si="22"/>
        <v>1.8814749999999998E-5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10384</v>
      </c>
      <c r="E807">
        <v>2345.6999999999998</v>
      </c>
      <c r="H807" s="39" t="s">
        <v>9887</v>
      </c>
      <c r="I807" s="39">
        <f t="shared" si="21"/>
        <v>5.9375E-5</v>
      </c>
      <c r="K807" s="37">
        <f t="shared" si="22"/>
        <v>0.1392759375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10384</v>
      </c>
      <c r="E808">
        <v>4398.8999999999996</v>
      </c>
      <c r="H808" s="39" t="s">
        <v>9887</v>
      </c>
      <c r="I808" s="39">
        <f t="shared" si="21"/>
        <v>5.9375E-5</v>
      </c>
      <c r="K808" s="37">
        <f t="shared" si="22"/>
        <v>0.26118468749999996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10384</v>
      </c>
      <c r="E809">
        <v>4984.6000000000004</v>
      </c>
      <c r="H809" s="39" t="s">
        <v>9887</v>
      </c>
      <c r="I809" s="39">
        <f t="shared" si="21"/>
        <v>5.9375E-5</v>
      </c>
      <c r="K809" s="37">
        <f t="shared" si="22"/>
        <v>0.29596062500000003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10384</v>
      </c>
      <c r="E810">
        <v>11912</v>
      </c>
      <c r="H810" s="39" t="s">
        <v>9887</v>
      </c>
      <c r="I810" s="39">
        <f t="shared" si="21"/>
        <v>5.9375E-5</v>
      </c>
      <c r="K810" s="37">
        <f t="shared" si="22"/>
        <v>0.70727499999999999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10385</v>
      </c>
      <c r="D811" s="43"/>
      <c r="E811">
        <v>0.77827000000000002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 s="37">
        <f t="shared" si="22"/>
        <v>0.11118142857142857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10385</v>
      </c>
      <c r="E812">
        <v>203.85400000000001</v>
      </c>
      <c r="H812" s="39" t="s">
        <v>9847</v>
      </c>
      <c r="I812" s="39">
        <f t="shared" ref="I812:I828" si="23">1/$O$811/($O$812/1000)</f>
        <v>0.14285714285714285</v>
      </c>
      <c r="K812" s="37">
        <f t="shared" si="22"/>
        <v>29.122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10385</v>
      </c>
      <c r="E813">
        <v>101.732</v>
      </c>
      <c r="H813" s="39" t="s">
        <v>9847</v>
      </c>
      <c r="I813" s="39">
        <f t="shared" si="23"/>
        <v>0.14285714285714285</v>
      </c>
      <c r="K813" s="37">
        <f t="shared" si="22"/>
        <v>14.533142857142856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10385</v>
      </c>
      <c r="E814">
        <v>124.65</v>
      </c>
      <c r="H814" s="39" t="s">
        <v>9847</v>
      </c>
      <c r="I814" s="39">
        <f t="shared" si="23"/>
        <v>0.14285714285714285</v>
      </c>
      <c r="K814" s="37">
        <f t="shared" si="22"/>
        <v>17.807142857142857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10385</v>
      </c>
      <c r="E815">
        <v>2992.64</v>
      </c>
      <c r="H815" s="39" t="s">
        <v>9847</v>
      </c>
      <c r="I815" s="39">
        <f t="shared" si="23"/>
        <v>0.14285714285714285</v>
      </c>
      <c r="K815" s="37">
        <f t="shared" si="22"/>
        <v>427.52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10385</v>
      </c>
      <c r="E816">
        <v>38.411999999999999</v>
      </c>
      <c r="H816" s="39" t="s">
        <v>9847</v>
      </c>
      <c r="I816" s="39">
        <f t="shared" si="23"/>
        <v>0.14285714285714285</v>
      </c>
      <c r="K816" s="37">
        <f t="shared" si="22"/>
        <v>5.4874285714285707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10385</v>
      </c>
      <c r="E817">
        <v>6.6159999999999997E-2</v>
      </c>
      <c r="H817" s="39" t="s">
        <v>9847</v>
      </c>
      <c r="I817" s="39">
        <f t="shared" si="23"/>
        <v>0.14285714285714285</v>
      </c>
      <c r="K817" s="37">
        <f t="shared" si="22"/>
        <v>9.4514285714285707E-3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10385</v>
      </c>
      <c r="E818">
        <v>1.7590000000000001E-2</v>
      </c>
      <c r="H818" s="39" t="s">
        <v>9847</v>
      </c>
      <c r="I818" s="39">
        <f t="shared" si="23"/>
        <v>0.14285714285714285</v>
      </c>
      <c r="K818" s="37">
        <f t="shared" si="22"/>
        <v>2.5128571428571431E-3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10385</v>
      </c>
      <c r="E819">
        <v>56.365000000000002</v>
      </c>
      <c r="H819" s="39" t="s">
        <v>9847</v>
      </c>
      <c r="I819" s="39">
        <f t="shared" si="23"/>
        <v>0.14285714285714285</v>
      </c>
      <c r="K819" s="37">
        <f t="shared" si="22"/>
        <v>8.0521428571428562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10385</v>
      </c>
      <c r="E820">
        <v>511.024</v>
      </c>
      <c r="H820" s="39" t="s">
        <v>9847</v>
      </c>
      <c r="I820" s="39">
        <f t="shared" si="23"/>
        <v>0.14285714285714285</v>
      </c>
      <c r="K820" s="37">
        <f t="shared" si="22"/>
        <v>73.003428571428572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10385</v>
      </c>
      <c r="E821">
        <v>4.8795799999999998</v>
      </c>
      <c r="H821" s="39" t="s">
        <v>9847</v>
      </c>
      <c r="I821" s="39">
        <f t="shared" si="23"/>
        <v>0.14285714285714285</v>
      </c>
      <c r="K821" s="37">
        <f t="shared" si="22"/>
        <v>0.69708285714285712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10385</v>
      </c>
      <c r="E822">
        <v>166.83261999999999</v>
      </c>
      <c r="H822" s="39" t="s">
        <v>9847</v>
      </c>
      <c r="I822" s="39">
        <f t="shared" si="23"/>
        <v>0.14285714285714285</v>
      </c>
      <c r="K822" s="37">
        <f t="shared" si="22"/>
        <v>23.833231428571427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10385</v>
      </c>
      <c r="E823">
        <v>10.051880000000001</v>
      </c>
      <c r="H823" s="39" t="s">
        <v>9847</v>
      </c>
      <c r="I823" s="39">
        <f t="shared" si="23"/>
        <v>0.14285714285714285</v>
      </c>
      <c r="K823" s="37">
        <f t="shared" si="22"/>
        <v>1.4359828571428572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10385</v>
      </c>
      <c r="E824">
        <v>5.7341099999999999E-5</v>
      </c>
      <c r="H824" s="39" t="s">
        <v>9847</v>
      </c>
      <c r="I824" s="39">
        <f t="shared" si="23"/>
        <v>0.14285714285714285</v>
      </c>
      <c r="K824" s="37">
        <f t="shared" si="22"/>
        <v>8.1915857142857136E-6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10385</v>
      </c>
      <c r="E825">
        <v>0.39140000000000003</v>
      </c>
      <c r="H825" s="39" t="s">
        <v>9847</v>
      </c>
      <c r="I825" s="39">
        <f t="shared" si="23"/>
        <v>0.14285714285714285</v>
      </c>
      <c r="K825" s="37">
        <f t="shared" si="22"/>
        <v>5.5914285714285715E-2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10385</v>
      </c>
      <c r="E826">
        <v>0.68157000000000001</v>
      </c>
      <c r="H826" s="39" t="s">
        <v>9847</v>
      </c>
      <c r="I826" s="39">
        <f t="shared" si="23"/>
        <v>0.14285714285714285</v>
      </c>
      <c r="K826" s="37">
        <f t="shared" si="22"/>
        <v>9.7367142857142847E-2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10385</v>
      </c>
      <c r="E827">
        <v>0.70655999999999997</v>
      </c>
      <c r="H827" s="39" t="s">
        <v>9847</v>
      </c>
      <c r="I827" s="39">
        <f t="shared" si="23"/>
        <v>0.14285714285714285</v>
      </c>
      <c r="K827" s="37">
        <f t="shared" si="22"/>
        <v>0.10093714285714285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10385</v>
      </c>
      <c r="E828">
        <v>0.95799000000000001</v>
      </c>
      <c r="H828" s="39" t="s">
        <v>9847</v>
      </c>
      <c r="I828" s="39">
        <f t="shared" si="23"/>
        <v>0.14285714285714285</v>
      </c>
      <c r="K828" s="37">
        <f t="shared" si="22"/>
        <v>0.13685571428571427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24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40" si="25">E838*$I838</f>
        <v>0.72263888888888894</v>
      </c>
      <c r="L838" s="39">
        <f t="shared" si="25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24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26">D839*$I839</f>
        <v>0.18666666666666668</v>
      </c>
      <c r="K839" s="39">
        <f t="shared" si="25"/>
        <v>0.43734567901234572</v>
      </c>
      <c r="L839" s="39">
        <f t="shared" si="25"/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24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26"/>
        <v>1.1728395061728396E-2</v>
      </c>
      <c r="K840" s="39">
        <f t="shared" si="25"/>
        <v>2.080246913580247E-2</v>
      </c>
      <c r="L840" s="39">
        <f t="shared" si="25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27">D842*$I842</f>
        <v>0.20100000000000001</v>
      </c>
      <c r="K842" s="39">
        <f>E842*$I842</f>
        <v>0.28100000000000003</v>
      </c>
      <c r="L842" s="39">
        <f t="shared" ref="L842" si="28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L858" si="29">E845*$I845</f>
        <v>6.2056737588652485E-5</v>
      </c>
      <c r="L845" s="39">
        <f t="shared" si="29"/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0">D846*$I846</f>
        <v>2.1830181245074863E-5</v>
      </c>
      <c r="K846" s="39">
        <f t="shared" si="29"/>
        <v>2.3733254531126873E-5</v>
      </c>
      <c r="L846" s="39">
        <f t="shared" si="29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si="29"/>
        <v>6.9444444444444444E-5</v>
      </c>
      <c r="L847" s="39">
        <f t="shared" si="29"/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31">D848*$I848</f>
        <v>2.4429012345679013E-5</v>
      </c>
      <c r="K848" s="39">
        <f t="shared" si="29"/>
        <v>2.6558641975308642E-5</v>
      </c>
      <c r="L848" s="39">
        <f t="shared" si="29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si="29"/>
        <v>7.3529411764705889E-5</v>
      </c>
      <c r="L849" s="39">
        <f t="shared" si="29"/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32">D850*$I850</f>
        <v>2.5866013071895426E-5</v>
      </c>
      <c r="K850" s="39">
        <f t="shared" si="29"/>
        <v>2.8120915032679742E-5</v>
      </c>
      <c r="L850" s="39">
        <f t="shared" si="29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si="29"/>
        <v>7.5431034482758625E-5</v>
      </c>
      <c r="L851" s="39">
        <f t="shared" si="29"/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33">D852*$I852</f>
        <v>2.6534961685823756E-5</v>
      </c>
      <c r="K852" s="39">
        <f t="shared" si="29"/>
        <v>2.8848180076628355E-5</v>
      </c>
      <c r="L852" s="39">
        <f t="shared" si="29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si="29"/>
        <v>7.2916666666666673E-5</v>
      </c>
      <c r="L853" s="39">
        <f t="shared" si="29"/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34">D854*$I854</f>
        <v>2.5650462962962963E-5</v>
      </c>
      <c r="K854" s="39">
        <f t="shared" si="29"/>
        <v>2.7886574074074075E-5</v>
      </c>
      <c r="L854" s="39">
        <f t="shared" si="29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si="29"/>
        <v>8.1775700934579444E-5</v>
      </c>
      <c r="L855" s="39">
        <f t="shared" si="29"/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35">D856*$I856</f>
        <v>2.8766874350986499E-5</v>
      </c>
      <c r="K856" s="39">
        <f t="shared" si="29"/>
        <v>3.1274662512980273E-5</v>
      </c>
      <c r="L856" s="39">
        <f t="shared" si="29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si="29"/>
        <v>8.4951456310679611E-5</v>
      </c>
      <c r="L857" s="39">
        <f t="shared" si="29"/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36">D858*$I858</f>
        <v>2.988403451995685E-5</v>
      </c>
      <c r="K858" s="39">
        <f t="shared" si="29"/>
        <v>3.2489212513484363E-5</v>
      </c>
      <c r="L858" s="39">
        <f t="shared" si="29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L862" si="37">D860*$I860</f>
        <v>8.1360000000000002E-2</v>
      </c>
      <c r="K860" s="39">
        <f t="shared" si="37"/>
        <v>0.13200000000000001</v>
      </c>
      <c r="L860" s="39">
        <f t="shared" si="37"/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37"/>
        <v>0.85899999999999999</v>
      </c>
      <c r="K862" s="39">
        <f t="shared" si="37"/>
        <v>0.96899999999999997</v>
      </c>
      <c r="L862" s="39">
        <f t="shared" si="37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:L868" si="38">D866*$I866</f>
        <v>18.294528</v>
      </c>
      <c r="K866" s="39">
        <f t="shared" si="38"/>
        <v>22.868159999999996</v>
      </c>
      <c r="L866" s="39">
        <f t="shared" si="38"/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39">0.8*E867</f>
        <v>0.17400000000000002</v>
      </c>
      <c r="E867" s="39">
        <f>(0.513+0.262)/2-0.17</f>
        <v>0.2175</v>
      </c>
      <c r="F867" s="39">
        <f t="shared" ref="F867:F868" si="40">1.2*E867</f>
        <v>0.26100000000000001</v>
      </c>
      <c r="H867" s="39" t="s">
        <v>10247</v>
      </c>
      <c r="I867" s="39">
        <f>E869/1000000</f>
        <v>3.3600000000000001E-3</v>
      </c>
      <c r="J867" s="39">
        <f t="shared" si="38"/>
        <v>5.8464000000000009E-4</v>
      </c>
      <c r="K867" s="39">
        <f t="shared" si="38"/>
        <v>7.3079999999999998E-4</v>
      </c>
      <c r="L867" s="39">
        <f t="shared" si="38"/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39"/>
        <v>6.1479999999999997</v>
      </c>
      <c r="E868" s="39">
        <f>(8.424+10.068)/2-1.561</f>
        <v>7.6849999999999987</v>
      </c>
      <c r="F868" s="39">
        <f t="shared" si="40"/>
        <v>9.2219999999999978</v>
      </c>
      <c r="H868" s="39" t="s">
        <v>10246</v>
      </c>
      <c r="I868" s="39">
        <f>E869/1000000000</f>
        <v>3.36E-6</v>
      </c>
      <c r="J868" s="39">
        <f t="shared" si="38"/>
        <v>2.0657279999999998E-5</v>
      </c>
      <c r="K868" s="39">
        <f t="shared" si="38"/>
        <v>2.5821599999999997E-5</v>
      </c>
      <c r="L868" s="39">
        <f t="shared" si="3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:L874" si="41">D873*$I873</f>
        <v>0</v>
      </c>
      <c r="K873" s="39">
        <f t="shared" si="41"/>
        <v>25.32</v>
      </c>
      <c r="L873" s="39">
        <f t="shared" si="41"/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si="41"/>
        <v>0</v>
      </c>
      <c r="K874" s="39">
        <f t="shared" si="41"/>
        <v>190</v>
      </c>
      <c r="L874" s="39">
        <f t="shared" si="41"/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9" spans="1:15" x14ac:dyDescent="0.45">
      <c r="A879" s="39" t="s">
        <v>10386</v>
      </c>
      <c r="B879" s="37" t="s">
        <v>10387</v>
      </c>
    </row>
    <row r="880" spans="1:15" x14ac:dyDescent="0.45">
      <c r="A880" s="39" t="s">
        <v>10388</v>
      </c>
      <c r="B880" s="37" t="s">
        <v>10387</v>
      </c>
    </row>
    <row r="881" spans="1:2" x14ac:dyDescent="0.45">
      <c r="A881" s="39" t="s">
        <v>10389</v>
      </c>
      <c r="B881" s="37" t="s">
        <v>10387</v>
      </c>
    </row>
    <row r="882" spans="1:2" x14ac:dyDescent="0.45">
      <c r="A882" s="39" t="s">
        <v>10390</v>
      </c>
      <c r="B882" s="37" t="s">
        <v>10387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881"/>
  <sheetViews>
    <sheetView tabSelected="1" zoomScaleNormal="100" workbookViewId="0">
      <pane ySplit="2" topLeftCell="A861" activePane="bottomLeft" state="frozen"/>
      <selection pane="bottomLeft" activeCell="H888" sqref="H888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</v>
      </c>
      <c r="J57" s="43"/>
      <c r="K57" s="43">
        <f t="shared" si="1"/>
        <v>6.4348000000000002E-8</v>
      </c>
      <c r="L57" s="43"/>
      <c r="M57" s="43" t="s">
        <v>9692</v>
      </c>
      <c r="N57" s="43" t="s">
        <v>9714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</v>
      </c>
      <c r="J58" s="39"/>
      <c r="K58" s="39">
        <f t="shared" si="1"/>
        <v>3.5842E-5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</v>
      </c>
      <c r="K59" s="39">
        <f t="shared" si="1"/>
        <v>4.9788700000000003E-6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</v>
      </c>
      <c r="K60" s="39">
        <f t="shared" si="1"/>
        <v>6.3378999999999999E-6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</v>
      </c>
      <c r="K61" s="39">
        <f t="shared" si="1"/>
        <v>2.2000000000000001E-4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</v>
      </c>
      <c r="K62" s="39">
        <f t="shared" si="1"/>
        <v>1.44505E-5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</v>
      </c>
      <c r="K63" s="39">
        <f t="shared" si="1"/>
        <v>1.7219999999999999E-7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</v>
      </c>
      <c r="K64" s="39">
        <f t="shared" si="1"/>
        <v>2.02928E-7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</v>
      </c>
      <c r="K65" s="39">
        <f t="shared" si="1"/>
        <v>3.3559999999999997E-5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</v>
      </c>
      <c r="K66" s="39">
        <f t="shared" si="1"/>
        <v>3.3E-4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</v>
      </c>
      <c r="K67" s="39">
        <f t="shared" si="1"/>
        <v>2.5847000000000001E-7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</v>
      </c>
      <c r="K68" s="39">
        <f t="shared" si="1"/>
        <v>4.1424200000000001E-6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</v>
      </c>
      <c r="K69" s="39">
        <f t="shared" si="1"/>
        <v>1.73772E-7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</v>
      </c>
      <c r="K70" s="39">
        <f t="shared" si="1"/>
        <v>1.5916E-11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</v>
      </c>
      <c r="K71" s="39">
        <f t="shared" si="1"/>
        <v>3.4260600000000003E-8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</v>
      </c>
      <c r="K72" s="39">
        <f t="shared" si="1"/>
        <v>1.03887E-7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</v>
      </c>
      <c r="K73" s="39">
        <f t="shared" si="1"/>
        <v>1.11422E-7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</v>
      </c>
      <c r="K74" s="39">
        <f t="shared" si="1"/>
        <v>4.6474499999999999E-6</v>
      </c>
      <c r="M74" s="39" t="s">
        <v>9704</v>
      </c>
      <c r="N74" s="39" t="s">
        <v>9714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Parameters'!J52+'CLCA Data'!E$372*'Model Parameters'!J53+'CLCA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Parameters'!J55+'CLCA Data'!E$372*'Model Parameters'!J56+'CLCA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Parameters'!J58+'CLCA Data'!E$372*'Model Parameters'!J59+'CLCA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Parameters'!J61+'CLCA Data'!E$372*'Model Parameters'!J62+'CLCA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Parameters'!J64+'CLCA Data'!E$372*'Model Parameters'!J65+'CLCA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Parameters'!J67+'CLCA Data'!E$372*'Model Parameters'!J68+'CLCA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Parameters'!J70+'CLCA Data'!E$372*'Model Parameters'!J71+'CLCA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385" si="10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10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10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10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10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10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10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10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3.6693999999999998E-5</v>
      </c>
      <c r="F386" s="43"/>
      <c r="G386" s="43"/>
      <c r="H386" s="43" t="s">
        <v>9714</v>
      </c>
      <c r="I386" s="43">
        <f>1000</f>
        <v>1000</v>
      </c>
      <c r="J386" s="43"/>
      <c r="K386" s="37">
        <f t="shared" ref="K386:K398" si="11">E386*I386</f>
        <v>3.6693999999999997E-2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-6.13E-3</v>
      </c>
      <c r="F387" s="39"/>
      <c r="G387" s="39"/>
      <c r="H387" s="39" t="s">
        <v>9714</v>
      </c>
      <c r="I387" s="39">
        <f>1000</f>
        <v>1000</v>
      </c>
      <c r="J387" s="39"/>
      <c r="K387" s="37">
        <f t="shared" si="11"/>
        <v>-6.13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39">
        <v>-3.8000000000000002E-4</v>
      </c>
      <c r="H388" s="39" t="s">
        <v>9714</v>
      </c>
      <c r="I388" s="39">
        <f>1000</f>
        <v>1000</v>
      </c>
      <c r="K388" s="37">
        <f t="shared" si="11"/>
        <v>-0.38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39">
        <v>-5.1999999999999995E-4</v>
      </c>
      <c r="H389" s="39" t="s">
        <v>9714</v>
      </c>
      <c r="I389" s="39">
        <f>1000</f>
        <v>1000</v>
      </c>
      <c r="K389" s="37">
        <f t="shared" si="11"/>
        <v>-0.51999999999999991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-7.4639999999999998E-2</v>
      </c>
      <c r="H390" s="39" t="s">
        <v>9714</v>
      </c>
      <c r="I390" s="39">
        <f>1000</f>
        <v>1000</v>
      </c>
      <c r="K390" s="37">
        <f t="shared" si="11"/>
        <v>-74.64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-2.9499999999999999E-3</v>
      </c>
      <c r="H391" s="39" t="s">
        <v>9714</v>
      </c>
      <c r="I391" s="39">
        <f>1000</f>
        <v>1000</v>
      </c>
      <c r="K391" s="37">
        <f t="shared" si="11"/>
        <v>-2.9499999999999997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7.4901999999999995E-5</v>
      </c>
      <c r="H392" s="39" t="s">
        <v>9714</v>
      </c>
      <c r="I392" s="39">
        <f>1000</f>
        <v>1000</v>
      </c>
      <c r="K392" s="37">
        <f t="shared" si="11"/>
        <v>7.4901999999999996E-2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3.879E-5</v>
      </c>
      <c r="H393" s="39" t="s">
        <v>9714</v>
      </c>
      <c r="I393" s="39">
        <f>1000</f>
        <v>1000</v>
      </c>
      <c r="K393" s="37">
        <f t="shared" si="11"/>
        <v>3.8789999999999998E-2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39">
        <v>-3.8000000000000002E-4</v>
      </c>
      <c r="H394" s="39" t="s">
        <v>9714</v>
      </c>
      <c r="I394" s="39">
        <f>1000</f>
        <v>1000</v>
      </c>
      <c r="K394" s="37">
        <f t="shared" si="11"/>
        <v>-0.38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39">
        <v>-8.4700000000000001E-3</v>
      </c>
      <c r="H395" s="39" t="s">
        <v>9714</v>
      </c>
      <c r="I395" s="39">
        <f>1000</f>
        <v>1000</v>
      </c>
      <c r="K395" s="37">
        <f t="shared" si="11"/>
        <v>-8.4700000000000006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39">
        <v>1.2999999999999999E-4</v>
      </c>
      <c r="H396" s="39" t="s">
        <v>9714</v>
      </c>
      <c r="I396" s="39">
        <f>1000</f>
        <v>1000</v>
      </c>
      <c r="K396" s="37">
        <f t="shared" si="11"/>
        <v>0.12999999999999998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39">
        <v>-6.2E-4</v>
      </c>
      <c r="H397" s="39" t="s">
        <v>9714</v>
      </c>
      <c r="I397" s="39">
        <f>1000</f>
        <v>1000</v>
      </c>
      <c r="K397" s="37">
        <f t="shared" si="11"/>
        <v>-0.62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39">
        <v>-2.0000000000000001E-4</v>
      </c>
      <c r="H398" s="39" t="s">
        <v>9714</v>
      </c>
      <c r="I398" s="39">
        <f>1000</f>
        <v>1000</v>
      </c>
      <c r="K398" s="37">
        <f t="shared" si="11"/>
        <v>-0.2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1.0278E-7</v>
      </c>
      <c r="H399" s="39" t="s">
        <v>9714</v>
      </c>
      <c r="I399" s="39">
        <f>1000</f>
        <v>1000</v>
      </c>
      <c r="K399" s="37">
        <f t="shared" ref="K399:K516" si="12">E399*I399</f>
        <v>1.0278E-4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-5.9584999999999998E-6</v>
      </c>
      <c r="H400" s="39" t="s">
        <v>9714</v>
      </c>
      <c r="I400" s="39">
        <f>1000</f>
        <v>1000</v>
      </c>
      <c r="K400" s="37">
        <f t="shared" si="12"/>
        <v>-5.9584999999999994E-3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-9.0445999999999998E-6</v>
      </c>
      <c r="H401" s="39" t="s">
        <v>9714</v>
      </c>
      <c r="I401" s="39">
        <f>1000</f>
        <v>1000</v>
      </c>
      <c r="K401" s="37">
        <f t="shared" si="12"/>
        <v>-9.0445999999999999E-3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-1.01172E-5</v>
      </c>
      <c r="H402" s="39" t="s">
        <v>9714</v>
      </c>
      <c r="I402" s="39">
        <f>1000</f>
        <v>1000</v>
      </c>
      <c r="K402" s="37">
        <f t="shared" si="12"/>
        <v>-1.01172E-2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1.3999999999999999E-4</v>
      </c>
      <c r="H403" s="39" t="s">
        <v>9714</v>
      </c>
      <c r="I403" s="39">
        <f>1000</f>
        <v>1000</v>
      </c>
      <c r="K403" s="37">
        <f t="shared" si="12"/>
        <v>0.13999999999999999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12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12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12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10269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10269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10269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10269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10269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10269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10269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10269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10269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10269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10269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10269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10269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10269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10269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10269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10269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10269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10269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10269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10269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10269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10269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10269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10269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10269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10269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10269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10269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10269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10269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10269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10269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10269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10269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10269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10269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10269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10269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10269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10269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10269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10269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10269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10269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10269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10269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10269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10269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10269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10269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10269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10269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10269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10269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10269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10269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10269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10269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10269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10269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10269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10269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10269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10269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10269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10269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10269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10269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10269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10269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10269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ref="K530:K585" si="14">E530*I530</f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3.6693999999999998E-5</v>
      </c>
      <c r="F532" s="43"/>
      <c r="G532" s="43"/>
      <c r="H532" s="43" t="s">
        <v>9714</v>
      </c>
      <c r="I532" s="43">
        <f>1000</f>
        <v>1000</v>
      </c>
      <c r="J532" s="43"/>
      <c r="K532" s="37">
        <f t="shared" si="14"/>
        <v>3.6693999999999997E-2</v>
      </c>
      <c r="L532" s="43"/>
      <c r="M532" s="43" t="s">
        <v>9692</v>
      </c>
      <c r="N532" s="43" t="s">
        <v>10235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-6.13E-3</v>
      </c>
      <c r="F533" s="39"/>
      <c r="G533" s="39"/>
      <c r="H533" s="39" t="s">
        <v>9714</v>
      </c>
      <c r="I533" s="39">
        <f>1000</f>
        <v>1000</v>
      </c>
      <c r="J533" s="39"/>
      <c r="K533" s="37">
        <f t="shared" si="14"/>
        <v>-6.13</v>
      </c>
      <c r="L533" s="39"/>
      <c r="M533" s="39" t="s">
        <v>9693</v>
      </c>
      <c r="N533" s="39" t="s">
        <v>10235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39">
        <v>-3.8000000000000002E-4</v>
      </c>
      <c r="H534" s="39" t="s">
        <v>9714</v>
      </c>
      <c r="I534" s="39">
        <f>1000</f>
        <v>1000</v>
      </c>
      <c r="K534" s="37">
        <f t="shared" si="14"/>
        <v>-0.38</v>
      </c>
      <c r="M534" s="39" t="s">
        <v>9694</v>
      </c>
      <c r="N534" s="39" t="s">
        <v>10235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39">
        <v>-5.1999999999999995E-4</v>
      </c>
      <c r="H535" s="39" t="s">
        <v>9714</v>
      </c>
      <c r="I535" s="39">
        <f>1000</f>
        <v>1000</v>
      </c>
      <c r="K535" s="37">
        <f t="shared" si="14"/>
        <v>-0.51999999999999991</v>
      </c>
      <c r="M535" s="39" t="s">
        <v>9694</v>
      </c>
      <c r="N535" s="39" t="s">
        <v>10235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-7.4639999999999998E-2</v>
      </c>
      <c r="H536" s="39" t="s">
        <v>9714</v>
      </c>
      <c r="I536" s="39">
        <f>1000</f>
        <v>1000</v>
      </c>
      <c r="K536" s="37">
        <f t="shared" si="14"/>
        <v>-74.64</v>
      </c>
      <c r="M536" s="39" t="s">
        <v>9694</v>
      </c>
      <c r="N536" s="39" t="s">
        <v>10235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-2.9499999999999999E-3</v>
      </c>
      <c r="H537" s="39" t="s">
        <v>9714</v>
      </c>
      <c r="I537" s="39">
        <f>1000</f>
        <v>1000</v>
      </c>
      <c r="K537" s="37">
        <f t="shared" si="14"/>
        <v>-2.9499999999999997</v>
      </c>
      <c r="M537" s="39" t="s">
        <v>9695</v>
      </c>
      <c r="N537" s="39" t="s">
        <v>10235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7.4901999999999995E-5</v>
      </c>
      <c r="H538" s="39" t="s">
        <v>9714</v>
      </c>
      <c r="I538" s="39">
        <f>1000</f>
        <v>1000</v>
      </c>
      <c r="K538" s="37">
        <f t="shared" si="14"/>
        <v>7.4901999999999996E-2</v>
      </c>
      <c r="M538" s="39" t="s">
        <v>9696</v>
      </c>
      <c r="N538" s="39" t="s">
        <v>10235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3.879E-5</v>
      </c>
      <c r="H539" s="39" t="s">
        <v>9714</v>
      </c>
      <c r="I539" s="39">
        <f>1000</f>
        <v>1000</v>
      </c>
      <c r="K539" s="37">
        <f t="shared" si="14"/>
        <v>3.8789999999999998E-2</v>
      </c>
      <c r="M539" s="39" t="s">
        <v>9697</v>
      </c>
      <c r="N539" s="39" t="s">
        <v>10235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39">
        <v>-3.8000000000000002E-4</v>
      </c>
      <c r="H540" s="39" t="s">
        <v>9714</v>
      </c>
      <c r="I540" s="39">
        <f>1000</f>
        <v>1000</v>
      </c>
      <c r="K540" s="37">
        <f t="shared" si="14"/>
        <v>-0.38</v>
      </c>
      <c r="M540" s="39" t="s">
        <v>9694</v>
      </c>
      <c r="N540" s="39" t="s">
        <v>10235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39">
        <v>-8.4700000000000001E-3</v>
      </c>
      <c r="H541" s="39" t="s">
        <v>9714</v>
      </c>
      <c r="I541" s="39">
        <f>1000</f>
        <v>1000</v>
      </c>
      <c r="K541" s="37">
        <f t="shared" si="14"/>
        <v>-8.4700000000000006</v>
      </c>
      <c r="M541" s="39" t="s">
        <v>9694</v>
      </c>
      <c r="N541" s="39" t="s">
        <v>10235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39">
        <v>1.2999999999999999E-4</v>
      </c>
      <c r="H542" s="39" t="s">
        <v>9714</v>
      </c>
      <c r="I542" s="39">
        <f>1000</f>
        <v>1000</v>
      </c>
      <c r="K542" s="37">
        <f t="shared" si="14"/>
        <v>0.12999999999999998</v>
      </c>
      <c r="M542" s="39" t="s">
        <v>9698</v>
      </c>
      <c r="N542" s="39" t="s">
        <v>10235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39">
        <v>-6.2E-4</v>
      </c>
      <c r="H543" s="39" t="s">
        <v>9714</v>
      </c>
      <c r="I543" s="39">
        <f>1000</f>
        <v>1000</v>
      </c>
      <c r="K543" s="37">
        <f t="shared" si="14"/>
        <v>-0.62</v>
      </c>
      <c r="M543" s="39" t="s">
        <v>9699</v>
      </c>
      <c r="N543" s="39" t="s">
        <v>10235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39">
        <v>-2.0000000000000001E-4</v>
      </c>
      <c r="H544" s="39" t="s">
        <v>9714</v>
      </c>
      <c r="I544" s="39">
        <f>1000</f>
        <v>1000</v>
      </c>
      <c r="K544" s="37">
        <f t="shared" si="14"/>
        <v>-0.2</v>
      </c>
      <c r="M544" s="39" t="s">
        <v>9700</v>
      </c>
      <c r="N544" s="39" t="s">
        <v>10235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1.0278E-7</v>
      </c>
      <c r="H545" s="39" t="s">
        <v>9714</v>
      </c>
      <c r="I545" s="39">
        <f>1000</f>
        <v>1000</v>
      </c>
      <c r="K545" s="37">
        <f t="shared" si="14"/>
        <v>1.0278E-4</v>
      </c>
      <c r="M545" s="39" t="s">
        <v>9701</v>
      </c>
      <c r="N545" s="39" t="s">
        <v>10235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-5.9584999999999998E-6</v>
      </c>
      <c r="H546" s="39" t="s">
        <v>9714</v>
      </c>
      <c r="I546" s="39">
        <f>1000</f>
        <v>1000</v>
      </c>
      <c r="K546" s="37">
        <f t="shared" si="14"/>
        <v>-5.9584999999999994E-3</v>
      </c>
      <c r="M546" s="39" t="s">
        <v>9702</v>
      </c>
      <c r="N546" s="39" t="s">
        <v>10235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-9.0445999999999998E-6</v>
      </c>
      <c r="H547" s="39" t="s">
        <v>9714</v>
      </c>
      <c r="I547" s="39">
        <f>1000</f>
        <v>1000</v>
      </c>
      <c r="K547" s="37">
        <f t="shared" si="14"/>
        <v>-9.0445999999999999E-3</v>
      </c>
      <c r="M547" s="39" t="s">
        <v>9703</v>
      </c>
      <c r="N547" s="39" t="s">
        <v>10235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-1.01172E-5</v>
      </c>
      <c r="H548" s="39" t="s">
        <v>9714</v>
      </c>
      <c r="I548" s="39">
        <f>1000</f>
        <v>1000</v>
      </c>
      <c r="K548" s="37">
        <f t="shared" si="14"/>
        <v>-1.01172E-2</v>
      </c>
      <c r="M548" s="39" t="s">
        <v>9703</v>
      </c>
      <c r="N548" s="39" t="s">
        <v>10235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1.3999999999999999E-4</v>
      </c>
      <c r="H549" s="39" t="s">
        <v>9714</v>
      </c>
      <c r="I549" s="39">
        <f>1000</f>
        <v>1000</v>
      </c>
      <c r="K549" s="37">
        <f t="shared" si="14"/>
        <v>0.13999999999999999</v>
      </c>
      <c r="M549" s="39" t="s">
        <v>9704</v>
      </c>
      <c r="N549" s="39" t="s">
        <v>10235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4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4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4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43" t="s">
        <v>10269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10269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10269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10269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10269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10269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10269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10269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10269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10269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10269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10269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10269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10269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10269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10269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10269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10269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5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5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5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5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5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5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5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5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5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5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5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5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5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5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03" si="16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6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ref="K604:K626" si="17">E604*I604</f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7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7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7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7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3.6693999999999998E-5</v>
      </c>
      <c r="F609" s="43"/>
      <c r="G609" s="43"/>
      <c r="H609" s="43" t="s">
        <v>9714</v>
      </c>
      <c r="I609" s="43">
        <f>1000</f>
        <v>1000</v>
      </c>
      <c r="J609" s="43"/>
      <c r="K609" s="37">
        <f t="shared" si="17"/>
        <v>3.6693999999999997E-2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-6.13E-3</v>
      </c>
      <c r="F610" s="39"/>
      <c r="G610" s="39"/>
      <c r="H610" s="39" t="s">
        <v>9714</v>
      </c>
      <c r="I610" s="39">
        <f>1000</f>
        <v>1000</v>
      </c>
      <c r="J610" s="39"/>
      <c r="K610" s="37">
        <f t="shared" si="17"/>
        <v>-6.13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39">
        <v>-3.8000000000000002E-4</v>
      </c>
      <c r="H611" s="39" t="s">
        <v>9714</v>
      </c>
      <c r="I611" s="39">
        <f>1000</f>
        <v>1000</v>
      </c>
      <c r="K611" s="37">
        <f t="shared" si="17"/>
        <v>-0.38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39">
        <v>-5.1999999999999995E-4</v>
      </c>
      <c r="H612" s="39" t="s">
        <v>9714</v>
      </c>
      <c r="I612" s="39">
        <f>1000</f>
        <v>1000</v>
      </c>
      <c r="K612" s="37">
        <f t="shared" si="17"/>
        <v>-0.51999999999999991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-7.4639999999999998E-2</v>
      </c>
      <c r="H613" s="39" t="s">
        <v>9714</v>
      </c>
      <c r="I613" s="39">
        <f>1000</f>
        <v>1000</v>
      </c>
      <c r="K613" s="37">
        <f t="shared" si="17"/>
        <v>-74.64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-2.9499999999999999E-3</v>
      </c>
      <c r="H614" s="39" t="s">
        <v>9714</v>
      </c>
      <c r="I614" s="39">
        <f>1000</f>
        <v>1000</v>
      </c>
      <c r="K614" s="37">
        <f t="shared" si="17"/>
        <v>-2.9499999999999997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7.4901999999999995E-5</v>
      </c>
      <c r="H615" s="39" t="s">
        <v>9714</v>
      </c>
      <c r="I615" s="39">
        <f>1000</f>
        <v>1000</v>
      </c>
      <c r="K615" s="37">
        <f t="shared" si="17"/>
        <v>7.4901999999999996E-2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3.879E-5</v>
      </c>
      <c r="H616" s="39" t="s">
        <v>9714</v>
      </c>
      <c r="I616" s="39">
        <f>1000</f>
        <v>1000</v>
      </c>
      <c r="K616" s="37">
        <f t="shared" si="17"/>
        <v>3.8789999999999998E-2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39">
        <v>-3.8000000000000002E-4</v>
      </c>
      <c r="H617" s="39" t="s">
        <v>9714</v>
      </c>
      <c r="I617" s="39">
        <f>1000</f>
        <v>1000</v>
      </c>
      <c r="K617" s="37">
        <f t="shared" si="17"/>
        <v>-0.38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39">
        <v>-8.4700000000000001E-3</v>
      </c>
      <c r="H618" s="39" t="s">
        <v>9714</v>
      </c>
      <c r="I618" s="39">
        <f>1000</f>
        <v>1000</v>
      </c>
      <c r="K618" s="37">
        <f t="shared" si="17"/>
        <v>-8.4700000000000006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39">
        <v>1.2999999999999999E-4</v>
      </c>
      <c r="H619" s="39" t="s">
        <v>9714</v>
      </c>
      <c r="I619" s="39">
        <f>1000</f>
        <v>1000</v>
      </c>
      <c r="K619" s="37">
        <f t="shared" si="17"/>
        <v>0.12999999999999998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39">
        <v>-6.2E-4</v>
      </c>
      <c r="H620" s="39" t="s">
        <v>9714</v>
      </c>
      <c r="I620" s="39">
        <f>1000</f>
        <v>1000</v>
      </c>
      <c r="K620" s="37">
        <f t="shared" si="17"/>
        <v>-0.62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39">
        <v>-2.0000000000000001E-4</v>
      </c>
      <c r="H621" s="39" t="s">
        <v>9714</v>
      </c>
      <c r="I621" s="39">
        <f>1000</f>
        <v>1000</v>
      </c>
      <c r="K621" s="37">
        <f t="shared" si="17"/>
        <v>-0.2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1.0278E-7</v>
      </c>
      <c r="H622" s="39" t="s">
        <v>9714</v>
      </c>
      <c r="I622" s="39">
        <f>1000</f>
        <v>1000</v>
      </c>
      <c r="K622" s="37">
        <f t="shared" si="17"/>
        <v>1.0278E-4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-5.9584999999999998E-6</v>
      </c>
      <c r="H623" s="39" t="s">
        <v>9714</v>
      </c>
      <c r="I623" s="39">
        <f>1000</f>
        <v>1000</v>
      </c>
      <c r="K623" s="37">
        <f t="shared" si="17"/>
        <v>-5.9584999999999994E-3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-9.0445999999999998E-6</v>
      </c>
      <c r="H624" s="39" t="s">
        <v>9714</v>
      </c>
      <c r="I624" s="39">
        <f>1000</f>
        <v>1000</v>
      </c>
      <c r="K624" s="37">
        <f t="shared" si="17"/>
        <v>-9.0445999999999999E-3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-1.01172E-5</v>
      </c>
      <c r="H625" s="39" t="s">
        <v>9714</v>
      </c>
      <c r="I625" s="39">
        <f>1000</f>
        <v>1000</v>
      </c>
      <c r="K625" s="37">
        <f t="shared" si="17"/>
        <v>-1.01172E-2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1.3999999999999999E-4</v>
      </c>
      <c r="H626" s="39" t="s">
        <v>9714</v>
      </c>
      <c r="I626" s="39">
        <f>1000</f>
        <v>1000</v>
      </c>
      <c r="K626" s="37">
        <f t="shared" si="17"/>
        <v>0.13999999999999999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ref="K627:K664" si="18">E627*I627</f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8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8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8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8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8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8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8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8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8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8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8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8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8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8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8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8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8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8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8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8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8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8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8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8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8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8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8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8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8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8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8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8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8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8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8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8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8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9717</v>
      </c>
      <c r="D665" s="43"/>
      <c r="E665" s="43">
        <v>-1.0499999999999999E-3</v>
      </c>
      <c r="F665" s="43"/>
      <c r="G665" s="43"/>
      <c r="H665" s="43" t="s">
        <v>9917</v>
      </c>
      <c r="I665" s="43">
        <f>1/0.6</f>
        <v>1.6666666666666667</v>
      </c>
      <c r="J665" s="43"/>
      <c r="K665" s="43">
        <f t="shared" ref="K665:K718" si="19">E665*I665</f>
        <v>-1.75E-3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9717</v>
      </c>
      <c r="D666" s="39"/>
      <c r="E666" s="39">
        <v>0.54937000000000002</v>
      </c>
      <c r="F666" s="39"/>
      <c r="G666" s="39"/>
      <c r="H666" s="39" t="s">
        <v>9917</v>
      </c>
      <c r="I666" s="39">
        <f>1/0.6</f>
        <v>1.6666666666666667</v>
      </c>
      <c r="J666" s="39"/>
      <c r="K666" s="39">
        <f t="shared" si="19"/>
        <v>0.91561666666666675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9717</v>
      </c>
      <c r="E667" s="39">
        <v>0.54496999999999995</v>
      </c>
      <c r="H667" s="39" t="s">
        <v>9917</v>
      </c>
      <c r="I667" s="39">
        <f t="shared" ref="I667:I682" si="20">1/0.6</f>
        <v>1.6666666666666667</v>
      </c>
      <c r="K667" s="39">
        <f t="shared" si="19"/>
        <v>0.90828333333333333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9717</v>
      </c>
      <c r="E668" s="39">
        <v>0.71394999999999997</v>
      </c>
      <c r="H668" s="39" t="s">
        <v>9917</v>
      </c>
      <c r="I668" s="39">
        <f t="shared" si="20"/>
        <v>1.6666666666666667</v>
      </c>
      <c r="K668" s="39">
        <f t="shared" si="19"/>
        <v>1.1899166666666667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9717</v>
      </c>
      <c r="E669" s="39">
        <v>4.0942600000000002</v>
      </c>
      <c r="H669" s="39" t="s">
        <v>9917</v>
      </c>
      <c r="I669" s="39">
        <f t="shared" si="20"/>
        <v>1.6666666666666667</v>
      </c>
      <c r="K669" s="39">
        <f t="shared" si="19"/>
        <v>6.8237666666666676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9717</v>
      </c>
      <c r="E670" s="39">
        <v>1.341E-2</v>
      </c>
      <c r="H670" s="39" t="s">
        <v>9917</v>
      </c>
      <c r="I670" s="39">
        <f t="shared" si="20"/>
        <v>1.6666666666666667</v>
      </c>
      <c r="K670" s="39">
        <f t="shared" si="19"/>
        <v>2.2350000000000002E-2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9717</v>
      </c>
      <c r="E671" s="39">
        <v>4.0499999999999998E-3</v>
      </c>
      <c r="H671" s="39" t="s">
        <v>9917</v>
      </c>
      <c r="I671" s="39">
        <f t="shared" si="20"/>
        <v>1.6666666666666667</v>
      </c>
      <c r="K671" s="39">
        <f t="shared" si="19"/>
        <v>6.7499999999999999E-3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9717</v>
      </c>
      <c r="E672" s="39">
        <v>2.2000000000000001E-4</v>
      </c>
      <c r="H672" s="39" t="s">
        <v>9917</v>
      </c>
      <c r="I672" s="39">
        <f t="shared" si="20"/>
        <v>1.6666666666666667</v>
      </c>
      <c r="K672" s="39">
        <f t="shared" si="19"/>
        <v>3.6666666666666667E-4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9717</v>
      </c>
      <c r="E673" s="39">
        <v>0.26040000000000002</v>
      </c>
      <c r="H673" s="39" t="s">
        <v>9917</v>
      </c>
      <c r="I673" s="39">
        <f t="shared" si="20"/>
        <v>1.6666666666666667</v>
      </c>
      <c r="K673" s="39">
        <f t="shared" si="19"/>
        <v>0.43400000000000005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9717</v>
      </c>
      <c r="E674" s="39">
        <v>11.261889999999999</v>
      </c>
      <c r="H674" s="39" t="s">
        <v>9917</v>
      </c>
      <c r="I674" s="39">
        <f t="shared" si="20"/>
        <v>1.6666666666666667</v>
      </c>
      <c r="K674" s="39">
        <f t="shared" si="19"/>
        <v>18.769816666666667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9717</v>
      </c>
      <c r="E675" s="39">
        <v>5.4300000000000001E-2</v>
      </c>
      <c r="H675" s="39" t="s">
        <v>9917</v>
      </c>
      <c r="I675" s="39">
        <f t="shared" si="20"/>
        <v>1.6666666666666667</v>
      </c>
      <c r="K675" s="39">
        <f t="shared" si="19"/>
        <v>9.0500000000000011E-2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9717</v>
      </c>
      <c r="E676" s="39">
        <v>-0.55593000000000004</v>
      </c>
      <c r="H676" s="39" t="s">
        <v>9917</v>
      </c>
      <c r="I676" s="39">
        <f t="shared" si="20"/>
        <v>1.6666666666666667</v>
      </c>
      <c r="K676" s="39">
        <f t="shared" si="19"/>
        <v>-0.9265500000000001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9717</v>
      </c>
      <c r="E677" s="39">
        <v>1.059E-2</v>
      </c>
      <c r="H677" s="39" t="s">
        <v>9917</v>
      </c>
      <c r="I677" s="39">
        <f t="shared" si="20"/>
        <v>1.6666666666666667</v>
      </c>
      <c r="K677" s="39">
        <f t="shared" si="19"/>
        <v>1.7650000000000002E-2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9717</v>
      </c>
      <c r="E678" s="40">
        <v>1.9219E-5</v>
      </c>
      <c r="H678" s="39" t="s">
        <v>9917</v>
      </c>
      <c r="I678" s="39">
        <f t="shared" si="20"/>
        <v>1.6666666666666667</v>
      </c>
      <c r="K678" s="39">
        <f t="shared" si="19"/>
        <v>3.2031666666666667E-5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9717</v>
      </c>
      <c r="E679" s="39">
        <v>-2.16E-3</v>
      </c>
      <c r="H679" s="39" t="s">
        <v>9917</v>
      </c>
      <c r="I679" s="39">
        <f t="shared" si="20"/>
        <v>1.6666666666666667</v>
      </c>
      <c r="K679" s="39">
        <f t="shared" si="19"/>
        <v>-3.6000000000000003E-3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9717</v>
      </c>
      <c r="E680" s="39">
        <v>2.82E-3</v>
      </c>
      <c r="H680" s="39" t="s">
        <v>9917</v>
      </c>
      <c r="I680" s="39">
        <f t="shared" si="20"/>
        <v>1.6666666666666667</v>
      </c>
      <c r="K680" s="39">
        <f t="shared" si="19"/>
        <v>4.7000000000000002E-3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9717</v>
      </c>
      <c r="E681" s="39">
        <v>2.9199999999999999E-3</v>
      </c>
      <c r="H681" s="39" t="s">
        <v>9917</v>
      </c>
      <c r="I681" s="39">
        <f t="shared" si="20"/>
        <v>1.6666666666666667</v>
      </c>
      <c r="K681" s="39">
        <f t="shared" si="19"/>
        <v>4.8666666666666667E-3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9717</v>
      </c>
      <c r="E682" s="39">
        <v>2.5090000000000001E-2</v>
      </c>
      <c r="H682" s="39" t="s">
        <v>9917</v>
      </c>
      <c r="I682" s="39">
        <f t="shared" si="20"/>
        <v>1.6666666666666667</v>
      </c>
      <c r="K682" s="39">
        <f t="shared" si="19"/>
        <v>4.1816666666666669E-2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9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9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9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9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9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9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9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9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9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9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9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9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9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9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9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9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9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9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9737</v>
      </c>
      <c r="D701" s="43"/>
      <c r="E701" s="43">
        <v>165.99073000000001</v>
      </c>
      <c r="F701" s="43"/>
      <c r="G701" s="43"/>
      <c r="H701" s="43" t="s">
        <v>9736</v>
      </c>
      <c r="I701" s="43">
        <f>1/300</f>
        <v>3.3333333333333335E-3</v>
      </c>
      <c r="J701" s="43"/>
      <c r="K701" s="43">
        <f t="shared" si="19"/>
        <v>0.5533024333333334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9737</v>
      </c>
      <c r="D702" s="39"/>
      <c r="E702" s="40">
        <v>57194.6</v>
      </c>
      <c r="F702" s="39"/>
      <c r="G702" s="39"/>
      <c r="H702" s="39" t="s">
        <v>9736</v>
      </c>
      <c r="I702" s="39">
        <f>1/300</f>
        <v>3.3333333333333335E-3</v>
      </c>
      <c r="J702" s="39"/>
      <c r="K702" s="39">
        <f t="shared" si="19"/>
        <v>190.64866666666668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9737</v>
      </c>
      <c r="E703" s="39">
        <v>6161.27</v>
      </c>
      <c r="H703" s="39" t="s">
        <v>9736</v>
      </c>
      <c r="I703" s="39">
        <f t="shared" ref="I703:I718" si="21">1/300</f>
        <v>3.3333333333333335E-3</v>
      </c>
      <c r="K703" s="39">
        <f t="shared" si="19"/>
        <v>20.53756666666667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9737</v>
      </c>
      <c r="E704" s="40">
        <v>8171.4859999999999</v>
      </c>
      <c r="H704" s="39" t="s">
        <v>9736</v>
      </c>
      <c r="I704" s="39">
        <f t="shared" si="21"/>
        <v>3.3333333333333335E-3</v>
      </c>
      <c r="K704" s="39">
        <f t="shared" si="19"/>
        <v>27.238286666666667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9737</v>
      </c>
      <c r="E705" s="40">
        <v>667666</v>
      </c>
      <c r="H705" s="39" t="s">
        <v>9736</v>
      </c>
      <c r="I705" s="39">
        <f t="shared" si="21"/>
        <v>3.3333333333333335E-3</v>
      </c>
      <c r="K705" s="39">
        <f t="shared" si="19"/>
        <v>2225.5533333333333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9737</v>
      </c>
      <c r="E706" s="40">
        <v>12818.6</v>
      </c>
      <c r="H706" s="39" t="s">
        <v>9736</v>
      </c>
      <c r="I706" s="39">
        <f t="shared" si="21"/>
        <v>3.3333333333333335E-3</v>
      </c>
      <c r="K706" s="39">
        <f t="shared" si="19"/>
        <v>42.728666666666669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9737</v>
      </c>
      <c r="E707" s="39">
        <v>21.004100000000001</v>
      </c>
      <c r="H707" s="39" t="s">
        <v>9736</v>
      </c>
      <c r="I707" s="39">
        <f t="shared" si="21"/>
        <v>3.3333333333333335E-3</v>
      </c>
      <c r="K707" s="39">
        <f t="shared" si="19"/>
        <v>7.0013666666666668E-2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9737</v>
      </c>
      <c r="E708" s="39">
        <v>1.78552</v>
      </c>
      <c r="H708" s="39" t="s">
        <v>9736</v>
      </c>
      <c r="I708" s="39">
        <f t="shared" si="21"/>
        <v>3.3333333333333335E-3</v>
      </c>
      <c r="K708" s="39">
        <f t="shared" si="19"/>
        <v>5.9517333333333339E-3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9737</v>
      </c>
      <c r="E709" s="40">
        <v>3138.7049999999999</v>
      </c>
      <c r="H709" s="39" t="s">
        <v>9736</v>
      </c>
      <c r="I709" s="39">
        <f t="shared" si="21"/>
        <v>3.3333333333333335E-3</v>
      </c>
      <c r="K709" s="39">
        <f t="shared" si="19"/>
        <v>10.462350000000001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9737</v>
      </c>
      <c r="E710" s="40">
        <v>104806</v>
      </c>
      <c r="H710" s="39" t="s">
        <v>9736</v>
      </c>
      <c r="I710" s="39">
        <f t="shared" si="21"/>
        <v>3.3333333333333335E-3</v>
      </c>
      <c r="K710" s="39">
        <f t="shared" si="19"/>
        <v>349.35333333333335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9737</v>
      </c>
      <c r="E711" s="39">
        <v>-12.167999999999999</v>
      </c>
      <c r="H711" s="39" t="s">
        <v>9736</v>
      </c>
      <c r="I711" s="39">
        <f t="shared" si="21"/>
        <v>3.3333333333333335E-3</v>
      </c>
      <c r="K711" s="39">
        <f t="shared" si="19"/>
        <v>-4.0559999999999999E-2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9737</v>
      </c>
      <c r="E712" s="39">
        <v>8273.2999999999993</v>
      </c>
      <c r="H712" s="39" t="s">
        <v>9736</v>
      </c>
      <c r="I712" s="39">
        <f t="shared" si="21"/>
        <v>3.3333333333333335E-3</v>
      </c>
      <c r="K712" s="39">
        <f t="shared" si="19"/>
        <v>27.577666666666666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9737</v>
      </c>
      <c r="E713" s="39">
        <v>1514.81</v>
      </c>
      <c r="H713" s="39" t="s">
        <v>9736</v>
      </c>
      <c r="I713" s="39">
        <f t="shared" si="21"/>
        <v>3.3333333333333335E-3</v>
      </c>
      <c r="K713" s="39">
        <f t="shared" si="19"/>
        <v>5.0493666666666668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9737</v>
      </c>
      <c r="E714" s="39">
        <v>1.0580000000000001E-2</v>
      </c>
      <c r="H714" s="39" t="s">
        <v>9736</v>
      </c>
      <c r="I714" s="39">
        <f t="shared" si="21"/>
        <v>3.3333333333333335E-3</v>
      </c>
      <c r="K714" s="39">
        <f t="shared" si="19"/>
        <v>3.5266666666666672E-5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9737</v>
      </c>
      <c r="E715" s="39">
        <v>105.062</v>
      </c>
      <c r="H715" s="39" t="s">
        <v>9736</v>
      </c>
      <c r="I715" s="39">
        <f t="shared" si="21"/>
        <v>3.3333333333333335E-3</v>
      </c>
      <c r="K715" s="39">
        <f t="shared" si="19"/>
        <v>0.35020666666666667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9737</v>
      </c>
      <c r="E716" s="39">
        <v>171.17599999999999</v>
      </c>
      <c r="H716" s="39" t="s">
        <v>9736</v>
      </c>
      <c r="I716" s="39">
        <f t="shared" si="21"/>
        <v>3.3333333333333335E-3</v>
      </c>
      <c r="K716" s="39">
        <f t="shared" si="19"/>
        <v>0.57058666666666669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9737</v>
      </c>
      <c r="E717" s="39">
        <v>181.55199999999999</v>
      </c>
      <c r="H717" s="39" t="s">
        <v>9736</v>
      </c>
      <c r="I717" s="39">
        <f t="shared" si="21"/>
        <v>3.3333333333333335E-3</v>
      </c>
      <c r="K717" s="39">
        <f t="shared" si="19"/>
        <v>0.60517333333333334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9737</v>
      </c>
      <c r="E718" s="39">
        <v>263.77999999999997</v>
      </c>
      <c r="H718" s="39" t="s">
        <v>9736</v>
      </c>
      <c r="I718" s="39">
        <f t="shared" si="21"/>
        <v>3.3333333333333335E-3</v>
      </c>
      <c r="K718" s="39">
        <f t="shared" si="19"/>
        <v>0.87926666666666664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9819</v>
      </c>
      <c r="D719" s="43"/>
      <c r="E719" s="45">
        <v>413860</v>
      </c>
      <c r="F719" s="43"/>
      <c r="G719" s="43"/>
      <c r="H719" s="43" t="s">
        <v>9739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9819</v>
      </c>
      <c r="E720" s="40">
        <v>177600000</v>
      </c>
      <c r="H720" s="39" t="s">
        <v>9739</v>
      </c>
      <c r="I720" s="39">
        <f t="shared" ref="I720:I736" si="22">1/K$737</f>
        <v>8.8346336054112227E-10</v>
      </c>
      <c r="K720" s="39">
        <f t="shared" ref="K720:K737" si="23">E720*I720</f>
        <v>0.15690309283210332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9819</v>
      </c>
      <c r="E721" s="40">
        <v>49077400</v>
      </c>
      <c r="H721" s="39" t="s">
        <v>9739</v>
      </c>
      <c r="I721" s="39">
        <f t="shared" si="22"/>
        <v>8.8346336054112227E-10</v>
      </c>
      <c r="K721" s="39">
        <f t="shared" si="23"/>
        <v>4.3358084730620874E-2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9819</v>
      </c>
      <c r="E722" s="40">
        <v>65861000</v>
      </c>
      <c r="H722" s="39" t="s">
        <v>9739</v>
      </c>
      <c r="I722" s="39">
        <f t="shared" si="22"/>
        <v>8.8346336054112227E-10</v>
      </c>
      <c r="K722" s="39">
        <f t="shared" si="23"/>
        <v>5.8185780388598854E-2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9819</v>
      </c>
      <c r="E723" s="40">
        <v>9744660000</v>
      </c>
      <c r="H723" s="39" t="s">
        <v>9739</v>
      </c>
      <c r="I723" s="39">
        <f t="shared" si="22"/>
        <v>8.8346336054112227E-10</v>
      </c>
      <c r="K723" s="39">
        <f t="shared" si="23"/>
        <v>8.6090500709306532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9819</v>
      </c>
      <c r="E724" s="40">
        <v>44334000</v>
      </c>
      <c r="H724" s="39" t="s">
        <v>9739</v>
      </c>
      <c r="I724" s="39">
        <f t="shared" si="22"/>
        <v>8.8346336054112227E-10</v>
      </c>
      <c r="K724" s="39">
        <f t="shared" si="23"/>
        <v>3.9167464626230115E-2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9819</v>
      </c>
      <c r="E725" s="40">
        <v>145460</v>
      </c>
      <c r="H725" s="39" t="s">
        <v>9739</v>
      </c>
      <c r="I725" s="39">
        <f t="shared" si="22"/>
        <v>8.8346336054112227E-10</v>
      </c>
      <c r="K725" s="39">
        <f t="shared" si="23"/>
        <v>1.2850858042431164E-4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9819</v>
      </c>
      <c r="E726" s="39">
        <v>6886.5</v>
      </c>
      <c r="H726" s="39" t="s">
        <v>9739</v>
      </c>
      <c r="I726" s="39">
        <f t="shared" si="22"/>
        <v>8.8346336054112227E-10</v>
      </c>
      <c r="K726" s="39">
        <f t="shared" si="23"/>
        <v>6.0839704323664383E-6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9819</v>
      </c>
      <c r="E727" s="40">
        <v>35847500</v>
      </c>
      <c r="H727" s="39" t="s">
        <v>9739</v>
      </c>
      <c r="I727" s="39">
        <f t="shared" si="22"/>
        <v>8.8346336054112227E-10</v>
      </c>
      <c r="K727" s="39">
        <f t="shared" si="23"/>
        <v>3.166995281699788E-2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9819</v>
      </c>
      <c r="E728" s="40">
        <v>1154400000</v>
      </c>
      <c r="H728" s="39" t="s">
        <v>9739</v>
      </c>
      <c r="I728" s="39">
        <f t="shared" si="22"/>
        <v>8.8346336054112227E-10</v>
      </c>
      <c r="K728" s="39">
        <f t="shared" si="23"/>
        <v>1.0198701034086715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9819</v>
      </c>
      <c r="E729" s="40">
        <v>6566570</v>
      </c>
      <c r="H729" s="39" t="s">
        <v>9739</v>
      </c>
      <c r="I729" s="39">
        <f t="shared" si="22"/>
        <v>8.8346336054112227E-10</v>
      </c>
      <c r="K729" s="39">
        <f t="shared" si="23"/>
        <v>5.8013239994285171E-3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9819</v>
      </c>
      <c r="E730" s="40">
        <v>24308800</v>
      </c>
      <c r="H730" s="39" t="s">
        <v>9739</v>
      </c>
      <c r="I730" s="39">
        <f t="shared" si="22"/>
        <v>8.8346336054112227E-10</v>
      </c>
      <c r="K730" s="39">
        <f t="shared" si="23"/>
        <v>2.1475934138722032E-2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9819</v>
      </c>
      <c r="E731" s="40">
        <v>1509100</v>
      </c>
      <c r="H731" s="39" t="s">
        <v>9739</v>
      </c>
      <c r="I731" s="39">
        <f t="shared" si="22"/>
        <v>8.8346336054112227E-10</v>
      </c>
      <c r="K731" s="39">
        <f t="shared" si="23"/>
        <v>1.3332345573926075E-3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9819</v>
      </c>
      <c r="E732" s="39">
        <v>72.124979999999994</v>
      </c>
      <c r="H732" s="39" t="s">
        <v>9739</v>
      </c>
      <c r="I732" s="39">
        <f t="shared" si="22"/>
        <v>8.8346336054112227E-10</v>
      </c>
      <c r="K732" s="39">
        <f t="shared" si="23"/>
        <v>6.3719777209761227E-8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9819</v>
      </c>
      <c r="E733" s="40">
        <v>342220</v>
      </c>
      <c r="H733" s="39" t="s">
        <v>9739</v>
      </c>
      <c r="I733" s="39">
        <f t="shared" si="22"/>
        <v>8.8346336054112227E-10</v>
      </c>
      <c r="K733" s="39">
        <f t="shared" si="23"/>
        <v>3.0233883124438287E-4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9819</v>
      </c>
      <c r="E734" s="40">
        <v>611500</v>
      </c>
      <c r="H734" s="39" t="s">
        <v>9739</v>
      </c>
      <c r="I734" s="39">
        <f t="shared" si="22"/>
        <v>8.8346336054112227E-10</v>
      </c>
      <c r="K734" s="39">
        <f t="shared" si="23"/>
        <v>5.4023784497089626E-4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9819</v>
      </c>
      <c r="E735" s="40">
        <v>635612</v>
      </c>
      <c r="H735" s="39" t="s">
        <v>9739</v>
      </c>
      <c r="I735" s="39">
        <f t="shared" si="22"/>
        <v>8.8346336054112227E-10</v>
      </c>
      <c r="K735" s="39">
        <f t="shared" si="23"/>
        <v>5.6153991352026378E-4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9819</v>
      </c>
      <c r="E736" s="40">
        <v>1035000</v>
      </c>
      <c r="H736" s="39" t="s">
        <v>9739</v>
      </c>
      <c r="I736" s="39">
        <f t="shared" si="22"/>
        <v>8.8346336054112227E-10</v>
      </c>
      <c r="K736" s="39">
        <f t="shared" si="23"/>
        <v>9.1438457816006157E-4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9819</v>
      </c>
      <c r="E737" s="40">
        <v>528046000</v>
      </c>
      <c r="H737" s="39" t="s">
        <v>9741</v>
      </c>
      <c r="I737" s="39">
        <f>1*'Conversion Factors'!$D$6*'Conversion Factors'!$D$12</f>
        <v>2.1435800176905113</v>
      </c>
      <c r="K737" s="47">
        <f t="shared" si="23"/>
        <v>1131908854.0214038</v>
      </c>
      <c r="M737" s="39" t="s">
        <v>9743</v>
      </c>
      <c r="N737" s="39" t="str">
        <f t="shared" ref="N737" si="24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</row>
    <row r="739" spans="1:14" x14ac:dyDescent="0.45">
      <c r="A739" s="43" t="s">
        <v>9748</v>
      </c>
      <c r="B739" s="43" t="s">
        <v>9690</v>
      </c>
      <c r="C739" s="43" t="s">
        <v>9820</v>
      </c>
      <c r="D739" s="43"/>
      <c r="E739" s="43">
        <v>1.3639999999999999E-2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9820</v>
      </c>
      <c r="E740" s="40">
        <v>5.3544600000000004</v>
      </c>
      <c r="H740" s="39" t="s">
        <v>9821</v>
      </c>
      <c r="I740" s="39">
        <f>1/'Conversion Factors'!D$66</f>
        <v>3.0303030303030303</v>
      </c>
      <c r="K740" s="39">
        <f t="shared" ref="K740:K774" si="25">E740*I740</f>
        <v>16.225636363636365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9820</v>
      </c>
      <c r="E741" s="39">
        <v>0.19414999999999999</v>
      </c>
      <c r="H741" s="39" t="s">
        <v>9821</v>
      </c>
      <c r="I741" s="39">
        <f>1/'Conversion Factors'!D$66</f>
        <v>3.0303030303030303</v>
      </c>
      <c r="K741" s="39">
        <f t="shared" si="25"/>
        <v>0.58833333333333326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9820</v>
      </c>
      <c r="E742" s="40">
        <v>0.25752000000000003</v>
      </c>
      <c r="H742" s="39" t="s">
        <v>9821</v>
      </c>
      <c r="I742" s="39">
        <f>1/'Conversion Factors'!D$66</f>
        <v>3.0303030303030303</v>
      </c>
      <c r="K742" s="39">
        <f t="shared" si="25"/>
        <v>0.78036363636363648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9820</v>
      </c>
      <c r="E743" s="40">
        <v>37.0565</v>
      </c>
      <c r="H743" s="39" t="s">
        <v>9821</v>
      </c>
      <c r="I743" s="39">
        <f>1/'Conversion Factors'!D$66</f>
        <v>3.0303030303030303</v>
      </c>
      <c r="K743" s="39">
        <f t="shared" si="25"/>
        <v>112.29242424242425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9820</v>
      </c>
      <c r="E744" s="40">
        <v>1.5787500000000001</v>
      </c>
      <c r="H744" s="39" t="s">
        <v>9821</v>
      </c>
      <c r="I744" s="39">
        <f>1/'Conversion Factors'!D$66</f>
        <v>3.0303030303030303</v>
      </c>
      <c r="K744" s="39">
        <f t="shared" si="25"/>
        <v>4.7840909090909092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9820</v>
      </c>
      <c r="E745" s="39">
        <v>7.2999999999999996E-4</v>
      </c>
      <c r="H745" s="39" t="s">
        <v>9821</v>
      </c>
      <c r="I745" s="39">
        <f>1/'Conversion Factors'!D$66</f>
        <v>3.0303030303030303</v>
      </c>
      <c r="K745" s="39">
        <f t="shared" si="25"/>
        <v>2.2121212121212121E-3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9820</v>
      </c>
      <c r="E746" s="39">
        <v>5.6999999999999998E-4</v>
      </c>
      <c r="H746" s="39" t="s">
        <v>9821</v>
      </c>
      <c r="I746" s="39">
        <f>1/'Conversion Factors'!D$66</f>
        <v>3.0303030303030303</v>
      </c>
      <c r="K746" s="39">
        <f t="shared" si="25"/>
        <v>1.7272727272727272E-3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9820</v>
      </c>
      <c r="E747" s="40">
        <v>0.12078</v>
      </c>
      <c r="H747" s="39" t="s">
        <v>9821</v>
      </c>
      <c r="I747" s="39">
        <f>1/'Conversion Factors'!D$66</f>
        <v>3.0303030303030303</v>
      </c>
      <c r="K747" s="39">
        <f t="shared" si="25"/>
        <v>0.36599999999999999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9820</v>
      </c>
      <c r="E748" s="40">
        <v>4.1024700000000003</v>
      </c>
      <c r="H748" s="39" t="s">
        <v>9821</v>
      </c>
      <c r="I748" s="39">
        <f>1/'Conversion Factors'!D$66</f>
        <v>3.0303030303030303</v>
      </c>
      <c r="K748" s="39">
        <f t="shared" si="25"/>
        <v>12.431727272727274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9820</v>
      </c>
      <c r="E749" s="39">
        <v>1.8190000000000001E-2</v>
      </c>
      <c r="H749" s="39" t="s">
        <v>9821</v>
      </c>
      <c r="I749" s="39">
        <f>1/'Conversion Factors'!D$66</f>
        <v>3.0303030303030303</v>
      </c>
      <c r="K749" s="39">
        <f t="shared" si="25"/>
        <v>5.5121212121212126E-2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9820</v>
      </c>
      <c r="E750" s="39">
        <v>0.15107000000000001</v>
      </c>
      <c r="H750" s="39" t="s">
        <v>9821</v>
      </c>
      <c r="I750" s="39">
        <f>1/'Conversion Factors'!D$66</f>
        <v>3.0303030303030303</v>
      </c>
      <c r="K750" s="39">
        <f t="shared" si="25"/>
        <v>0.4577878787878788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9820</v>
      </c>
      <c r="E751" s="39">
        <v>6.0440000000000001E-2</v>
      </c>
      <c r="H751" s="39" t="s">
        <v>9821</v>
      </c>
      <c r="I751" s="39">
        <f>1/'Conversion Factors'!D$66</f>
        <v>3.0303030303030303</v>
      </c>
      <c r="K751" s="39">
        <f t="shared" si="25"/>
        <v>0.18315151515151515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9820</v>
      </c>
      <c r="E752" s="40">
        <v>3.6851999999999999E-5</v>
      </c>
      <c r="H752" s="39" t="s">
        <v>9821</v>
      </c>
      <c r="I752" s="39">
        <f>1/'Conversion Factors'!D$66</f>
        <v>3.0303030303030303</v>
      </c>
      <c r="K752" s="39">
        <f t="shared" si="25"/>
        <v>1.1167272727272727E-4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9820</v>
      </c>
      <c r="E753" s="39">
        <v>4.62E-3</v>
      </c>
      <c r="H753" s="39" t="s">
        <v>9821</v>
      </c>
      <c r="I753" s="39">
        <f>1/'Conversion Factors'!D$66</f>
        <v>3.0303030303030303</v>
      </c>
      <c r="K753" s="39">
        <f t="shared" si="25"/>
        <v>1.4E-2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9820</v>
      </c>
      <c r="E754" s="39">
        <v>1.0160000000000001E-2</v>
      </c>
      <c r="H754" s="39" t="s">
        <v>9821</v>
      </c>
      <c r="I754" s="39">
        <f>1/'Conversion Factors'!D$66</f>
        <v>3.0303030303030303</v>
      </c>
      <c r="K754" s="39">
        <f t="shared" si="25"/>
        <v>3.0787878787878791E-2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9820</v>
      </c>
      <c r="E755" s="39">
        <v>1.086E-2</v>
      </c>
      <c r="H755" s="39" t="s">
        <v>9821</v>
      </c>
      <c r="I755" s="39">
        <f>1/'Conversion Factors'!D$66</f>
        <v>3.0303030303030303</v>
      </c>
      <c r="K755" s="39">
        <f t="shared" si="25"/>
        <v>3.2909090909090909E-2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9820</v>
      </c>
      <c r="E756" s="39">
        <v>0.12948999999999999</v>
      </c>
      <c r="H756" s="39" t="s">
        <v>9821</v>
      </c>
      <c r="I756" s="39">
        <f>1/'Conversion Factors'!D$66</f>
        <v>3.0303030303030303</v>
      </c>
      <c r="K756" s="39">
        <f t="shared" si="25"/>
        <v>0.39239393939393935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9823</v>
      </c>
      <c r="D757" s="43"/>
      <c r="E757" s="43">
        <v>1.038E-2</v>
      </c>
      <c r="F757" s="43"/>
      <c r="G757" s="43"/>
      <c r="H757" s="43" t="s">
        <v>9824</v>
      </c>
      <c r="I757" s="43">
        <v>1</v>
      </c>
      <c r="J757" s="43"/>
      <c r="K757" s="43">
        <f t="shared" si="25"/>
        <v>1.038E-2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9823</v>
      </c>
      <c r="E758" s="39">
        <v>2.85819</v>
      </c>
      <c r="H758" s="39" t="s">
        <v>9824</v>
      </c>
      <c r="I758" s="39">
        <v>1</v>
      </c>
      <c r="K758" s="39">
        <f t="shared" si="25"/>
        <v>2.85819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9823</v>
      </c>
      <c r="E759" s="39">
        <v>0.1258</v>
      </c>
      <c r="H759" s="39" t="s">
        <v>9824</v>
      </c>
      <c r="I759" s="39">
        <v>1</v>
      </c>
      <c r="K759" s="39">
        <f t="shared" si="25"/>
        <v>0.1258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9823</v>
      </c>
      <c r="E760" s="39">
        <v>0.16863</v>
      </c>
      <c r="H760" s="39" t="s">
        <v>9824</v>
      </c>
      <c r="I760" s="39">
        <v>1</v>
      </c>
      <c r="K760" s="39">
        <f t="shared" si="25"/>
        <v>0.16863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9823</v>
      </c>
      <c r="E761" s="39">
        <v>22.12021</v>
      </c>
      <c r="H761" s="39" t="s">
        <v>9824</v>
      </c>
      <c r="I761" s="39">
        <v>1</v>
      </c>
      <c r="K761" s="39">
        <f t="shared" si="25"/>
        <v>22.12021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9823</v>
      </c>
      <c r="E762" s="39">
        <v>0.72155000000000002</v>
      </c>
      <c r="H762" s="39" t="s">
        <v>9824</v>
      </c>
      <c r="I762" s="39">
        <v>1</v>
      </c>
      <c r="K762" s="39">
        <f t="shared" si="25"/>
        <v>0.72155000000000002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9823</v>
      </c>
      <c r="E763" s="39">
        <v>5.9000000000000003E-4</v>
      </c>
      <c r="H763" s="39" t="s">
        <v>9824</v>
      </c>
      <c r="I763" s="39">
        <v>1</v>
      </c>
      <c r="K763" s="39">
        <f t="shared" si="25"/>
        <v>5.9000000000000003E-4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9823</v>
      </c>
      <c r="E764" s="39">
        <v>1.7000000000000001E-4</v>
      </c>
      <c r="H764" s="39" t="s">
        <v>9824</v>
      </c>
      <c r="I764" s="39">
        <v>1</v>
      </c>
      <c r="K764" s="39">
        <f t="shared" si="25"/>
        <v>1.7000000000000001E-4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9823</v>
      </c>
      <c r="E765" s="39">
        <v>7.3340000000000002E-2</v>
      </c>
      <c r="H765" s="39" t="s">
        <v>9824</v>
      </c>
      <c r="I765" s="39">
        <v>1</v>
      </c>
      <c r="K765" s="39">
        <f t="shared" si="25"/>
        <v>7.3340000000000002E-2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9823</v>
      </c>
      <c r="E766" s="39">
        <v>3.0396399999999999</v>
      </c>
      <c r="H766" s="39" t="s">
        <v>9824</v>
      </c>
      <c r="I766" s="39">
        <v>1</v>
      </c>
      <c r="K766" s="39">
        <f t="shared" si="25"/>
        <v>3.0396399999999999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9823</v>
      </c>
      <c r="E767" s="39">
        <v>3.0999999999999999E-3</v>
      </c>
      <c r="H767" s="39" t="s">
        <v>9824</v>
      </c>
      <c r="I767" s="39">
        <v>1</v>
      </c>
      <c r="K767" s="39">
        <f t="shared" si="25"/>
        <v>3.0999999999999999E-3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9823</v>
      </c>
      <c r="E768" s="39">
        <v>0.19669</v>
      </c>
      <c r="H768" s="39" t="s">
        <v>9824</v>
      </c>
      <c r="I768" s="39">
        <v>1</v>
      </c>
      <c r="K768" s="39">
        <f t="shared" si="25"/>
        <v>0.19669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9823</v>
      </c>
      <c r="E769" s="39">
        <v>0.10630000000000001</v>
      </c>
      <c r="H769" s="39" t="s">
        <v>9824</v>
      </c>
      <c r="I769" s="39">
        <v>1</v>
      </c>
      <c r="K769" s="39">
        <f t="shared" si="25"/>
        <v>0.10630000000000001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9823</v>
      </c>
      <c r="E770" s="40">
        <v>2.1486999999999999E-5</v>
      </c>
      <c r="H770" s="39" t="s">
        <v>9824</v>
      </c>
      <c r="I770" s="39">
        <v>1</v>
      </c>
      <c r="K770" s="39">
        <f t="shared" si="25"/>
        <v>2.1486999999999999E-5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9823</v>
      </c>
      <c r="E771" s="39">
        <v>3.8700000000000002E-3</v>
      </c>
      <c r="H771" s="39" t="s">
        <v>9824</v>
      </c>
      <c r="I771" s="39">
        <v>1</v>
      </c>
      <c r="K771" s="39">
        <f t="shared" si="25"/>
        <v>3.8700000000000002E-3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9823</v>
      </c>
      <c r="E772" s="39">
        <v>8.0000000000000002E-3</v>
      </c>
      <c r="H772" s="39" t="s">
        <v>9824</v>
      </c>
      <c r="I772" s="39">
        <v>1</v>
      </c>
      <c r="K772" s="39">
        <f t="shared" si="25"/>
        <v>8.0000000000000002E-3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9823</v>
      </c>
      <c r="E773" s="39">
        <v>8.3499999999999998E-3</v>
      </c>
      <c r="H773" s="39" t="s">
        <v>9824</v>
      </c>
      <c r="I773" s="39">
        <v>1</v>
      </c>
      <c r="K773" s="39">
        <f t="shared" si="25"/>
        <v>8.3499999999999998E-3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9823</v>
      </c>
      <c r="E774" s="39">
        <v>5.0459999999999998E-2</v>
      </c>
      <c r="H774" s="39" t="s">
        <v>9824</v>
      </c>
      <c r="I774" s="39">
        <v>1</v>
      </c>
      <c r="K774" s="39">
        <f t="shared" si="25"/>
        <v>5.0459999999999998E-2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9825</v>
      </c>
      <c r="D775" s="43"/>
      <c r="E775" s="43">
        <v>6.0899999999999999E-3</v>
      </c>
      <c r="F775" s="43"/>
      <c r="G775" s="43"/>
      <c r="H775" s="43" t="s">
        <v>9826</v>
      </c>
      <c r="I775" s="43">
        <v>1</v>
      </c>
      <c r="J775" s="43"/>
      <c r="K775" s="43">
        <f t="shared" ref="K775:K810" si="26">E775*I775</f>
        <v>6.0899999999999999E-3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9825</v>
      </c>
      <c r="E776" s="39">
        <v>2.0762200000000002</v>
      </c>
      <c r="H776" s="39" t="s">
        <v>9826</v>
      </c>
      <c r="I776" s="39">
        <v>1</v>
      </c>
      <c r="K776" s="39">
        <f t="shared" si="26"/>
        <v>2.0762200000000002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9825</v>
      </c>
      <c r="E777" s="39">
        <v>9.4460000000000002E-2</v>
      </c>
      <c r="H777" s="39" t="s">
        <v>9826</v>
      </c>
      <c r="I777" s="39">
        <v>1</v>
      </c>
      <c r="K777" s="39">
        <f t="shared" si="26"/>
        <v>9.4460000000000002E-2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9825</v>
      </c>
      <c r="E778" s="39">
        <v>0.12853999999999999</v>
      </c>
      <c r="H778" s="39" t="s">
        <v>9826</v>
      </c>
      <c r="I778" s="39">
        <v>1</v>
      </c>
      <c r="K778" s="39">
        <f t="shared" si="26"/>
        <v>0.12853999999999999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9825</v>
      </c>
      <c r="E779" s="39">
        <v>19.868649999999999</v>
      </c>
      <c r="H779" s="39" t="s">
        <v>9826</v>
      </c>
      <c r="I779" s="39">
        <v>1</v>
      </c>
      <c r="K779" s="39">
        <f t="shared" si="26"/>
        <v>19.868649999999999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9825</v>
      </c>
      <c r="E780" s="39">
        <v>0.51119999999999999</v>
      </c>
      <c r="H780" s="39" t="s">
        <v>9826</v>
      </c>
      <c r="I780" s="39">
        <v>1</v>
      </c>
      <c r="K780" s="39">
        <f t="shared" si="26"/>
        <v>0.51119999999999999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9825</v>
      </c>
      <c r="E781" s="39">
        <v>4.0000000000000002E-4</v>
      </c>
      <c r="H781" s="39" t="s">
        <v>9826</v>
      </c>
      <c r="I781" s="39">
        <v>1</v>
      </c>
      <c r="K781" s="39">
        <f t="shared" si="26"/>
        <v>4.0000000000000002E-4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9825</v>
      </c>
      <c r="E782" s="39">
        <v>1.6000000000000001E-4</v>
      </c>
      <c r="H782" s="39" t="s">
        <v>9826</v>
      </c>
      <c r="I782" s="39">
        <v>1</v>
      </c>
      <c r="K782" s="39">
        <f t="shared" si="26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9825</v>
      </c>
      <c r="E783" s="39">
        <v>6.5339999999999995E-2</v>
      </c>
      <c r="H783" s="39" t="s">
        <v>9826</v>
      </c>
      <c r="I783" s="39">
        <v>1</v>
      </c>
      <c r="K783" s="39">
        <f t="shared" si="26"/>
        <v>6.5339999999999995E-2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9825</v>
      </c>
      <c r="E784" s="39">
        <v>2.1395</v>
      </c>
      <c r="H784" s="39" t="s">
        <v>9826</v>
      </c>
      <c r="I784" s="39">
        <v>1</v>
      </c>
      <c r="K784" s="39">
        <f t="shared" si="26"/>
        <v>2.1395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9825</v>
      </c>
      <c r="E785" s="39">
        <v>3.81E-3</v>
      </c>
      <c r="H785" s="39" t="s">
        <v>9826</v>
      </c>
      <c r="I785" s="39">
        <v>1</v>
      </c>
      <c r="K785" s="39">
        <f t="shared" si="26"/>
        <v>3.81E-3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9825</v>
      </c>
      <c r="E786" s="39">
        <v>0.10193000000000001</v>
      </c>
      <c r="H786" s="39" t="s">
        <v>9826</v>
      </c>
      <c r="I786" s="39">
        <v>1</v>
      </c>
      <c r="K786" s="39">
        <f t="shared" si="26"/>
        <v>0.10193000000000001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9825</v>
      </c>
      <c r="E787" s="39">
        <v>1.908E-2</v>
      </c>
      <c r="H787" s="39" t="s">
        <v>9826</v>
      </c>
      <c r="I787" s="39">
        <v>1</v>
      </c>
      <c r="K787" s="39">
        <f t="shared" si="26"/>
        <v>1.908E-2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9825</v>
      </c>
      <c r="E788" s="40">
        <v>1.7756000000000001E-5</v>
      </c>
      <c r="H788" s="39" t="s">
        <v>9826</v>
      </c>
      <c r="I788" s="39">
        <v>1</v>
      </c>
      <c r="K788" s="39">
        <f t="shared" si="26"/>
        <v>1.7756000000000001E-5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9825</v>
      </c>
      <c r="E789" s="39">
        <v>2.3E-3</v>
      </c>
      <c r="H789" s="39" t="s">
        <v>9826</v>
      </c>
      <c r="I789" s="39">
        <v>1</v>
      </c>
      <c r="K789" s="39">
        <f t="shared" si="26"/>
        <v>2.3E-3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9825</v>
      </c>
      <c r="E790" s="39">
        <v>5.2900000000000004E-3</v>
      </c>
      <c r="H790" s="39" t="s">
        <v>9826</v>
      </c>
      <c r="I790" s="39">
        <v>1</v>
      </c>
      <c r="K790" s="39">
        <f t="shared" si="26"/>
        <v>5.2900000000000004E-3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9825</v>
      </c>
      <c r="E791" s="39">
        <v>5.5500000000000002E-3</v>
      </c>
      <c r="H791" s="39" t="s">
        <v>9826</v>
      </c>
      <c r="I791" s="39">
        <v>1</v>
      </c>
      <c r="K791" s="39">
        <f t="shared" si="26"/>
        <v>5.5500000000000002E-3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9825</v>
      </c>
      <c r="E792" s="39">
        <v>2.351E-2</v>
      </c>
      <c r="H792" s="39" t="s">
        <v>9826</v>
      </c>
      <c r="I792" s="39">
        <v>1</v>
      </c>
      <c r="K792" s="39">
        <f t="shared" si="26"/>
        <v>2.351E-2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9888</v>
      </c>
      <c r="D793" s="43"/>
      <c r="E793" s="43">
        <v>3932.66</v>
      </c>
      <c r="F793" s="43"/>
      <c r="G793" s="43"/>
      <c r="H793" s="43" t="s">
        <v>9887</v>
      </c>
      <c r="I793" s="39">
        <f>1/16000*0.95</f>
        <v>5.9375E-5</v>
      </c>
      <c r="J793" s="43"/>
      <c r="K793" s="43">
        <f t="shared" si="26"/>
        <v>0.2335016875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9888</v>
      </c>
      <c r="E794" s="40">
        <v>2045300</v>
      </c>
      <c r="H794" s="39" t="s">
        <v>9887</v>
      </c>
      <c r="I794" s="39">
        <f t="shared" ref="I794:I810" si="27">1/16000*0.95</f>
        <v>5.9375E-5</v>
      </c>
      <c r="K794" s="39">
        <f t="shared" si="26"/>
        <v>121.43968750000001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9888</v>
      </c>
      <c r="E795" s="40">
        <v>393424</v>
      </c>
      <c r="H795" s="39" t="s">
        <v>9887</v>
      </c>
      <c r="I795" s="39">
        <f t="shared" si="27"/>
        <v>5.9375E-5</v>
      </c>
      <c r="K795" s="39">
        <f t="shared" si="26"/>
        <v>23.359549999999999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9888</v>
      </c>
      <c r="E796" s="40">
        <v>502775</v>
      </c>
      <c r="H796" s="39" t="s">
        <v>9887</v>
      </c>
      <c r="I796" s="39">
        <f t="shared" si="27"/>
        <v>5.9375E-5</v>
      </c>
      <c r="K796" s="39">
        <f t="shared" si="26"/>
        <v>29.852265625000001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9888</v>
      </c>
      <c r="E797" s="40">
        <v>9341626</v>
      </c>
      <c r="H797" s="39" t="s">
        <v>9887</v>
      </c>
      <c r="I797" s="39">
        <f t="shared" si="27"/>
        <v>5.9375E-5</v>
      </c>
      <c r="K797" s="39">
        <f t="shared" si="26"/>
        <v>554.65904375000002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9888</v>
      </c>
      <c r="E798" s="40">
        <v>538472</v>
      </c>
      <c r="H798" s="39" t="s">
        <v>9887</v>
      </c>
      <c r="I798" s="39">
        <f t="shared" si="27"/>
        <v>5.9375E-5</v>
      </c>
      <c r="K798" s="39">
        <f t="shared" si="26"/>
        <v>31.971775000000001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9888</v>
      </c>
      <c r="E799" s="39">
        <v>951.7278</v>
      </c>
      <c r="H799" s="39" t="s">
        <v>9887</v>
      </c>
      <c r="I799" s="39">
        <f t="shared" si="27"/>
        <v>5.9375E-5</v>
      </c>
      <c r="K799" s="39">
        <f t="shared" si="26"/>
        <v>5.6508838125000002E-2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9888</v>
      </c>
      <c r="E800" s="39">
        <v>64.872609999999995</v>
      </c>
      <c r="H800" s="39" t="s">
        <v>9887</v>
      </c>
      <c r="I800" s="39">
        <f t="shared" si="27"/>
        <v>5.9375E-5</v>
      </c>
      <c r="K800" s="39">
        <f t="shared" si="26"/>
        <v>3.8518112187499996E-3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9888</v>
      </c>
      <c r="E801" s="40">
        <v>179972</v>
      </c>
      <c r="H801" s="39" t="s">
        <v>9887</v>
      </c>
      <c r="I801" s="39">
        <f t="shared" si="27"/>
        <v>5.9375E-5</v>
      </c>
      <c r="K801" s="39">
        <f t="shared" si="26"/>
        <v>10.6858375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9888</v>
      </c>
      <c r="E802" s="40">
        <v>4141590</v>
      </c>
      <c r="H802" s="39" t="s">
        <v>9887</v>
      </c>
      <c r="I802" s="39">
        <f t="shared" si="27"/>
        <v>5.9375E-5</v>
      </c>
      <c r="K802" s="39">
        <f t="shared" si="26"/>
        <v>245.90690624999999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9888</v>
      </c>
      <c r="E803" s="40">
        <v>-31845.9</v>
      </c>
      <c r="H803" s="39" t="s">
        <v>9887</v>
      </c>
      <c r="I803" s="39">
        <f t="shared" si="27"/>
        <v>5.9375E-5</v>
      </c>
      <c r="K803" s="39">
        <f t="shared" si="26"/>
        <v>-1.8908503125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9888</v>
      </c>
      <c r="E804" s="40">
        <v>79331</v>
      </c>
      <c r="H804" s="39" t="s">
        <v>9887</v>
      </c>
      <c r="I804" s="39">
        <f t="shared" si="27"/>
        <v>5.9375E-5</v>
      </c>
      <c r="K804" s="39">
        <f t="shared" si="26"/>
        <v>4.7102781250000003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9888</v>
      </c>
      <c r="E805" s="40">
        <v>104711</v>
      </c>
      <c r="H805" s="39" t="s">
        <v>9887</v>
      </c>
      <c r="I805" s="39">
        <f t="shared" si="27"/>
        <v>5.9375E-5</v>
      </c>
      <c r="K805" s="39">
        <f t="shared" si="26"/>
        <v>6.2172156249999997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9888</v>
      </c>
      <c r="E806" s="40">
        <v>0.30426999999999998</v>
      </c>
      <c r="H806" s="39" t="s">
        <v>9887</v>
      </c>
      <c r="I806" s="39">
        <f t="shared" si="27"/>
        <v>5.9375E-5</v>
      </c>
      <c r="K806" s="39">
        <f t="shared" si="26"/>
        <v>1.806603125E-5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9888</v>
      </c>
      <c r="E807" s="39">
        <v>3142.35</v>
      </c>
      <c r="H807" s="39" t="s">
        <v>9887</v>
      </c>
      <c r="I807" s="39">
        <f t="shared" si="27"/>
        <v>5.9375E-5</v>
      </c>
      <c r="K807" s="39">
        <f t="shared" si="26"/>
        <v>0.18657703125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9888</v>
      </c>
      <c r="E808" s="39">
        <v>5093</v>
      </c>
      <c r="H808" s="39" t="s">
        <v>9887</v>
      </c>
      <c r="I808" s="39">
        <f t="shared" si="27"/>
        <v>5.9375E-5</v>
      </c>
      <c r="K808" s="39">
        <f t="shared" si="26"/>
        <v>0.30239687500000001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9888</v>
      </c>
      <c r="E809" s="39">
        <v>5870</v>
      </c>
      <c r="H809" s="39" t="s">
        <v>9887</v>
      </c>
      <c r="I809" s="39">
        <f t="shared" si="27"/>
        <v>5.9375E-5</v>
      </c>
      <c r="K809" s="39">
        <f t="shared" si="26"/>
        <v>0.34853125000000001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9888</v>
      </c>
      <c r="E810" s="40">
        <v>11100</v>
      </c>
      <c r="H810" s="39" t="s">
        <v>9887</v>
      </c>
      <c r="I810" s="39">
        <f t="shared" si="27"/>
        <v>5.9375E-5</v>
      </c>
      <c r="K810" s="39">
        <f t="shared" si="26"/>
        <v>0.6590625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9846</v>
      </c>
      <c r="D811" s="43"/>
      <c r="E811" s="43">
        <v>0.60416999999999998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 s="43">
        <f t="shared" ref="K811:K828" si="28">E811*I811</f>
        <v>8.6309999999999998E-2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9846</v>
      </c>
      <c r="E812" s="39">
        <v>188.88527999999999</v>
      </c>
      <c r="H812" s="39" t="s">
        <v>9847</v>
      </c>
      <c r="I812" s="39">
        <f t="shared" ref="I812:I828" si="29">1/$O$811/($O$812/1000)</f>
        <v>0.14285714285714285</v>
      </c>
      <c r="K812" s="39">
        <f t="shared" si="28"/>
        <v>26.983611428571425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9846</v>
      </c>
      <c r="E813" s="39">
        <v>86.478560000000002</v>
      </c>
      <c r="H813" s="39" t="s">
        <v>9847</v>
      </c>
      <c r="I813" s="39">
        <f t="shared" si="29"/>
        <v>0.14285714285714285</v>
      </c>
      <c r="K813" s="39">
        <f t="shared" si="28"/>
        <v>12.35408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9846</v>
      </c>
      <c r="E814" s="39">
        <v>105.569</v>
      </c>
      <c r="H814" s="39" t="s">
        <v>9847</v>
      </c>
      <c r="I814" s="39">
        <f t="shared" si="29"/>
        <v>0.14285714285714285</v>
      </c>
      <c r="K814" s="39">
        <f t="shared" si="28"/>
        <v>15.081285714285714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9846</v>
      </c>
      <c r="E815" s="39">
        <v>3179.6</v>
      </c>
      <c r="H815" s="39" t="s">
        <v>9847</v>
      </c>
      <c r="I815" s="39">
        <f t="shared" si="29"/>
        <v>0.14285714285714285</v>
      </c>
      <c r="K815" s="39">
        <f t="shared" si="28"/>
        <v>454.2285714285714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9846</v>
      </c>
      <c r="E816" s="39">
        <v>36.71481</v>
      </c>
      <c r="H816" s="39" t="s">
        <v>9847</v>
      </c>
      <c r="I816" s="39">
        <f t="shared" si="29"/>
        <v>0.14285714285714285</v>
      </c>
      <c r="K816" s="39">
        <f t="shared" si="28"/>
        <v>5.2449728571428569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9846</v>
      </c>
      <c r="E817" s="39">
        <v>2.511E-2</v>
      </c>
      <c r="H817" s="39" t="s">
        <v>9847</v>
      </c>
      <c r="I817" s="39">
        <f t="shared" si="29"/>
        <v>0.14285714285714285</v>
      </c>
      <c r="K817" s="39">
        <f t="shared" si="28"/>
        <v>3.5871428571428569E-3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9846</v>
      </c>
      <c r="E818" s="39">
        <v>1.457E-2</v>
      </c>
      <c r="H818" s="39" t="s">
        <v>9847</v>
      </c>
      <c r="I818" s="39">
        <f t="shared" si="29"/>
        <v>0.14285714285714285</v>
      </c>
      <c r="K818" s="39">
        <f t="shared" si="28"/>
        <v>2.0814285714285713E-3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9846</v>
      </c>
      <c r="E819" s="39">
        <v>33.209560000000003</v>
      </c>
      <c r="H819" s="39" t="s">
        <v>9847</v>
      </c>
      <c r="I819" s="39">
        <f t="shared" si="29"/>
        <v>0.14285714285714285</v>
      </c>
      <c r="K819" s="39">
        <f t="shared" si="28"/>
        <v>4.7442228571428577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9846</v>
      </c>
      <c r="E820" s="39">
        <v>345.44</v>
      </c>
      <c r="H820" s="39" t="s">
        <v>9847</v>
      </c>
      <c r="I820" s="39">
        <f t="shared" si="29"/>
        <v>0.14285714285714285</v>
      </c>
      <c r="K820" s="39">
        <f t="shared" si="28"/>
        <v>49.348571428571425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9846</v>
      </c>
      <c r="E821" s="39">
        <v>1.3787</v>
      </c>
      <c r="H821" s="39" t="s">
        <v>9847</v>
      </c>
      <c r="I821" s="39">
        <f t="shared" si="29"/>
        <v>0.14285714285714285</v>
      </c>
      <c r="K821" s="39">
        <f t="shared" si="28"/>
        <v>0.19695714285714286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9846</v>
      </c>
      <c r="E822" s="39">
        <v>124.807</v>
      </c>
      <c r="H822" s="39" t="s">
        <v>9847</v>
      </c>
      <c r="I822" s="39">
        <f t="shared" si="29"/>
        <v>0.14285714285714285</v>
      </c>
      <c r="K822" s="39">
        <f t="shared" si="28"/>
        <v>17.829571428571427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9846</v>
      </c>
      <c r="E823" s="39">
        <v>1.35562</v>
      </c>
      <c r="H823" s="39" t="s">
        <v>9847</v>
      </c>
      <c r="I823" s="39">
        <f t="shared" si="29"/>
        <v>0.14285714285714285</v>
      </c>
      <c r="K823" s="39">
        <f t="shared" si="28"/>
        <v>0.19366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9846</v>
      </c>
      <c r="E824" s="40">
        <v>5.49E-5</v>
      </c>
      <c r="H824" s="39" t="s">
        <v>9847</v>
      </c>
      <c r="I824" s="39">
        <f t="shared" si="29"/>
        <v>0.14285714285714285</v>
      </c>
      <c r="K824" s="39">
        <f t="shared" si="28"/>
        <v>7.8428571428571428E-6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9846</v>
      </c>
      <c r="E825" s="39">
        <v>0.33334000000000003</v>
      </c>
      <c r="H825" s="39" t="s">
        <v>9847</v>
      </c>
      <c r="I825" s="39">
        <f t="shared" si="29"/>
        <v>0.14285714285714285</v>
      </c>
      <c r="K825" s="39">
        <f t="shared" si="28"/>
        <v>4.7620000000000003E-2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9846</v>
      </c>
      <c r="E826" s="39">
        <v>0.62705999999999995</v>
      </c>
      <c r="H826" s="39" t="s">
        <v>9847</v>
      </c>
      <c r="I826" s="39">
        <f t="shared" si="29"/>
        <v>0.14285714285714285</v>
      </c>
      <c r="K826" s="39">
        <f t="shared" si="28"/>
        <v>8.9579999999999993E-2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9846</v>
      </c>
      <c r="E827" s="39">
        <v>0.65898000000000001</v>
      </c>
      <c r="H827" s="39" t="s">
        <v>9847</v>
      </c>
      <c r="I827" s="39">
        <f t="shared" si="29"/>
        <v>0.14285714285714285</v>
      </c>
      <c r="K827" s="39">
        <f t="shared" si="28"/>
        <v>9.4140000000000001E-2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9846</v>
      </c>
      <c r="E828" s="39">
        <v>0.61343999999999999</v>
      </c>
      <c r="H828" s="39" t="s">
        <v>9847</v>
      </c>
      <c r="I828" s="39">
        <f t="shared" si="29"/>
        <v>0.14285714285714285</v>
      </c>
      <c r="K828" s="39">
        <f t="shared" si="28"/>
        <v>8.7634285714285706E-2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30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38" si="31">E838*$I838</f>
        <v>0.72263888888888894</v>
      </c>
      <c r="L838" s="39">
        <f t="shared" si="31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30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32">D839*$I839</f>
        <v>0.18666666666666668</v>
      </c>
      <c r="K839" s="39">
        <f t="shared" ref="K839:K840" si="33">E839*$I839</f>
        <v>0.43734567901234572</v>
      </c>
      <c r="L839" s="39">
        <f t="shared" ref="L839:L840" si="34">F839*$I839</f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30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32"/>
        <v>1.1728395061728396E-2</v>
      </c>
      <c r="K840" s="39">
        <f t="shared" si="33"/>
        <v>2.080246913580247E-2</v>
      </c>
      <c r="L840" s="39">
        <f t="shared" si="34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35">D842*$I842</f>
        <v>0.20100000000000001</v>
      </c>
      <c r="K842" s="39">
        <f>E842*$I842</f>
        <v>0.28100000000000003</v>
      </c>
      <c r="L842" s="39">
        <f t="shared" ref="L842" si="36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37">E845*$I845</f>
        <v>6.2056737588652485E-5</v>
      </c>
      <c r="L845" s="39">
        <f t="shared" ref="L845:L846" si="38">F845*$I845</f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9">D846*$I846</f>
        <v>2.1830181245074863E-5</v>
      </c>
      <c r="K846" s="39">
        <f t="shared" si="37"/>
        <v>2.3733254531126873E-5</v>
      </c>
      <c r="L846" s="39">
        <f t="shared" si="38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0">E847*$I847</f>
        <v>6.9444444444444444E-5</v>
      </c>
      <c r="L847" s="39">
        <f t="shared" ref="L847:L848" si="41">F847*$I847</f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42">D848*$I848</f>
        <v>2.4429012345679013E-5</v>
      </c>
      <c r="K848" s="39">
        <f t="shared" si="40"/>
        <v>2.6558641975308642E-5</v>
      </c>
      <c r="L848" s="39">
        <f t="shared" si="41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3">E849*$I849</f>
        <v>7.3529411764705889E-5</v>
      </c>
      <c r="L849" s="39">
        <f t="shared" ref="L849:L850" si="44">F849*$I849</f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45">D850*$I850</f>
        <v>2.5866013071895426E-5</v>
      </c>
      <c r="K850" s="39">
        <f t="shared" si="43"/>
        <v>2.8120915032679742E-5</v>
      </c>
      <c r="L850" s="39">
        <f t="shared" si="44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6">E851*$I851</f>
        <v>7.5431034482758625E-5</v>
      </c>
      <c r="L851" s="39">
        <f t="shared" ref="L851:L852" si="47">F851*$I851</f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48">D852*$I852</f>
        <v>2.6534961685823756E-5</v>
      </c>
      <c r="K852" s="39">
        <f t="shared" si="46"/>
        <v>2.8848180076628355E-5</v>
      </c>
      <c r="L852" s="39">
        <f t="shared" si="47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49">E853*$I853</f>
        <v>7.2916666666666673E-5</v>
      </c>
      <c r="L853" s="39">
        <f t="shared" ref="L853:L854" si="50">F853*$I853</f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51">D854*$I854</f>
        <v>2.5650462962962963E-5</v>
      </c>
      <c r="K854" s="39">
        <f t="shared" si="49"/>
        <v>2.7886574074074075E-5</v>
      </c>
      <c r="L854" s="39">
        <f t="shared" si="50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2">E855*$I855</f>
        <v>8.1775700934579444E-5</v>
      </c>
      <c r="L855" s="39">
        <f t="shared" ref="L855:L856" si="53">F855*$I855</f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54">D856*$I856</f>
        <v>2.8766874350986499E-5</v>
      </c>
      <c r="K856" s="39">
        <f t="shared" si="52"/>
        <v>3.1274662512980273E-5</v>
      </c>
      <c r="L856" s="39">
        <f t="shared" si="53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5">E857*$I857</f>
        <v>8.4951456310679611E-5</v>
      </c>
      <c r="L857" s="39">
        <f t="shared" ref="L857:L858" si="56">F857*$I857</f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57">D858*$I858</f>
        <v>2.988403451995685E-5</v>
      </c>
      <c r="K858" s="39">
        <f t="shared" si="55"/>
        <v>3.2489212513484363E-5</v>
      </c>
      <c r="L858" s="39">
        <f t="shared" si="56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J862" si="58">D860*$I860</f>
        <v>8.1360000000000002E-2</v>
      </c>
      <c r="K860" s="39">
        <f t="shared" ref="K860:K862" si="59">E860*$I860</f>
        <v>0.13200000000000001</v>
      </c>
      <c r="L860" s="39">
        <f t="shared" ref="L860:L862" si="60">F860*$I860</f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58"/>
        <v>0.85899999999999999</v>
      </c>
      <c r="K862" s="39">
        <f t="shared" si="59"/>
        <v>0.96899999999999997</v>
      </c>
      <c r="L862" s="39">
        <f t="shared" si="60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" si="61">D866*$I866</f>
        <v>18.294528</v>
      </c>
      <c r="K866" s="39">
        <f t="shared" ref="K866" si="62">E866*$I866</f>
        <v>22.868159999999996</v>
      </c>
      <c r="L866" s="39">
        <f t="shared" ref="L866" si="63">F866*$I866</f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64">0.8*E867</f>
        <v>0.17400000000000002</v>
      </c>
      <c r="E867" s="39">
        <f>(0.513+0.262)/2-0.17</f>
        <v>0.2175</v>
      </c>
      <c r="F867" s="39">
        <f t="shared" ref="F867:F868" si="65">1.2*E867</f>
        <v>0.26100000000000001</v>
      </c>
      <c r="H867" s="39" t="s">
        <v>10247</v>
      </c>
      <c r="I867" s="39">
        <f>E869/1000000</f>
        <v>3.3600000000000001E-3</v>
      </c>
      <c r="J867" s="39">
        <f t="shared" ref="J867:J868" si="66">D867*$I867</f>
        <v>5.8464000000000009E-4</v>
      </c>
      <c r="K867" s="39">
        <f t="shared" ref="K867:K868" si="67">E867*$I867</f>
        <v>7.3079999999999998E-4</v>
      </c>
      <c r="L867" s="39">
        <f t="shared" ref="L867:L868" si="68">F867*$I867</f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64"/>
        <v>6.1479999999999997</v>
      </c>
      <c r="E868" s="39">
        <f>(8.424+10.068)/2-1.561</f>
        <v>7.6849999999999987</v>
      </c>
      <c r="F868" s="39">
        <f t="shared" si="65"/>
        <v>9.2219999999999978</v>
      </c>
      <c r="H868" s="39" t="s">
        <v>10246</v>
      </c>
      <c r="I868" s="39">
        <f>E869/1000000000</f>
        <v>3.36E-6</v>
      </c>
      <c r="J868" s="39">
        <f t="shared" si="66"/>
        <v>2.0657279999999998E-5</v>
      </c>
      <c r="K868" s="39">
        <f t="shared" si="67"/>
        <v>2.5821599999999997E-5</v>
      </c>
      <c r="L868" s="39">
        <f t="shared" si="6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" si="69">D873*$I873</f>
        <v>0</v>
      </c>
      <c r="K873" s="39">
        <f t="shared" ref="K873" si="70">E873*$I873</f>
        <v>25.32</v>
      </c>
      <c r="L873" s="39">
        <f t="shared" ref="L873" si="71">F873*$I873</f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ref="J874" si="72">D874*$I874</f>
        <v>0</v>
      </c>
      <c r="K874" s="39">
        <f t="shared" ref="K874" si="73">E874*$I874</f>
        <v>190</v>
      </c>
      <c r="L874" s="39">
        <f t="shared" ref="L874" si="74">F874*$I874</f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8" spans="1:15" x14ac:dyDescent="0.45">
      <c r="A878" s="39" t="s">
        <v>10386</v>
      </c>
      <c r="B878" s="10" t="s">
        <v>10391</v>
      </c>
    </row>
    <row r="879" spans="1:15" x14ac:dyDescent="0.45">
      <c r="A879" s="39" t="s">
        <v>10388</v>
      </c>
      <c r="B879" s="10" t="s">
        <v>10391</v>
      </c>
    </row>
    <row r="880" spans="1:15" x14ac:dyDescent="0.45">
      <c r="A880" s="39" t="s">
        <v>10389</v>
      </c>
      <c r="B880" s="10" t="s">
        <v>10391</v>
      </c>
    </row>
    <row r="881" spans="1:2" x14ac:dyDescent="0.45">
      <c r="A881" s="39" t="s">
        <v>10390</v>
      </c>
      <c r="B881" s="10" t="s">
        <v>10391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L111"/>
  <sheetViews>
    <sheetView workbookViewId="0">
      <pane xSplit="1" topLeftCell="AU1" activePane="topRight" state="frozen"/>
      <selection pane="topRight" activeCell="B24" sqref="B24:BL24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10370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10370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10370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10370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10370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64" x14ac:dyDescent="0.45">
      <c r="A17" s="20" t="s">
        <v>592</v>
      </c>
    </row>
    <row r="18" spans="1:64" x14ac:dyDescent="0.45">
      <c r="A18" t="s">
        <v>600</v>
      </c>
      <c r="B18">
        <f>1/1000</f>
        <v>1E-3</v>
      </c>
    </row>
    <row r="19" spans="1:64" x14ac:dyDescent="0.45">
      <c r="A19" s="31" t="s">
        <v>9001</v>
      </c>
    </row>
    <row r="20" spans="1:64" x14ac:dyDescent="0.45">
      <c r="A20" s="33" t="s">
        <v>9002</v>
      </c>
    </row>
    <row r="22" spans="1:64" x14ac:dyDescent="0.4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</row>
    <row r="23" spans="1:64" x14ac:dyDescent="0.45">
      <c r="A23" t="s">
        <v>516</v>
      </c>
      <c r="B23" t="s">
        <v>518</v>
      </c>
      <c r="C23" t="s">
        <v>519</v>
      </c>
      <c r="D23" t="s">
        <v>520</v>
      </c>
      <c r="E23" t="s">
        <v>521</v>
      </c>
      <c r="F23" t="s">
        <v>522</v>
      </c>
      <c r="G23" t="s">
        <v>590</v>
      </c>
      <c r="H23" t="s">
        <v>523</v>
      </c>
      <c r="I23" t="s">
        <v>524</v>
      </c>
      <c r="J23" t="s">
        <v>525</v>
      </c>
      <c r="K23" t="s">
        <v>526</v>
      </c>
      <c r="L23" t="s">
        <v>527</v>
      </c>
      <c r="M23" t="s">
        <v>528</v>
      </c>
      <c r="N23" t="s">
        <v>529</v>
      </c>
      <c r="O23" t="s">
        <v>530</v>
      </c>
      <c r="P23" t="s">
        <v>531</v>
      </c>
      <c r="Q23" t="s">
        <v>532</v>
      </c>
      <c r="R23" t="s">
        <v>533</v>
      </c>
      <c r="S23" t="s">
        <v>534</v>
      </c>
      <c r="T23" t="s">
        <v>535</v>
      </c>
      <c r="U23" t="s">
        <v>536</v>
      </c>
      <c r="V23" t="s">
        <v>537</v>
      </c>
      <c r="W23" t="s">
        <v>538</v>
      </c>
      <c r="X23" t="s">
        <v>539</v>
      </c>
      <c r="Y23" t="s">
        <v>540</v>
      </c>
      <c r="Z23" t="s">
        <v>541</v>
      </c>
      <c r="AA23" t="s">
        <v>542</v>
      </c>
      <c r="AB23" t="s">
        <v>543</v>
      </c>
      <c r="AC23" t="s">
        <v>544</v>
      </c>
      <c r="AD23" t="s">
        <v>545</v>
      </c>
      <c r="AE23" t="s">
        <v>546</v>
      </c>
      <c r="AF23" t="s">
        <v>547</v>
      </c>
      <c r="AG23" t="s">
        <v>548</v>
      </c>
      <c r="AH23" t="s">
        <v>549</v>
      </c>
      <c r="AI23" t="s">
        <v>550</v>
      </c>
      <c r="AJ23" t="s">
        <v>551</v>
      </c>
      <c r="AK23" t="s">
        <v>591</v>
      </c>
      <c r="AL23" t="s">
        <v>552</v>
      </c>
      <c r="AM23" t="s">
        <v>553</v>
      </c>
      <c r="AN23" t="s">
        <v>554</v>
      </c>
      <c r="AO23" t="s">
        <v>555</v>
      </c>
      <c r="AP23" t="s">
        <v>556</v>
      </c>
      <c r="AQ23" t="s">
        <v>557</v>
      </c>
      <c r="AR23" t="s">
        <v>558</v>
      </c>
      <c r="AS23" t="s">
        <v>559</v>
      </c>
      <c r="AT23" t="s">
        <v>560</v>
      </c>
      <c r="AU23" t="s">
        <v>561</v>
      </c>
      <c r="AV23" t="s">
        <v>562</v>
      </c>
      <c r="AW23" t="s">
        <v>563</v>
      </c>
      <c r="AX23" t="s">
        <v>564</v>
      </c>
      <c r="AY23" t="s">
        <v>565</v>
      </c>
      <c r="AZ23" t="s">
        <v>566</v>
      </c>
      <c r="BA23" t="s">
        <v>567</v>
      </c>
      <c r="BB23" t="s">
        <v>568</v>
      </c>
      <c r="BC23" t="s">
        <v>569</v>
      </c>
      <c r="BD23" t="s">
        <v>570</v>
      </c>
      <c r="BE23" t="s">
        <v>571</v>
      </c>
      <c r="BF23" t="s">
        <v>572</v>
      </c>
      <c r="BG23" t="s">
        <v>573</v>
      </c>
      <c r="BH23" t="s">
        <v>574</v>
      </c>
      <c r="BI23" t="s">
        <v>575</v>
      </c>
      <c r="BJ23" t="s">
        <v>576</v>
      </c>
      <c r="BK23" t="s">
        <v>577</v>
      </c>
    </row>
    <row r="24" spans="1:64" x14ac:dyDescent="0.45">
      <c r="A24" s="4" t="s">
        <v>517</v>
      </c>
      <c r="B24" s="22">
        <f>B28*$J4+(B29+B31)*$J7+B30*$J3</f>
        <v>16.386011</v>
      </c>
      <c r="C24" s="22">
        <f t="shared" ref="C24:BK24" si="1">C28*$J4+(C29+C31)*$J7+C30*$J3</f>
        <v>85.688971903999999</v>
      </c>
      <c r="D24" s="22">
        <f t="shared" si="1"/>
        <v>0</v>
      </c>
      <c r="E24" s="22">
        <f t="shared" si="1"/>
        <v>14.453935875999999</v>
      </c>
      <c r="F24" s="22">
        <f t="shared" si="1"/>
        <v>18.321941656</v>
      </c>
      <c r="G24" s="22">
        <f t="shared" si="1"/>
        <v>158.15647409499999</v>
      </c>
      <c r="H24" s="22">
        <f t="shared" si="1"/>
        <v>34.840855112</v>
      </c>
      <c r="I24" s="22">
        <f t="shared" si="1"/>
        <v>6.1206003510000002</v>
      </c>
      <c r="J24" s="22">
        <f t="shared" si="1"/>
        <v>27.369457785000002</v>
      </c>
      <c r="K24" s="22">
        <f t="shared" si="1"/>
        <v>2722.340059401</v>
      </c>
      <c r="L24" s="22">
        <f t="shared" si="1"/>
        <v>48.954710385999995</v>
      </c>
      <c r="M24" s="22">
        <f t="shared" si="1"/>
        <v>7.7564231999999995</v>
      </c>
      <c r="N24" s="22">
        <f t="shared" si="1"/>
        <v>29.944896461999999</v>
      </c>
      <c r="O24" s="22">
        <f t="shared" si="1"/>
        <v>37.718953051</v>
      </c>
      <c r="P24" s="22">
        <f t="shared" si="1"/>
        <v>2721.5519999999997</v>
      </c>
      <c r="Q24" s="22">
        <f t="shared" si="1"/>
        <v>33.439822821999996</v>
      </c>
      <c r="R24" s="22">
        <f t="shared" si="1"/>
        <v>382.47081556399996</v>
      </c>
      <c r="S24" s="22">
        <f t="shared" si="1"/>
        <v>23.787611857999998</v>
      </c>
      <c r="T24" s="22">
        <f t="shared" si="1"/>
        <v>455.03952547</v>
      </c>
      <c r="U24" s="22">
        <f t="shared" si="1"/>
        <v>91.364995395999983</v>
      </c>
      <c r="V24" s="22">
        <f t="shared" si="1"/>
        <v>0</v>
      </c>
      <c r="W24" s="22">
        <f t="shared" si="1"/>
        <v>48.179181463999996</v>
      </c>
      <c r="X24" s="22">
        <f t="shared" si="1"/>
        <v>228.38958209399999</v>
      </c>
      <c r="Y24" s="22">
        <f t="shared" si="1"/>
        <v>0.12700576</v>
      </c>
      <c r="Z24" s="22">
        <f t="shared" si="1"/>
        <v>13.119978502999999</v>
      </c>
      <c r="AA24" s="22">
        <f t="shared" si="1"/>
        <v>12.455749718</v>
      </c>
      <c r="AB24" s="22">
        <f t="shared" si="1"/>
        <v>16.503207832999998</v>
      </c>
      <c r="AC24" s="22">
        <f t="shared" si="1"/>
        <v>9.9279948999999998</v>
      </c>
      <c r="AD24" s="22">
        <f t="shared" si="1"/>
        <v>24.905375943999999</v>
      </c>
      <c r="AE24" s="22">
        <f t="shared" si="1"/>
        <v>0.27215519999999999</v>
      </c>
      <c r="AF24" s="22">
        <f t="shared" si="1"/>
        <v>0.16329311999999999</v>
      </c>
      <c r="AG24" s="22">
        <f t="shared" si="1"/>
        <v>19.87186552</v>
      </c>
      <c r="AH24" s="22">
        <f t="shared" si="1"/>
        <v>28.040944042</v>
      </c>
      <c r="AI24" s="22">
        <f t="shared" si="1"/>
        <v>4068.3738091099999</v>
      </c>
      <c r="AJ24" s="22">
        <f t="shared" si="1"/>
        <v>186.38441143899999</v>
      </c>
      <c r="AK24" s="22">
        <f t="shared" si="1"/>
        <v>626.83488731600005</v>
      </c>
      <c r="AL24" s="22">
        <f t="shared" si="1"/>
        <v>13.063676395999998</v>
      </c>
      <c r="AM24" s="22">
        <f t="shared" si="1"/>
        <v>13.439817562</v>
      </c>
      <c r="AN24" s="22">
        <f t="shared" si="1"/>
        <v>38.096851885999996</v>
      </c>
      <c r="AO24" s="22">
        <f t="shared" si="1"/>
        <v>4.1517275759999999</v>
      </c>
      <c r="AP24" s="22">
        <f t="shared" si="1"/>
        <v>2.4947559999999998</v>
      </c>
      <c r="AQ24" s="22">
        <f t="shared" si="1"/>
        <v>34.495614900999996</v>
      </c>
      <c r="AR24" s="22">
        <f t="shared" si="1"/>
        <v>0</v>
      </c>
      <c r="AS24" s="22">
        <f t="shared" si="1"/>
        <v>1.6283952799999999</v>
      </c>
      <c r="AT24" s="22">
        <f t="shared" si="1"/>
        <v>818.06354791699994</v>
      </c>
      <c r="AU24" s="22">
        <f t="shared" si="1"/>
        <v>3.0163867999999998</v>
      </c>
      <c r="AV24" s="22">
        <f t="shared" si="1"/>
        <v>33.021724395999996</v>
      </c>
      <c r="AW24" s="22">
        <f t="shared" si="1"/>
        <v>69.74260495</v>
      </c>
      <c r="AX24" s="22">
        <f t="shared" si="1"/>
        <v>335.87450008299993</v>
      </c>
      <c r="AY24" s="22">
        <f t="shared" si="1"/>
        <v>35.844597508999996</v>
      </c>
      <c r="AZ24" s="22">
        <f t="shared" si="1"/>
        <v>1784.2908247709997</v>
      </c>
      <c r="BA24" s="22">
        <f t="shared" si="1"/>
        <v>70.765341511999992</v>
      </c>
      <c r="BB24" s="22">
        <f t="shared" si="1"/>
        <v>2276.4648499999998</v>
      </c>
      <c r="BC24" s="22">
        <f t="shared" si="1"/>
        <v>11.972334043999998</v>
      </c>
      <c r="BD24" s="22">
        <f t="shared" si="1"/>
        <v>12.768784897</v>
      </c>
      <c r="BE24" s="22">
        <f t="shared" si="1"/>
        <v>25.771283071999999</v>
      </c>
      <c r="BF24" s="22">
        <f t="shared" si="1"/>
        <v>3.5470894399999997</v>
      </c>
      <c r="BG24" s="22">
        <f t="shared" si="1"/>
        <v>37.571705747999999</v>
      </c>
      <c r="BH24" s="22">
        <f t="shared" si="1"/>
        <v>3856.4282977919997</v>
      </c>
      <c r="BI24" s="22">
        <f t="shared" si="1"/>
        <v>32.309811752000002</v>
      </c>
      <c r="BJ24" s="22">
        <f t="shared" si="1"/>
        <v>13.420993493999998</v>
      </c>
      <c r="BK24" s="22">
        <f t="shared" si="1"/>
        <v>377.67646152199995</v>
      </c>
      <c r="BL24" s="22">
        <f>MAX(A24:BK24)</f>
        <v>4068.3738091099999</v>
      </c>
    </row>
    <row r="25" spans="1:64" x14ac:dyDescent="0.45">
      <c r="A25" s="4" t="s">
        <v>578</v>
      </c>
      <c r="B25" s="22">
        <f>B40*$B$18</f>
        <v>13.7548046875</v>
      </c>
      <c r="C25" s="22">
        <f t="shared" ref="C25:BK25" si="2">C40*$B$18</f>
        <v>20.403369140624999</v>
      </c>
      <c r="D25" s="22">
        <f t="shared" si="2"/>
        <v>4.646091796875</v>
      </c>
      <c r="E25" s="22">
        <f t="shared" si="2"/>
        <v>17.780488281250001</v>
      </c>
      <c r="F25" s="22">
        <f t="shared" si="2"/>
        <v>23.0667216796875</v>
      </c>
      <c r="G25" s="22">
        <f t="shared" si="2"/>
        <v>21.206732421875</v>
      </c>
      <c r="H25" s="22">
        <f t="shared" si="2"/>
        <v>24.737574218750002</v>
      </c>
      <c r="I25" s="22">
        <f t="shared" si="2"/>
        <v>12.609700195312501</v>
      </c>
      <c r="J25" s="22">
        <f t="shared" si="2"/>
        <v>17.807955078125001</v>
      </c>
      <c r="K25" s="22">
        <f t="shared" si="2"/>
        <v>21.199529296874999</v>
      </c>
      <c r="L25" s="22">
        <f t="shared" si="2"/>
        <v>16.647154296875001</v>
      </c>
      <c r="M25" s="22">
        <f t="shared" si="2"/>
        <v>14.178733398437501</v>
      </c>
      <c r="N25" s="22">
        <f t="shared" si="2"/>
        <v>23.673746093750001</v>
      </c>
      <c r="O25" s="22">
        <f t="shared" si="2"/>
        <v>16.722521484375001</v>
      </c>
      <c r="P25" s="22">
        <f t="shared" si="2"/>
        <v>22.511236328125001</v>
      </c>
      <c r="Q25" s="22">
        <f t="shared" si="2"/>
        <v>27.234521484375001</v>
      </c>
      <c r="R25" s="22">
        <f t="shared" si="2"/>
        <v>26.489490234375001</v>
      </c>
      <c r="S25" s="22">
        <f t="shared" si="2"/>
        <v>14.5351142578125</v>
      </c>
      <c r="T25" s="22">
        <f t="shared" si="2"/>
        <v>14.0727724609375</v>
      </c>
      <c r="U25" s="22">
        <f t="shared" si="2"/>
        <v>16.0733271484375</v>
      </c>
      <c r="V25" s="22">
        <f t="shared" si="2"/>
        <v>23.581091796875</v>
      </c>
      <c r="W25" s="22">
        <f t="shared" si="2"/>
        <v>29.565826171874999</v>
      </c>
      <c r="X25" s="22">
        <f t="shared" si="2"/>
        <v>26.196894531249999</v>
      </c>
      <c r="Y25" s="22">
        <f t="shared" si="2"/>
        <v>5.1886049804687504</v>
      </c>
      <c r="Z25" s="22">
        <f t="shared" si="2"/>
        <v>22.799101562499999</v>
      </c>
      <c r="AA25" s="22">
        <f t="shared" si="2"/>
        <v>16.436640624999999</v>
      </c>
      <c r="AB25" s="22">
        <f t="shared" si="2"/>
        <v>16.858964843750002</v>
      </c>
      <c r="AC25" s="22">
        <f t="shared" si="2"/>
        <v>22.916703125000002</v>
      </c>
      <c r="AD25" s="22">
        <f t="shared" si="2"/>
        <v>12.7653916015625</v>
      </c>
      <c r="AE25" s="22">
        <f t="shared" si="2"/>
        <v>12.391405273437501</v>
      </c>
      <c r="AF25" s="22">
        <f t="shared" si="2"/>
        <v>4.3810229492187505</v>
      </c>
      <c r="AG25" s="22">
        <f t="shared" si="2"/>
        <v>21.2117734375</v>
      </c>
      <c r="AH25" s="22">
        <f t="shared" si="2"/>
        <v>19.867341796874999</v>
      </c>
      <c r="AI25" s="22">
        <f t="shared" si="2"/>
        <v>16.499707031250001</v>
      </c>
      <c r="AJ25" s="22">
        <f t="shared" si="2"/>
        <v>16.27383984375</v>
      </c>
      <c r="AK25" s="22">
        <f t="shared" si="2"/>
        <v>17.375296875</v>
      </c>
      <c r="AL25" s="22">
        <f t="shared" si="2"/>
        <v>17.693517578125</v>
      </c>
      <c r="AM25" s="22">
        <f t="shared" si="2"/>
        <v>23.892730468749999</v>
      </c>
      <c r="AN25" s="22">
        <f t="shared" si="2"/>
        <v>19.810886718750002</v>
      </c>
      <c r="AO25" s="22">
        <f t="shared" si="2"/>
        <v>10.203555664062501</v>
      </c>
      <c r="AP25" s="22">
        <f t="shared" si="2"/>
        <v>8.6409345703125009</v>
      </c>
      <c r="AQ25" s="22">
        <f t="shared" si="2"/>
        <v>16.430445312500002</v>
      </c>
      <c r="AR25" s="22">
        <f t="shared" si="2"/>
        <v>6.2276665039062502</v>
      </c>
      <c r="AS25" s="22">
        <f t="shared" si="2"/>
        <v>8.8453203125000002</v>
      </c>
      <c r="AT25" s="22">
        <f t="shared" si="2"/>
        <v>17.340099609374999</v>
      </c>
      <c r="AU25" s="22">
        <f t="shared" si="2"/>
        <v>9.3604199218749997</v>
      </c>
      <c r="AV25" s="22">
        <f t="shared" si="2"/>
        <v>15.444160644531202</v>
      </c>
      <c r="AW25" s="22">
        <f t="shared" si="2"/>
        <v>12.0704794921875</v>
      </c>
      <c r="AX25" s="22">
        <f t="shared" si="2"/>
        <v>14.1388212890625</v>
      </c>
      <c r="AY25" s="22">
        <f t="shared" si="2"/>
        <v>32.499468749999998</v>
      </c>
      <c r="AZ25" s="22">
        <f t="shared" si="2"/>
        <v>21.331679687499999</v>
      </c>
      <c r="BA25" s="22">
        <f t="shared" si="2"/>
        <v>30.276205078124999</v>
      </c>
      <c r="BB25" s="22">
        <f t="shared" si="2"/>
        <v>19.921849609375002</v>
      </c>
      <c r="BC25" s="22">
        <f t="shared" si="2"/>
        <v>14.438471679687501</v>
      </c>
      <c r="BD25" s="22">
        <f t="shared" si="2"/>
        <v>14.0071396484375</v>
      </c>
      <c r="BE25" s="22">
        <f t="shared" si="2"/>
        <v>20.685867187500001</v>
      </c>
      <c r="BF25" s="22">
        <f t="shared" si="2"/>
        <v>18.809013671875</v>
      </c>
      <c r="BG25" s="22">
        <f t="shared" si="2"/>
        <v>20.69398828125</v>
      </c>
      <c r="BH25" s="22">
        <f t="shared" si="2"/>
        <v>22.380589843750002</v>
      </c>
      <c r="BI25" s="22">
        <f t="shared" si="2"/>
        <v>12.720645507812501</v>
      </c>
      <c r="BJ25" s="22">
        <f t="shared" si="2"/>
        <v>15.29426953125</v>
      </c>
      <c r="BK25" s="22">
        <f t="shared" si="2"/>
        <v>11.925785156250001</v>
      </c>
      <c r="BL25" s="22">
        <f>(SUMPRODUCT(B25:BK25,B24:BK24)*0.1+5.1*SUM(B24:BK24))/SUM(B24:BK24)</f>
        <v>7.0943380460418402</v>
      </c>
    </row>
    <row r="26" spans="1:64" x14ac:dyDescent="0.45">
      <c r="A26" s="5" t="s">
        <v>585</v>
      </c>
      <c r="BL26" t="s">
        <v>9340</v>
      </c>
    </row>
    <row r="27" spans="1:64" x14ac:dyDescent="0.45">
      <c r="A27" t="s">
        <v>589</v>
      </c>
      <c r="B27">
        <v>104</v>
      </c>
      <c r="C27">
        <v>153</v>
      </c>
      <c r="D27">
        <v>0</v>
      </c>
      <c r="E27">
        <v>95</v>
      </c>
      <c r="F27">
        <v>162</v>
      </c>
      <c r="G27">
        <v>95</v>
      </c>
      <c r="H27">
        <v>182</v>
      </c>
      <c r="I27">
        <v>57</v>
      </c>
      <c r="J27">
        <v>130</v>
      </c>
      <c r="K27">
        <v>96</v>
      </c>
      <c r="L27">
        <v>113</v>
      </c>
      <c r="M27">
        <v>85</v>
      </c>
      <c r="N27">
        <v>182</v>
      </c>
      <c r="O27">
        <v>146</v>
      </c>
      <c r="P27">
        <v>178</v>
      </c>
      <c r="Q27">
        <v>90</v>
      </c>
      <c r="R27">
        <v>105</v>
      </c>
      <c r="S27">
        <v>24</v>
      </c>
      <c r="T27">
        <v>54</v>
      </c>
      <c r="U27">
        <v>58</v>
      </c>
      <c r="V27">
        <v>0</v>
      </c>
      <c r="W27">
        <v>138</v>
      </c>
      <c r="X27">
        <v>134</v>
      </c>
      <c r="Y27">
        <v>3</v>
      </c>
      <c r="Z27">
        <v>99</v>
      </c>
      <c r="AA27">
        <v>111</v>
      </c>
      <c r="AB27">
        <v>103</v>
      </c>
      <c r="AC27">
        <v>90</v>
      </c>
      <c r="AD27">
        <v>111</v>
      </c>
      <c r="AE27">
        <v>3</v>
      </c>
      <c r="AF27">
        <v>4</v>
      </c>
      <c r="AG27">
        <v>139</v>
      </c>
      <c r="AH27">
        <v>231</v>
      </c>
      <c r="AI27">
        <v>80</v>
      </c>
      <c r="AJ27">
        <v>110</v>
      </c>
      <c r="AK27">
        <v>113</v>
      </c>
      <c r="AL27">
        <v>72</v>
      </c>
      <c r="AM27">
        <v>117</v>
      </c>
      <c r="AN27">
        <v>170</v>
      </c>
      <c r="AO27">
        <v>28</v>
      </c>
      <c r="AP27">
        <v>3</v>
      </c>
      <c r="AQ27">
        <v>104</v>
      </c>
      <c r="AR27">
        <v>0</v>
      </c>
      <c r="AS27">
        <v>5</v>
      </c>
      <c r="AT27">
        <v>126</v>
      </c>
      <c r="AU27">
        <v>25</v>
      </c>
      <c r="AV27">
        <v>107</v>
      </c>
      <c r="AW27">
        <v>100</v>
      </c>
      <c r="AX27">
        <v>108</v>
      </c>
      <c r="AY27">
        <v>290</v>
      </c>
      <c r="AZ27">
        <v>229</v>
      </c>
      <c r="BA27">
        <v>77</v>
      </c>
      <c r="BB27">
        <v>106</v>
      </c>
      <c r="BC27">
        <v>98</v>
      </c>
      <c r="BD27">
        <v>79</v>
      </c>
      <c r="BE27">
        <v>100</v>
      </c>
      <c r="BF27">
        <v>27</v>
      </c>
      <c r="BG27">
        <v>158</v>
      </c>
      <c r="BH27">
        <v>115</v>
      </c>
      <c r="BI27">
        <v>37</v>
      </c>
      <c r="BJ27">
        <v>100</v>
      </c>
      <c r="BK27">
        <v>213</v>
      </c>
    </row>
    <row r="28" spans="1:64" x14ac:dyDescent="0.45">
      <c r="A28" t="s">
        <v>584</v>
      </c>
      <c r="B28" s="19">
        <v>3557</v>
      </c>
      <c r="C28">
        <v>18772</v>
      </c>
      <c r="D28">
        <v>0</v>
      </c>
      <c r="E28">
        <v>3025</v>
      </c>
      <c r="F28">
        <v>3539</v>
      </c>
      <c r="G28">
        <v>34492</v>
      </c>
      <c r="H28">
        <v>5887</v>
      </c>
      <c r="I28">
        <v>1114</v>
      </c>
      <c r="J28">
        <v>5453</v>
      </c>
      <c r="K28" s="32">
        <f>CAFOs!BI181</f>
        <v>600000</v>
      </c>
      <c r="L28">
        <v>9359</v>
      </c>
      <c r="M28">
        <v>1710</v>
      </c>
      <c r="N28">
        <v>5905</v>
      </c>
      <c r="O28">
        <v>4542</v>
      </c>
      <c r="P28" s="32">
        <f>CAFOs!BI262</f>
        <v>600000</v>
      </c>
      <c r="Q28">
        <v>6317</v>
      </c>
      <c r="R28">
        <v>84234</v>
      </c>
      <c r="S28">
        <v>5228</v>
      </c>
      <c r="T28" s="33">
        <v>100000</v>
      </c>
      <c r="U28" s="33">
        <v>20000</v>
      </c>
      <c r="V28">
        <v>0</v>
      </c>
      <c r="W28">
        <v>10079</v>
      </c>
      <c r="X28" s="33">
        <v>50000</v>
      </c>
      <c r="Y28">
        <v>28</v>
      </c>
      <c r="Z28">
        <v>2772</v>
      </c>
      <c r="AA28">
        <v>2577</v>
      </c>
      <c r="AB28">
        <v>2902</v>
      </c>
      <c r="AC28">
        <v>1902</v>
      </c>
      <c r="AD28">
        <v>5034</v>
      </c>
      <c r="AE28">
        <v>60</v>
      </c>
      <c r="AF28">
        <v>36</v>
      </c>
      <c r="AG28">
        <v>4067</v>
      </c>
      <c r="AH28">
        <v>5744</v>
      </c>
      <c r="AI28">
        <v>703150</v>
      </c>
      <c r="AJ28">
        <v>40723</v>
      </c>
      <c r="AK28" s="32">
        <f>CAFOs!BI199</f>
        <v>138000</v>
      </c>
      <c r="AL28">
        <v>2832</v>
      </c>
      <c r="AM28">
        <v>2607</v>
      </c>
      <c r="AN28">
        <v>8161</v>
      </c>
      <c r="AO28">
        <v>899</v>
      </c>
      <c r="AP28">
        <v>550</v>
      </c>
      <c r="AQ28">
        <v>6252</v>
      </c>
      <c r="AR28">
        <v>0</v>
      </c>
      <c r="AS28">
        <v>359</v>
      </c>
      <c r="AT28" s="32">
        <f>CAFOs!BI14</f>
        <v>180000</v>
      </c>
      <c r="AU28">
        <v>665</v>
      </c>
      <c r="AV28">
        <v>5965</v>
      </c>
      <c r="AW28">
        <v>15219</v>
      </c>
      <c r="AX28">
        <v>68095</v>
      </c>
      <c r="AY28">
        <v>7038</v>
      </c>
      <c r="AZ28" s="32">
        <f>CAFOs!BI337</f>
        <v>393000</v>
      </c>
      <c r="BA28">
        <v>8065</v>
      </c>
      <c r="BB28" s="32">
        <f>CAFOs!BI197+CAFOs!BI198</f>
        <v>480000</v>
      </c>
      <c r="BC28">
        <v>2317</v>
      </c>
      <c r="BD28">
        <v>2724</v>
      </c>
      <c r="BE28">
        <v>4855</v>
      </c>
      <c r="BF28">
        <v>782</v>
      </c>
      <c r="BG28">
        <v>7395</v>
      </c>
      <c r="BH28" s="32">
        <f>CAFOs!BI275</f>
        <v>850000</v>
      </c>
      <c r="BI28">
        <v>4134</v>
      </c>
      <c r="BJ28">
        <v>2485</v>
      </c>
      <c r="BK28">
        <v>82637</v>
      </c>
    </row>
    <row r="29" spans="1:64" x14ac:dyDescent="0.45">
      <c r="A29" t="s">
        <v>587</v>
      </c>
      <c r="B29" s="20">
        <v>0</v>
      </c>
      <c r="C29">
        <v>98</v>
      </c>
      <c r="D29">
        <v>0</v>
      </c>
      <c r="E29">
        <v>126</v>
      </c>
      <c r="F29">
        <v>153</v>
      </c>
      <c r="G29">
        <v>118</v>
      </c>
      <c r="H29">
        <v>665</v>
      </c>
      <c r="I29">
        <v>256</v>
      </c>
      <c r="J29">
        <v>424</v>
      </c>
      <c r="K29">
        <v>48</v>
      </c>
      <c r="L29">
        <v>393</v>
      </c>
      <c r="M29" s="20">
        <v>0</v>
      </c>
      <c r="N29">
        <v>562</v>
      </c>
      <c r="O29">
        <v>963</v>
      </c>
      <c r="P29" s="20">
        <v>0</v>
      </c>
      <c r="Q29">
        <v>583</v>
      </c>
      <c r="R29">
        <v>78</v>
      </c>
      <c r="S29">
        <v>21</v>
      </c>
      <c r="T29">
        <v>258</v>
      </c>
      <c r="U29">
        <v>83</v>
      </c>
      <c r="V29">
        <v>0</v>
      </c>
      <c r="W29">
        <v>89</v>
      </c>
      <c r="X29">
        <v>149</v>
      </c>
      <c r="Y29">
        <v>0</v>
      </c>
      <c r="Z29">
        <v>46</v>
      </c>
      <c r="AA29">
        <v>75</v>
      </c>
      <c r="AB29">
        <v>332</v>
      </c>
      <c r="AC29">
        <v>189</v>
      </c>
      <c r="AD29">
        <v>252</v>
      </c>
      <c r="AE29">
        <v>0</v>
      </c>
      <c r="AF29">
        <v>0</v>
      </c>
      <c r="AG29">
        <v>280</v>
      </c>
      <c r="AH29">
        <v>131</v>
      </c>
      <c r="AI29" s="32">
        <f>CAFOs!BG446</f>
        <v>250000</v>
      </c>
      <c r="AJ29">
        <v>116</v>
      </c>
      <c r="AK29">
        <v>87</v>
      </c>
      <c r="AL29" s="20">
        <v>0</v>
      </c>
      <c r="AM29">
        <v>274</v>
      </c>
      <c r="AN29">
        <v>122</v>
      </c>
      <c r="AO29">
        <v>12</v>
      </c>
      <c r="AP29">
        <v>0</v>
      </c>
      <c r="AQ29">
        <v>354</v>
      </c>
      <c r="AR29">
        <v>0</v>
      </c>
      <c r="AS29">
        <v>0</v>
      </c>
      <c r="AT29">
        <v>243</v>
      </c>
      <c r="AU29" s="20">
        <v>0</v>
      </c>
      <c r="AV29">
        <v>247</v>
      </c>
      <c r="AW29" s="20">
        <v>0</v>
      </c>
      <c r="AX29">
        <v>1259</v>
      </c>
      <c r="AY29">
        <v>726</v>
      </c>
      <c r="AZ29">
        <v>213</v>
      </c>
      <c r="BA29">
        <v>5190</v>
      </c>
      <c r="BB29" s="20">
        <v>0</v>
      </c>
      <c r="BC29">
        <v>211</v>
      </c>
      <c r="BD29">
        <v>59</v>
      </c>
      <c r="BE29">
        <v>349</v>
      </c>
      <c r="BF29" s="20">
        <v>0</v>
      </c>
      <c r="BG29">
        <v>1146</v>
      </c>
      <c r="BH29">
        <v>57</v>
      </c>
      <c r="BI29" s="20">
        <v>0</v>
      </c>
      <c r="BJ29">
        <v>125</v>
      </c>
      <c r="BK29">
        <v>137</v>
      </c>
    </row>
    <row r="30" spans="1:64" x14ac:dyDescent="0.45">
      <c r="A30" t="s">
        <v>586</v>
      </c>
      <c r="B30">
        <v>516</v>
      </c>
      <c r="C30">
        <v>692</v>
      </c>
      <c r="D30">
        <v>0</v>
      </c>
      <c r="E30">
        <v>328</v>
      </c>
      <c r="F30">
        <v>1842</v>
      </c>
      <c r="G30">
        <v>1731</v>
      </c>
      <c r="H30">
        <v>4228</v>
      </c>
      <c r="I30">
        <v>269</v>
      </c>
      <c r="J30">
        <v>801</v>
      </c>
      <c r="K30">
        <v>523</v>
      </c>
      <c r="L30">
        <v>13180</v>
      </c>
      <c r="M30" s="20">
        <v>0</v>
      </c>
      <c r="N30" s="20">
        <v>0</v>
      </c>
      <c r="O30">
        <v>23649</v>
      </c>
      <c r="P30" s="20">
        <v>0</v>
      </c>
      <c r="Q30">
        <v>2450</v>
      </c>
      <c r="R30">
        <v>416</v>
      </c>
      <c r="S30" s="20">
        <v>0</v>
      </c>
      <c r="T30">
        <v>580</v>
      </c>
      <c r="U30">
        <v>582</v>
      </c>
      <c r="V30">
        <v>0</v>
      </c>
      <c r="W30">
        <v>6600</v>
      </c>
      <c r="X30">
        <v>996</v>
      </c>
      <c r="Y30">
        <v>0</v>
      </c>
      <c r="Z30">
        <v>985</v>
      </c>
      <c r="AA30">
        <v>212</v>
      </c>
      <c r="AB30">
        <v>3337</v>
      </c>
      <c r="AC30" s="20">
        <v>0</v>
      </c>
      <c r="AD30">
        <v>1070</v>
      </c>
      <c r="AE30">
        <v>0</v>
      </c>
      <c r="AF30">
        <v>0</v>
      </c>
      <c r="AG30">
        <v>1552</v>
      </c>
      <c r="AH30">
        <v>3362</v>
      </c>
      <c r="AI30">
        <v>378</v>
      </c>
      <c r="AJ30">
        <v>1817</v>
      </c>
      <c r="AK30">
        <v>2018</v>
      </c>
      <c r="AL30" s="20">
        <v>0</v>
      </c>
      <c r="AM30">
        <v>2298</v>
      </c>
      <c r="AN30">
        <v>2294</v>
      </c>
      <c r="AO30">
        <v>112</v>
      </c>
      <c r="AP30">
        <v>0</v>
      </c>
      <c r="AQ30">
        <v>3767</v>
      </c>
      <c r="AR30">
        <v>0</v>
      </c>
      <c r="AS30">
        <v>0</v>
      </c>
      <c r="AT30">
        <v>627</v>
      </c>
      <c r="AU30" s="20">
        <v>0</v>
      </c>
      <c r="AV30">
        <v>13514</v>
      </c>
      <c r="AW30">
        <v>2506</v>
      </c>
      <c r="AX30">
        <v>54125</v>
      </c>
      <c r="AY30">
        <v>2199</v>
      </c>
      <c r="AZ30">
        <v>2037</v>
      </c>
      <c r="BA30" s="20">
        <v>0</v>
      </c>
      <c r="BB30" s="31">
        <f>CAFOs!BJ203</f>
        <v>350000</v>
      </c>
      <c r="BC30">
        <v>1030</v>
      </c>
      <c r="BD30">
        <v>725</v>
      </c>
      <c r="BE30">
        <v>3814</v>
      </c>
      <c r="BF30" s="20">
        <v>0</v>
      </c>
      <c r="BG30" s="20">
        <v>0</v>
      </c>
      <c r="BH30">
        <v>880</v>
      </c>
      <c r="BI30">
        <v>12870</v>
      </c>
      <c r="BJ30">
        <v>2708</v>
      </c>
      <c r="BK30">
        <v>488</v>
      </c>
    </row>
    <row r="31" spans="1:64" x14ac:dyDescent="0.45">
      <c r="A31" t="s">
        <v>588</v>
      </c>
      <c r="B31">
        <v>30</v>
      </c>
      <c r="C31" s="20">
        <v>0</v>
      </c>
      <c r="D31">
        <v>0</v>
      </c>
      <c r="E31">
        <v>56</v>
      </c>
      <c r="F31">
        <v>344</v>
      </c>
      <c r="G31">
        <v>227</v>
      </c>
      <c r="H31">
        <v>1309</v>
      </c>
      <c r="I31">
        <v>26</v>
      </c>
      <c r="J31">
        <v>261</v>
      </c>
      <c r="K31">
        <v>134</v>
      </c>
      <c r="L31">
        <v>394</v>
      </c>
      <c r="M31" s="20">
        <v>0</v>
      </c>
      <c r="N31">
        <v>337</v>
      </c>
      <c r="O31">
        <v>1999</v>
      </c>
      <c r="P31" s="20">
        <v>0</v>
      </c>
      <c r="Q31">
        <v>581</v>
      </c>
      <c r="R31" s="20">
        <v>0</v>
      </c>
      <c r="S31">
        <v>0</v>
      </c>
      <c r="T31">
        <v>107</v>
      </c>
      <c r="U31">
        <v>54</v>
      </c>
      <c r="V31">
        <v>0</v>
      </c>
      <c r="W31">
        <v>79</v>
      </c>
      <c r="X31">
        <v>224</v>
      </c>
      <c r="Y31">
        <v>0</v>
      </c>
      <c r="Z31">
        <v>30</v>
      </c>
      <c r="AA31">
        <v>126</v>
      </c>
      <c r="AB31">
        <v>349</v>
      </c>
      <c r="AC31">
        <v>181</v>
      </c>
      <c r="AD31">
        <v>251</v>
      </c>
      <c r="AE31">
        <v>0</v>
      </c>
      <c r="AF31">
        <v>0</v>
      </c>
      <c r="AG31" s="20">
        <v>0</v>
      </c>
      <c r="AH31">
        <v>163</v>
      </c>
      <c r="AI31" s="20">
        <v>0</v>
      </c>
      <c r="AJ31">
        <v>212</v>
      </c>
      <c r="AK31" s="20">
        <v>0</v>
      </c>
      <c r="AL31">
        <v>62</v>
      </c>
      <c r="AM31" s="20">
        <v>0</v>
      </c>
      <c r="AN31" s="20">
        <v>0</v>
      </c>
      <c r="AO31" s="20">
        <v>0</v>
      </c>
      <c r="AP31">
        <v>0</v>
      </c>
      <c r="AQ31">
        <v>1088</v>
      </c>
      <c r="AR31">
        <v>0</v>
      </c>
      <c r="AS31">
        <v>0</v>
      </c>
      <c r="AT31">
        <v>161</v>
      </c>
      <c r="AU31">
        <v>0</v>
      </c>
      <c r="AV31">
        <v>360</v>
      </c>
      <c r="AW31" s="20">
        <v>0</v>
      </c>
      <c r="AX31">
        <v>2057</v>
      </c>
      <c r="AY31">
        <v>212</v>
      </c>
      <c r="AZ31">
        <v>99</v>
      </c>
      <c r="BA31">
        <v>4534</v>
      </c>
      <c r="BB31" s="20">
        <v>0</v>
      </c>
      <c r="BC31">
        <v>122</v>
      </c>
      <c r="BD31" s="20">
        <v>0</v>
      </c>
      <c r="BE31">
        <v>410</v>
      </c>
      <c r="BF31" s="20">
        <v>0</v>
      </c>
      <c r="BG31" s="20">
        <v>0</v>
      </c>
      <c r="BH31">
        <v>127</v>
      </c>
      <c r="BI31">
        <v>2819</v>
      </c>
      <c r="BJ31">
        <v>268</v>
      </c>
      <c r="BK31">
        <v>632</v>
      </c>
    </row>
    <row r="37" spans="1:63" x14ac:dyDescent="0.45">
      <c r="A37" t="str" cm="1">
        <f t="array" ref="A37:BK42">TRANSPOSE(temp!O6:T68)</f>
        <v>NAME</v>
      </c>
      <c r="B37" t="str">
        <v>Albany</v>
      </c>
      <c r="C37" t="str">
        <v>Allegany</v>
      </c>
      <c r="D37" t="str">
        <v>Bronx</v>
      </c>
      <c r="E37" t="str">
        <v>Broome</v>
      </c>
      <c r="F37" t="str">
        <v>Cattaraugus</v>
      </c>
      <c r="G37" t="str">
        <v>Cayuga</v>
      </c>
      <c r="H37" t="str">
        <v>Chautauqua</v>
      </c>
      <c r="I37" t="str">
        <v>Chemung</v>
      </c>
      <c r="J37" t="str">
        <v>Chenango</v>
      </c>
      <c r="K37" t="str">
        <v>Clinton</v>
      </c>
      <c r="L37" t="str">
        <v>Columbia</v>
      </c>
      <c r="M37" t="str">
        <v>Cortland</v>
      </c>
      <c r="N37" t="str">
        <v>Delaware</v>
      </c>
      <c r="O37" t="str">
        <v>Dutchess</v>
      </c>
      <c r="P37" t="str">
        <v>Erie</v>
      </c>
      <c r="Q37" t="str">
        <v>Essex</v>
      </c>
      <c r="R37" t="str">
        <v>Franklin</v>
      </c>
      <c r="S37" t="str">
        <v>Fulton</v>
      </c>
      <c r="T37" t="str">
        <v>Genesee</v>
      </c>
      <c r="U37" t="str">
        <v>Greene</v>
      </c>
      <c r="V37" t="str">
        <v>Hamilton</v>
      </c>
      <c r="W37" t="str">
        <v>Herkimer</v>
      </c>
      <c r="X37" t="str">
        <v>Jefferson</v>
      </c>
      <c r="Y37" t="str">
        <v>Kings</v>
      </c>
      <c r="Z37" t="str">
        <v>Lewis</v>
      </c>
      <c r="AA37" t="str">
        <v>Livingston</v>
      </c>
      <c r="AB37" t="str">
        <v>Madison</v>
      </c>
      <c r="AC37" t="str">
        <v>Monroe</v>
      </c>
      <c r="AD37" t="str">
        <v>Montgomery</v>
      </c>
      <c r="AE37" t="str">
        <v>Nassau</v>
      </c>
      <c r="AF37" t="str">
        <v>New York</v>
      </c>
      <c r="AG37" t="str">
        <v>Niagara</v>
      </c>
      <c r="AH37" t="str">
        <v>Oneida</v>
      </c>
      <c r="AI37" t="str">
        <v>Onondaga</v>
      </c>
      <c r="AJ37" t="str">
        <v>Ontario</v>
      </c>
      <c r="AK37" t="str">
        <v>Orange</v>
      </c>
      <c r="AL37" t="str">
        <v>Orleans</v>
      </c>
      <c r="AM37" t="str">
        <v>Oswego</v>
      </c>
      <c r="AN37" t="str">
        <v>Otsego</v>
      </c>
      <c r="AO37" t="str">
        <v>Putnam</v>
      </c>
      <c r="AP37" t="str">
        <v>Queens</v>
      </c>
      <c r="AQ37" t="str">
        <v>Rensselaer</v>
      </c>
      <c r="AR37" t="str">
        <v>Richmond</v>
      </c>
      <c r="AS37" t="str">
        <v>Rockland</v>
      </c>
      <c r="AT37" t="str">
        <v>Saratoga</v>
      </c>
      <c r="AU37" t="str">
        <v>Schenectady</v>
      </c>
      <c r="AV37" t="str">
        <v>Schoharie</v>
      </c>
      <c r="AW37" t="str">
        <v>Schuyler</v>
      </c>
      <c r="AX37" t="str">
        <v>Seneca</v>
      </c>
      <c r="AY37" t="str">
        <v>St Lawrence</v>
      </c>
      <c r="AZ37" t="str">
        <v>Steuben</v>
      </c>
      <c r="BA37" t="str">
        <v>Suffolk</v>
      </c>
      <c r="BB37" t="str">
        <v>Sullivan</v>
      </c>
      <c r="BC37" t="str">
        <v>Tioga</v>
      </c>
      <c r="BD37" t="str">
        <v>Tompkins</v>
      </c>
      <c r="BE37" t="str">
        <v>Ulster</v>
      </c>
      <c r="BF37" t="str">
        <v>Warren</v>
      </c>
      <c r="BG37" t="str">
        <v>Washington</v>
      </c>
      <c r="BH37" t="str">
        <v>Wayne</v>
      </c>
      <c r="BI37" t="str">
        <v>Westchester</v>
      </c>
      <c r="BJ37" t="str">
        <v>Wyoming</v>
      </c>
      <c r="BK37" t="str">
        <v>Yates</v>
      </c>
    </row>
    <row r="38" spans="1:63" x14ac:dyDescent="0.45">
      <c r="A38" t="str">
        <v>_sum</v>
      </c>
      <c r="B38">
        <v>1811488718.0495901</v>
      </c>
      <c r="C38">
        <v>5097491315.8337498</v>
      </c>
      <c r="D38">
        <v>65767042.562271103</v>
      </c>
      <c r="E38">
        <v>3196813897.0212798</v>
      </c>
      <c r="F38">
        <v>7366869955.2497797</v>
      </c>
      <c r="G38">
        <v>4807569827.7873497</v>
      </c>
      <c r="H38">
        <v>9122173535.5388107</v>
      </c>
      <c r="I38">
        <v>1265055712.1902299</v>
      </c>
      <c r="J38">
        <v>3935766127.7448802</v>
      </c>
      <c r="K38">
        <v>5830306559.5661898</v>
      </c>
      <c r="L38">
        <v>2723079602.9040799</v>
      </c>
      <c r="M38">
        <v>1750640216.8679199</v>
      </c>
      <c r="N38">
        <v>8511268983.1814098</v>
      </c>
      <c r="O38">
        <v>3488364942.9197001</v>
      </c>
      <c r="P38">
        <v>6691969009.7194901</v>
      </c>
      <c r="Q38">
        <v>12626678161.288799</v>
      </c>
      <c r="R38">
        <v>11611246435.3064</v>
      </c>
      <c r="S38">
        <v>2009887123.7165599</v>
      </c>
      <c r="T38">
        <v>1759729586.8933201</v>
      </c>
      <c r="U38">
        <v>2648007472.5749798</v>
      </c>
      <c r="V38">
        <v>11302153073.7038</v>
      </c>
      <c r="W38">
        <v>10309585557.804399</v>
      </c>
      <c r="X38">
        <v>11468686792.001699</v>
      </c>
      <c r="Y38">
        <v>127153391.846466</v>
      </c>
      <c r="Z38">
        <v>7328562220.2185001</v>
      </c>
      <c r="AA38">
        <v>2631905875.1599398</v>
      </c>
      <c r="AB38">
        <v>2834404665.0007401</v>
      </c>
      <c r="AC38">
        <v>7750642001.8610897</v>
      </c>
      <c r="AD38">
        <v>1352705573.98121</v>
      </c>
      <c r="AE38">
        <v>1477884259.37135</v>
      </c>
      <c r="AF38">
        <v>38271481.807403497</v>
      </c>
      <c r="AG38">
        <v>5935076757.4958601</v>
      </c>
      <c r="AH38">
        <v>6368678241.1706696</v>
      </c>
      <c r="AI38">
        <v>3279930684.26052</v>
      </c>
      <c r="AJ38">
        <v>2639009687.8572001</v>
      </c>
      <c r="AK38">
        <v>3652830013.8923302</v>
      </c>
      <c r="AL38">
        <v>3547979125.1940899</v>
      </c>
      <c r="AM38">
        <v>8201443570.9138098</v>
      </c>
      <c r="AN38">
        <v>4840564041.49195</v>
      </c>
      <c r="AO38">
        <v>652054757.81324697</v>
      </c>
      <c r="AP38">
        <v>385309668.42312598</v>
      </c>
      <c r="AQ38">
        <v>2711373643.82302</v>
      </c>
      <c r="AR38">
        <v>158693223.048141</v>
      </c>
      <c r="AS38">
        <v>453176789.71656799</v>
      </c>
      <c r="AT38">
        <v>3635445031.37184</v>
      </c>
      <c r="AU38">
        <v>511073734.52613801</v>
      </c>
      <c r="AV38">
        <v>2314398188.05935</v>
      </c>
      <c r="AW38">
        <v>1015168633.6936001</v>
      </c>
      <c r="AX38">
        <v>1370953624.9016399</v>
      </c>
      <c r="AY38">
        <v>22882926556.362999</v>
      </c>
      <c r="AZ38">
        <v>7365380162.5129499</v>
      </c>
      <c r="BA38">
        <v>19963910597.331799</v>
      </c>
      <c r="BB38">
        <v>4769158185.1540804</v>
      </c>
      <c r="BC38">
        <v>1866641575.6824</v>
      </c>
      <c r="BD38">
        <v>1641833589.78688</v>
      </c>
      <c r="BE38">
        <v>5874784142.7595196</v>
      </c>
      <c r="BF38">
        <v>4365249500.5534801</v>
      </c>
      <c r="BG38">
        <v>4433920213.0993795</v>
      </c>
      <c r="BH38">
        <v>7663961528.4675703</v>
      </c>
      <c r="BI38">
        <v>1582020504.7820101</v>
      </c>
      <c r="BJ38">
        <v>2199317173.5408001</v>
      </c>
      <c r="BK38">
        <v>1088219139.2263401</v>
      </c>
    </row>
    <row r="39" spans="1:63" x14ac:dyDescent="0.45">
      <c r="A39" t="str">
        <v>_mean</v>
      </c>
      <c r="B39">
        <v>13366.257041398299</v>
      </c>
      <c r="C39">
        <v>19358.542138211102</v>
      </c>
      <c r="D39">
        <v>4498.1220547343601</v>
      </c>
      <c r="E39">
        <v>17574.6644952489</v>
      </c>
      <c r="F39">
        <v>21868.8438585365</v>
      </c>
      <c r="G39">
        <v>21432.321780126698</v>
      </c>
      <c r="H39">
        <v>23784.709803220099</v>
      </c>
      <c r="I39">
        <v>12106.2596864016</v>
      </c>
      <c r="J39">
        <v>17232.7306820595</v>
      </c>
      <c r="K39">
        <v>20522.239092866799</v>
      </c>
      <c r="L39">
        <v>16523.842077853798</v>
      </c>
      <c r="M39">
        <v>13734.281699822801</v>
      </c>
      <c r="N39">
        <v>22819.700259750301</v>
      </c>
      <c r="O39">
        <v>16633.518865337399</v>
      </c>
      <c r="P39">
        <v>21530.392708586998</v>
      </c>
      <c r="Q39">
        <v>25921.615572024399</v>
      </c>
      <c r="R39">
        <v>26909.8407027475</v>
      </c>
      <c r="S39">
        <v>14831.2545563771</v>
      </c>
      <c r="T39">
        <v>13946.847899672801</v>
      </c>
      <c r="U39">
        <v>15828.2772605141</v>
      </c>
      <c r="V39">
        <v>24600.006254837601</v>
      </c>
      <c r="W39">
        <v>27830.047828047202</v>
      </c>
      <c r="X39">
        <v>25719.1000020221</v>
      </c>
      <c r="Y39">
        <v>5146.2438014596901</v>
      </c>
      <c r="Z39">
        <v>22339.635851079998</v>
      </c>
      <c r="AA39">
        <v>16153.7972304327</v>
      </c>
      <c r="AB39">
        <v>16863.325807204499</v>
      </c>
      <c r="AC39">
        <v>22029.696418583801</v>
      </c>
      <c r="AD39">
        <v>12973.975177975</v>
      </c>
      <c r="AE39">
        <v>13009.7735820292</v>
      </c>
      <c r="AF39">
        <v>4458.9865789821197</v>
      </c>
      <c r="AG39">
        <v>20456.400194034599</v>
      </c>
      <c r="AH39">
        <v>19915.251122367099</v>
      </c>
      <c r="AI39">
        <v>16017.3199930681</v>
      </c>
      <c r="AJ39">
        <v>15662.0574126376</v>
      </c>
      <c r="AK39">
        <v>17154.510554259399</v>
      </c>
      <c r="AL39">
        <v>17183.244422890901</v>
      </c>
      <c r="AM39">
        <v>23023.211652505601</v>
      </c>
      <c r="AN39">
        <v>18751.410226431599</v>
      </c>
      <c r="AO39">
        <v>10422.203788332699</v>
      </c>
      <c r="AP39">
        <v>8438.8547367030806</v>
      </c>
      <c r="AQ39">
        <v>16029.8775832748</v>
      </c>
      <c r="AR39">
        <v>6082.9968969695401</v>
      </c>
      <c r="AS39">
        <v>8938.3982192616895</v>
      </c>
      <c r="AT39">
        <v>16941.906075373299</v>
      </c>
      <c r="AU39">
        <v>9588.4455174600498</v>
      </c>
      <c r="AV39">
        <v>14537.129178921299</v>
      </c>
      <c r="AW39">
        <v>11658.9561936512</v>
      </c>
      <c r="AX39">
        <v>13807.8481276855</v>
      </c>
      <c r="AY39">
        <v>31914.642814214501</v>
      </c>
      <c r="AZ39">
        <v>20622.767487184399</v>
      </c>
      <c r="BA39">
        <v>33080.106772358296</v>
      </c>
      <c r="BB39">
        <v>18835.017140734901</v>
      </c>
      <c r="BC39">
        <v>14047.3621384567</v>
      </c>
      <c r="BD39">
        <v>13130.782006821</v>
      </c>
      <c r="BE39">
        <v>19887.960292895299</v>
      </c>
      <c r="BF39">
        <v>18439.0805931996</v>
      </c>
      <c r="BG39">
        <v>20608.506684170901</v>
      </c>
      <c r="BH39">
        <v>21589.961993327899</v>
      </c>
      <c r="BI39">
        <v>12439.0283592176</v>
      </c>
      <c r="BJ39">
        <v>14487.1101990672</v>
      </c>
      <c r="BK39">
        <v>11384.5935035763</v>
      </c>
    </row>
    <row r="40" spans="1:63" x14ac:dyDescent="0.45">
      <c r="A40" t="str">
        <v>_median</v>
      </c>
      <c r="B40">
        <v>13754.8046875</v>
      </c>
      <c r="C40">
        <v>20403.369140625</v>
      </c>
      <c r="D40">
        <v>4646.091796875</v>
      </c>
      <c r="E40">
        <v>17780.48828125</v>
      </c>
      <c r="F40">
        <v>23066.7216796875</v>
      </c>
      <c r="G40">
        <v>21206.732421875</v>
      </c>
      <c r="H40">
        <v>24737.57421875</v>
      </c>
      <c r="I40">
        <v>12609.7001953125</v>
      </c>
      <c r="J40">
        <v>17807.955078125</v>
      </c>
      <c r="K40">
        <v>21199.529296875</v>
      </c>
      <c r="L40">
        <v>16647.154296875</v>
      </c>
      <c r="M40">
        <v>14178.7333984375</v>
      </c>
      <c r="N40">
        <v>23673.74609375</v>
      </c>
      <c r="O40">
        <v>16722.521484375</v>
      </c>
      <c r="P40">
        <v>22511.236328125</v>
      </c>
      <c r="Q40">
        <v>27234.521484375</v>
      </c>
      <c r="R40">
        <v>26489.490234375</v>
      </c>
      <c r="S40">
        <v>14535.1142578125</v>
      </c>
      <c r="T40">
        <v>14072.7724609375</v>
      </c>
      <c r="U40">
        <v>16073.3271484375</v>
      </c>
      <c r="V40">
        <v>23581.091796875</v>
      </c>
      <c r="W40">
        <v>29565.826171875</v>
      </c>
      <c r="X40">
        <v>26196.89453125</v>
      </c>
      <c r="Y40">
        <v>5188.60498046875</v>
      </c>
      <c r="Z40">
        <v>22799.1015625</v>
      </c>
      <c r="AA40">
        <v>16436.640625</v>
      </c>
      <c r="AB40">
        <v>16858.96484375</v>
      </c>
      <c r="AC40">
        <v>22916.703125</v>
      </c>
      <c r="AD40">
        <v>12765.3916015625</v>
      </c>
      <c r="AE40">
        <v>12391.4052734375</v>
      </c>
      <c r="AF40">
        <v>4381.02294921875</v>
      </c>
      <c r="AG40">
        <v>21211.7734375</v>
      </c>
      <c r="AH40">
        <v>19867.341796875</v>
      </c>
      <c r="AI40">
        <v>16499.70703125</v>
      </c>
      <c r="AJ40">
        <v>16273.83984375</v>
      </c>
      <c r="AK40">
        <v>17375.296875</v>
      </c>
      <c r="AL40">
        <v>17693.517578125</v>
      </c>
      <c r="AM40">
        <v>23892.73046875</v>
      </c>
      <c r="AN40">
        <v>19810.88671875</v>
      </c>
      <c r="AO40">
        <v>10203.5556640625</v>
      </c>
      <c r="AP40">
        <v>8640.9345703125</v>
      </c>
      <c r="AQ40">
        <v>16430.4453125</v>
      </c>
      <c r="AR40">
        <v>6227.66650390625</v>
      </c>
      <c r="AS40">
        <v>8845.3203125</v>
      </c>
      <c r="AT40">
        <v>17340.099609375</v>
      </c>
      <c r="AU40">
        <v>9360.419921875</v>
      </c>
      <c r="AV40">
        <v>15444.160644531201</v>
      </c>
      <c r="AW40">
        <v>12070.4794921875</v>
      </c>
      <c r="AX40">
        <v>14138.8212890625</v>
      </c>
      <c r="AY40">
        <v>32499.46875</v>
      </c>
      <c r="AZ40">
        <v>21331.6796875</v>
      </c>
      <c r="BA40">
        <v>30276.205078125</v>
      </c>
      <c r="BB40">
        <v>19921.849609375</v>
      </c>
      <c r="BC40">
        <v>14438.4716796875</v>
      </c>
      <c r="BD40">
        <v>14007.1396484375</v>
      </c>
      <c r="BE40">
        <v>20685.8671875</v>
      </c>
      <c r="BF40">
        <v>18809.013671875</v>
      </c>
      <c r="BG40">
        <v>20693.98828125</v>
      </c>
      <c r="BH40">
        <v>22380.58984375</v>
      </c>
      <c r="BI40">
        <v>12720.6455078125</v>
      </c>
      <c r="BJ40">
        <v>15294.26953125</v>
      </c>
      <c r="BK40">
        <v>11925.78515625</v>
      </c>
    </row>
    <row r="41" spans="1:63" x14ac:dyDescent="0.45">
      <c r="A41" t="str">
        <v>_min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45">
      <c r="A42" t="str">
        <v>_max</v>
      </c>
      <c r="B42">
        <v>23125.025390625</v>
      </c>
      <c r="C42">
        <v>36488.0546875</v>
      </c>
      <c r="D42">
        <v>9162.525390625</v>
      </c>
      <c r="E42">
        <v>40276.046875</v>
      </c>
      <c r="F42">
        <v>41730.125</v>
      </c>
      <c r="G42">
        <v>50785.234375</v>
      </c>
      <c r="H42">
        <v>44671.91796875</v>
      </c>
      <c r="I42">
        <v>22744.103515625</v>
      </c>
      <c r="J42">
        <v>33562.9609375</v>
      </c>
      <c r="K42">
        <v>39281.21875</v>
      </c>
      <c r="L42">
        <v>30561.564453125</v>
      </c>
      <c r="M42">
        <v>25516.8203125</v>
      </c>
      <c r="N42">
        <v>43966.83203125</v>
      </c>
      <c r="O42">
        <v>32356.287109375</v>
      </c>
      <c r="P42">
        <v>43205.14453125</v>
      </c>
      <c r="Q42">
        <v>47958.703125</v>
      </c>
      <c r="R42">
        <v>55701.9453125</v>
      </c>
      <c r="S42">
        <v>28726.517578125</v>
      </c>
      <c r="T42">
        <v>27046.94140625</v>
      </c>
      <c r="U42">
        <v>34948.10546875</v>
      </c>
      <c r="V42">
        <v>51917.6328125</v>
      </c>
      <c r="W42">
        <v>52507.6484375</v>
      </c>
      <c r="X42">
        <v>51852.7734375</v>
      </c>
      <c r="Y42">
        <v>10103.2724609375</v>
      </c>
      <c r="Z42">
        <v>45609.92578125</v>
      </c>
      <c r="AA42">
        <v>28986.923828125</v>
      </c>
      <c r="AB42">
        <v>32536.728515625</v>
      </c>
      <c r="AC42">
        <v>42897.203125</v>
      </c>
      <c r="AD42">
        <v>28387.07421875</v>
      </c>
      <c r="AE42">
        <v>30941.513671875</v>
      </c>
      <c r="AF42">
        <v>9949.41796875</v>
      </c>
      <c r="AG42">
        <v>37548.40234375</v>
      </c>
      <c r="AH42">
        <v>37351.41796875</v>
      </c>
      <c r="AI42">
        <v>28480.181640625</v>
      </c>
      <c r="AJ42">
        <v>30045.458984375</v>
      </c>
      <c r="AK42">
        <v>35423.4140625</v>
      </c>
      <c r="AL42">
        <v>33417.17578125</v>
      </c>
      <c r="AM42">
        <v>50795.4609375</v>
      </c>
      <c r="AN42">
        <v>32040.84765625</v>
      </c>
      <c r="AO42">
        <v>21082.009765625</v>
      </c>
      <c r="AP42">
        <v>15957.6171875</v>
      </c>
      <c r="AQ42">
        <v>31917.9453125</v>
      </c>
      <c r="AR42">
        <v>12444.701171875</v>
      </c>
      <c r="AS42">
        <v>19226.626953125</v>
      </c>
      <c r="AT42">
        <v>33835.49609375</v>
      </c>
      <c r="AU42">
        <v>20877.9296875</v>
      </c>
      <c r="AV42">
        <v>25529.587890625</v>
      </c>
      <c r="AW42">
        <v>22887.13671875</v>
      </c>
      <c r="AX42">
        <v>27920.53125</v>
      </c>
      <c r="AY42">
        <v>61061.875</v>
      </c>
      <c r="AZ42">
        <v>39242.8359375</v>
      </c>
      <c r="BA42">
        <v>84785.140625</v>
      </c>
      <c r="BB42">
        <v>34346.53125</v>
      </c>
      <c r="BC42">
        <v>26115.14453125</v>
      </c>
      <c r="BD42">
        <v>23033.701171875</v>
      </c>
      <c r="BE42">
        <v>36182.60546875</v>
      </c>
      <c r="BF42">
        <v>42248.453125</v>
      </c>
      <c r="BG42">
        <v>46373.72265625</v>
      </c>
      <c r="BH42">
        <v>47127.3046875</v>
      </c>
      <c r="BI42">
        <v>23392.291015625</v>
      </c>
      <c r="BJ42">
        <v>27979.001953125</v>
      </c>
      <c r="BK42">
        <v>22028.4140625</v>
      </c>
    </row>
    <row r="44" spans="1:63" x14ac:dyDescent="0.45">
      <c r="A44" t="s">
        <v>9330</v>
      </c>
      <c r="B44" t="str">
        <f>B37</f>
        <v>Albany</v>
      </c>
      <c r="C44" t="str">
        <f t="shared" ref="C44:BK44" si="3">C37</f>
        <v>Allegany</v>
      </c>
      <c r="D44" t="str">
        <f t="shared" si="3"/>
        <v>Bronx</v>
      </c>
      <c r="E44" t="str">
        <f t="shared" si="3"/>
        <v>Broome</v>
      </c>
      <c r="F44" t="str">
        <f t="shared" si="3"/>
        <v>Cattaraugus</v>
      </c>
      <c r="G44" t="str">
        <f t="shared" si="3"/>
        <v>Cayuga</v>
      </c>
      <c r="H44" t="str">
        <f t="shared" si="3"/>
        <v>Chautauqua</v>
      </c>
      <c r="I44" t="str">
        <f t="shared" si="3"/>
        <v>Chemung</v>
      </c>
      <c r="J44" t="str">
        <f t="shared" si="3"/>
        <v>Chenango</v>
      </c>
      <c r="K44" t="str">
        <f t="shared" si="3"/>
        <v>Clinton</v>
      </c>
      <c r="L44" t="str">
        <f t="shared" si="3"/>
        <v>Columbia</v>
      </c>
      <c r="M44" t="str">
        <f t="shared" si="3"/>
        <v>Cortland</v>
      </c>
      <c r="N44" t="str">
        <f t="shared" si="3"/>
        <v>Delaware</v>
      </c>
      <c r="O44" t="str">
        <f t="shared" si="3"/>
        <v>Dutchess</v>
      </c>
      <c r="P44" t="str">
        <f t="shared" si="3"/>
        <v>Erie</v>
      </c>
      <c r="Q44" t="str">
        <f t="shared" si="3"/>
        <v>Essex</v>
      </c>
      <c r="R44" t="str">
        <f t="shared" si="3"/>
        <v>Franklin</v>
      </c>
      <c r="S44" t="str">
        <f t="shared" si="3"/>
        <v>Fulton</v>
      </c>
      <c r="T44" t="str">
        <f t="shared" si="3"/>
        <v>Genesee</v>
      </c>
      <c r="U44" t="str">
        <f t="shared" si="3"/>
        <v>Greene</v>
      </c>
      <c r="V44" t="str">
        <f t="shared" si="3"/>
        <v>Hamilton</v>
      </c>
      <c r="W44" t="str">
        <f t="shared" si="3"/>
        <v>Herkimer</v>
      </c>
      <c r="X44" t="str">
        <f t="shared" si="3"/>
        <v>Jefferson</v>
      </c>
      <c r="Y44" t="str">
        <f t="shared" si="3"/>
        <v>Kings</v>
      </c>
      <c r="Z44" t="str">
        <f t="shared" si="3"/>
        <v>Lewis</v>
      </c>
      <c r="AA44" t="str">
        <f t="shared" si="3"/>
        <v>Livingston</v>
      </c>
      <c r="AB44" t="str">
        <f t="shared" si="3"/>
        <v>Madison</v>
      </c>
      <c r="AC44" t="str">
        <f t="shared" si="3"/>
        <v>Monroe</v>
      </c>
      <c r="AD44" t="str">
        <f t="shared" si="3"/>
        <v>Montgomery</v>
      </c>
      <c r="AE44" t="str">
        <f t="shared" si="3"/>
        <v>Nassau</v>
      </c>
      <c r="AF44" t="str">
        <f t="shared" si="3"/>
        <v>New York</v>
      </c>
      <c r="AG44" t="str">
        <f t="shared" si="3"/>
        <v>Niagara</v>
      </c>
      <c r="AH44" t="str">
        <f t="shared" si="3"/>
        <v>Oneida</v>
      </c>
      <c r="AI44" t="str">
        <f t="shared" si="3"/>
        <v>Onondaga</v>
      </c>
      <c r="AJ44" t="str">
        <f t="shared" si="3"/>
        <v>Ontario</v>
      </c>
      <c r="AK44" t="str">
        <f t="shared" si="3"/>
        <v>Orange</v>
      </c>
      <c r="AL44" t="str">
        <f t="shared" si="3"/>
        <v>Orleans</v>
      </c>
      <c r="AM44" t="str">
        <f t="shared" si="3"/>
        <v>Oswego</v>
      </c>
      <c r="AN44" t="str">
        <f t="shared" si="3"/>
        <v>Otsego</v>
      </c>
      <c r="AO44" t="str">
        <f t="shared" si="3"/>
        <v>Putnam</v>
      </c>
      <c r="AP44" t="str">
        <f t="shared" si="3"/>
        <v>Queens</v>
      </c>
      <c r="AQ44" t="str">
        <f t="shared" si="3"/>
        <v>Rensselaer</v>
      </c>
      <c r="AR44" t="str">
        <f t="shared" si="3"/>
        <v>Richmond</v>
      </c>
      <c r="AS44" t="str">
        <f t="shared" si="3"/>
        <v>Rockland</v>
      </c>
      <c r="AT44" t="str">
        <f t="shared" si="3"/>
        <v>Saratoga</v>
      </c>
      <c r="AU44" t="str">
        <f t="shared" si="3"/>
        <v>Schenectady</v>
      </c>
      <c r="AV44" t="str">
        <f t="shared" si="3"/>
        <v>Schoharie</v>
      </c>
      <c r="AW44" t="str">
        <f t="shared" si="3"/>
        <v>Schuyler</v>
      </c>
      <c r="AX44" t="str">
        <f t="shared" si="3"/>
        <v>Seneca</v>
      </c>
      <c r="AY44" t="str">
        <f t="shared" si="3"/>
        <v>St Lawrence</v>
      </c>
      <c r="AZ44" t="str">
        <f t="shared" si="3"/>
        <v>Steuben</v>
      </c>
      <c r="BA44" t="str">
        <f t="shared" si="3"/>
        <v>Suffolk</v>
      </c>
      <c r="BB44" t="str">
        <f t="shared" si="3"/>
        <v>Sullivan</v>
      </c>
      <c r="BC44" t="str">
        <f t="shared" si="3"/>
        <v>Tioga</v>
      </c>
      <c r="BD44" t="str">
        <f t="shared" si="3"/>
        <v>Tompkins</v>
      </c>
      <c r="BE44" t="str">
        <f t="shared" si="3"/>
        <v>Ulster</v>
      </c>
      <c r="BF44" t="str">
        <f t="shared" si="3"/>
        <v>Warren</v>
      </c>
      <c r="BG44" t="str">
        <f t="shared" si="3"/>
        <v>Washington</v>
      </c>
      <c r="BH44" t="str">
        <f t="shared" si="3"/>
        <v>Wayne</v>
      </c>
      <c r="BI44" t="str">
        <f t="shared" si="3"/>
        <v>Westchester</v>
      </c>
      <c r="BJ44" t="str">
        <f t="shared" si="3"/>
        <v>Wyoming</v>
      </c>
      <c r="BK44" t="str">
        <f t="shared" si="3"/>
        <v>Yates</v>
      </c>
    </row>
    <row r="45" spans="1:63" x14ac:dyDescent="0.45">
      <c r="A45" t="s">
        <v>9331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</row>
    <row r="46" spans="1:63" x14ac:dyDescent="0.45">
      <c r="A46" t="s">
        <v>9332</v>
      </c>
      <c r="B46">
        <v>2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2</v>
      </c>
      <c r="P46">
        <v>0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0</v>
      </c>
      <c r="AX46">
        <v>0</v>
      </c>
      <c r="AY46">
        <v>1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2</v>
      </c>
      <c r="BF46">
        <v>1</v>
      </c>
      <c r="BG46">
        <v>1</v>
      </c>
      <c r="BH46">
        <v>0</v>
      </c>
      <c r="BI46">
        <v>2</v>
      </c>
      <c r="BJ46">
        <v>0</v>
      </c>
      <c r="BK46">
        <v>0</v>
      </c>
    </row>
    <row r="47" spans="1:63" x14ac:dyDescent="0.45">
      <c r="A47" t="s">
        <v>9333</v>
      </c>
      <c r="B47">
        <v>3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3</v>
      </c>
      <c r="M47">
        <v>1</v>
      </c>
      <c r="N47">
        <v>3</v>
      </c>
      <c r="O47">
        <v>3</v>
      </c>
      <c r="P47">
        <v>0</v>
      </c>
      <c r="Q47">
        <v>2</v>
      </c>
      <c r="R47">
        <v>2</v>
      </c>
      <c r="S47">
        <v>2</v>
      </c>
      <c r="T47">
        <v>0</v>
      </c>
      <c r="U47">
        <v>3</v>
      </c>
      <c r="V47">
        <v>2</v>
      </c>
      <c r="W47">
        <v>2</v>
      </c>
      <c r="X47">
        <v>1</v>
      </c>
      <c r="Y47">
        <v>3</v>
      </c>
      <c r="Z47">
        <v>1</v>
      </c>
      <c r="AA47">
        <v>0</v>
      </c>
      <c r="AB47">
        <v>1</v>
      </c>
      <c r="AC47">
        <v>0</v>
      </c>
      <c r="AD47">
        <v>3</v>
      </c>
      <c r="AE47">
        <v>3</v>
      </c>
      <c r="AF47">
        <v>3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1</v>
      </c>
      <c r="AN47">
        <v>1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3</v>
      </c>
      <c r="AW47">
        <v>0</v>
      </c>
      <c r="AX47">
        <v>0</v>
      </c>
      <c r="AY47">
        <v>2</v>
      </c>
      <c r="AZ47">
        <v>0</v>
      </c>
      <c r="BA47">
        <v>3</v>
      </c>
      <c r="BB47">
        <v>3</v>
      </c>
      <c r="BC47">
        <v>0</v>
      </c>
      <c r="BD47">
        <v>0</v>
      </c>
      <c r="BE47">
        <v>3</v>
      </c>
      <c r="BF47">
        <v>2</v>
      </c>
      <c r="BG47">
        <v>2</v>
      </c>
      <c r="BH47">
        <v>0</v>
      </c>
      <c r="BI47">
        <v>3</v>
      </c>
      <c r="BJ47">
        <v>0</v>
      </c>
      <c r="BK47">
        <v>0</v>
      </c>
    </row>
    <row r="49" spans="1:36" ht="23.25" x14ac:dyDescent="0.45">
      <c r="B49" s="53" t="s">
        <v>9335</v>
      </c>
      <c r="C49" s="54"/>
      <c r="D49" s="54"/>
      <c r="E49" s="55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</row>
    <row r="50" spans="1:36" x14ac:dyDescent="0.45">
      <c r="B50" t="s">
        <v>9334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</row>
    <row r="51" spans="1:36" x14ac:dyDescent="0.45">
      <c r="B51">
        <v>0</v>
      </c>
      <c r="C51">
        <v>1</v>
      </c>
      <c r="D51">
        <v>2</v>
      </c>
      <c r="E51">
        <v>3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</row>
    <row r="52" spans="1:36" x14ac:dyDescent="0.45">
      <c r="A52" t="s">
        <v>517</v>
      </c>
      <c r="B52" s="22">
        <f t="shared" ref="B52:E54" si="4">SUMIF($B45:$BK45, B$51, $B$24:$BK$24)</f>
        <v>14601.046024119001</v>
      </c>
      <c r="C52" s="22">
        <f t="shared" si="4"/>
        <v>7504.1334585329987</v>
      </c>
      <c r="D52" s="22">
        <f t="shared" si="4"/>
        <v>0</v>
      </c>
      <c r="E52" s="22">
        <f t="shared" si="4"/>
        <v>0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</row>
    <row r="53" spans="1:36" x14ac:dyDescent="0.45">
      <c r="A53" t="s">
        <v>517</v>
      </c>
      <c r="B53" s="22">
        <f t="shared" si="4"/>
        <v>14601.046024119001</v>
      </c>
      <c r="C53" s="22">
        <f t="shared" si="4"/>
        <v>3263.3932719479999</v>
      </c>
      <c r="D53" s="22">
        <f t="shared" si="4"/>
        <v>4240.7401865850006</v>
      </c>
      <c r="E53" s="22">
        <f t="shared" si="4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</row>
    <row r="54" spans="1:36" x14ac:dyDescent="0.45">
      <c r="A54" t="s">
        <v>517</v>
      </c>
      <c r="B54" s="22">
        <f t="shared" si="4"/>
        <v>10183.598868113999</v>
      </c>
      <c r="C54" s="22">
        <f t="shared" si="4"/>
        <v>4455.5440078909996</v>
      </c>
      <c r="D54" s="22">
        <f t="shared" si="4"/>
        <v>4105.2444317230002</v>
      </c>
      <c r="E54" s="22">
        <f t="shared" si="4"/>
        <v>3360.7921749239999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spans="1:36" x14ac:dyDescent="0.4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</row>
    <row r="56" spans="1:36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</row>
    <row r="57" spans="1:36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</row>
    <row r="58" spans="1:36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</row>
    <row r="59" spans="1:36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</row>
    <row r="60" spans="1:36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</row>
    <row r="61" spans="1:36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</row>
    <row r="62" spans="1:36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</row>
    <row r="63" spans="1:36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</row>
    <row r="64" spans="1:36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</row>
    <row r="65" spans="2:36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spans="2:36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</row>
    <row r="67" spans="2:36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</row>
    <row r="68" spans="2:36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</row>
    <row r="69" spans="2:36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</row>
    <row r="70" spans="2:36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</row>
    <row r="71" spans="2:36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</row>
    <row r="72" spans="2:36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</row>
    <row r="73" spans="2:36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  <row r="74" spans="2:36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</row>
    <row r="75" spans="2:36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</row>
    <row r="76" spans="2:36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</row>
    <row r="77" spans="2:36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</row>
    <row r="78" spans="2:36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</row>
    <row r="79" spans="2:36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</row>
    <row r="80" spans="2:36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</row>
    <row r="81" spans="2:36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2:36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36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36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36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36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36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36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36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36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36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36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36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36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36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36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</sheetData>
  <mergeCells count="1">
    <mergeCell ref="B49:E4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6" t="s">
        <v>606</v>
      </c>
      <c r="B1" s="56"/>
      <c r="C1" s="56"/>
      <c r="D1" s="56"/>
      <c r="E1" s="56"/>
      <c r="F1" s="56"/>
      <c r="G1" s="56"/>
      <c r="H1" s="56"/>
      <c r="I1" s="56"/>
      <c r="J1" s="56"/>
      <c r="L1" t="s">
        <v>505</v>
      </c>
    </row>
    <row r="2" spans="1:12" x14ac:dyDescent="0.45">
      <c r="B2" s="56" t="s">
        <v>607</v>
      </c>
      <c r="C2" s="56"/>
      <c r="D2" s="56"/>
      <c r="E2" s="56" t="s">
        <v>608</v>
      </c>
      <c r="F2" s="56"/>
      <c r="G2" s="56"/>
      <c r="H2" s="56" t="s">
        <v>609</v>
      </c>
      <c r="I2" s="56"/>
      <c r="J2" s="56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57" t="s">
        <v>477</v>
      </c>
      <c r="H2" s="57"/>
      <c r="I2" s="57" t="s">
        <v>478</v>
      </c>
      <c r="J2" s="57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9831</v>
      </c>
      <c r="W72" t="s">
        <v>9834</v>
      </c>
      <c r="Z72" t="s">
        <v>9835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9836</v>
      </c>
    </row>
    <row r="83" spans="2:27" x14ac:dyDescent="0.45">
      <c r="C83" t="s">
        <v>9832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9836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9833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9836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Equations</vt:lpstr>
      <vt:lpstr>Conversion Factors</vt:lpstr>
      <vt:lpstr>Model Parameters</vt:lpstr>
      <vt:lpstr>ALCA Data</vt:lpstr>
      <vt:lpstr>CLCA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2023-05-02T17:31:40Z</dcterms:modified>
</cp:coreProperties>
</file>