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11760" tabRatio="907"/>
  </bookViews>
  <sheets>
    <sheet name="5.1" sheetId="33" r:id="rId1"/>
    <sheet name="5.2" sheetId="32" r:id="rId2"/>
    <sheet name="5.3" sheetId="6" r:id="rId3"/>
    <sheet name="5.4" sheetId="5" r:id="rId4"/>
    <sheet name="5.5" sheetId="24" r:id="rId5"/>
    <sheet name="5.6-7" sheetId="12" r:id="rId6"/>
    <sheet name="5.8" sheetId="16" r:id="rId7"/>
    <sheet name="5.9" sheetId="15" r:id="rId8"/>
    <sheet name="5.10-11" sheetId="19" r:id="rId9"/>
    <sheet name="5.12-13" sheetId="18" r:id="rId10"/>
    <sheet name="5.14-15 " sheetId="41" r:id="rId11"/>
  </sheets>
  <externalReferences>
    <externalReference r:id="rId12"/>
  </externalReferences>
  <definedNames>
    <definedName name="_xlnm.Print_Area" localSheetId="0">'5.1'!$A$1:$F$57</definedName>
    <definedName name="_xlnm.Print_Area" localSheetId="8">'5.10-11'!$A$1:$F$45</definedName>
    <definedName name="_xlnm.Print_Area" localSheetId="9">'5.12-13'!$A$1:$F$97</definedName>
    <definedName name="_xlnm.Print_Area" localSheetId="10">'5.14-15 '!$A$1:$F$50</definedName>
    <definedName name="_xlnm.Print_Area" localSheetId="1">'5.2'!$A$1:$F$50</definedName>
    <definedName name="_xlnm.Print_Area" localSheetId="2">'5.3'!$A$1:$F$50</definedName>
    <definedName name="_xlnm.Print_Area" localSheetId="3">'5.4'!$A$1:$F$47</definedName>
    <definedName name="_xlnm.Print_Area" localSheetId="4">'5.5'!$A$1:$F$44</definedName>
    <definedName name="_xlnm.Print_Area" localSheetId="5">'5.6-7'!$A$1:$F$54</definedName>
    <definedName name="_xlnm.Print_Area" localSheetId="6">'5.8'!$A$1:$I$45</definedName>
    <definedName name="_xlnm.Print_Area" localSheetId="7">'5.9'!$A$1:$F$44</definedName>
  </definedNames>
  <calcPr calcId="145621"/>
</workbook>
</file>

<file path=xl/calcChain.xml><?xml version="1.0" encoding="utf-8"?>
<calcChain xmlns="http://schemas.openxmlformats.org/spreadsheetml/2006/main">
  <c r="C20" i="16" l="1"/>
  <c r="C14" i="16"/>
  <c r="H9" i="15" l="1"/>
  <c r="P9" i="32"/>
  <c r="F10" i="33" l="1"/>
  <c r="G20" i="16"/>
  <c r="E20" i="16"/>
  <c r="G14" i="16"/>
  <c r="E14" i="16"/>
  <c r="D29" i="33" l="1"/>
  <c r="D30" i="33"/>
  <c r="D10" i="33" l="1"/>
  <c r="I18" i="16"/>
  <c r="I17" i="16"/>
  <c r="I16" i="16"/>
  <c r="H18" i="16"/>
  <c r="H17" i="16"/>
  <c r="H16" i="16"/>
  <c r="J36" i="32"/>
  <c r="F18" i="16"/>
  <c r="F17" i="16"/>
  <c r="F16" i="16"/>
  <c r="D18" i="16"/>
  <c r="D17" i="16"/>
  <c r="D16" i="16"/>
  <c r="B18" i="16"/>
  <c r="B17" i="16"/>
  <c r="B16" i="16"/>
  <c r="I12" i="16"/>
  <c r="I11" i="16"/>
  <c r="I10" i="16"/>
  <c r="H12" i="16"/>
  <c r="H11" i="16"/>
  <c r="H10" i="16"/>
  <c r="B9" i="32"/>
  <c r="F12" i="16"/>
  <c r="G12" i="16" s="1"/>
  <c r="F11" i="16"/>
  <c r="G11" i="16"/>
  <c r="F10" i="16"/>
  <c r="G10" i="16" s="1"/>
  <c r="D11" i="16"/>
  <c r="D12" i="16"/>
  <c r="E11" i="16"/>
  <c r="E12" i="16"/>
  <c r="D10" i="16"/>
  <c r="E10" i="16" s="1"/>
  <c r="C12" i="16"/>
  <c r="C11" i="16"/>
  <c r="C10" i="16"/>
  <c r="B12" i="16"/>
  <c r="B11" i="16"/>
  <c r="B10" i="16"/>
  <c r="F14" i="32"/>
  <c r="D22" i="32"/>
  <c r="D29" i="32"/>
  <c r="D28" i="32"/>
  <c r="D15" i="33" s="1"/>
  <c r="D27" i="32"/>
  <c r="D14" i="33"/>
  <c r="D25" i="32"/>
  <c r="D16" i="18"/>
  <c r="E14" i="32"/>
  <c r="D17" i="32"/>
  <c r="C17" i="32"/>
  <c r="D13" i="32"/>
  <c r="C13" i="32"/>
  <c r="C14" i="33"/>
  <c r="C15" i="33"/>
  <c r="G18" i="16" l="1"/>
  <c r="E18" i="16"/>
  <c r="C18" i="16"/>
  <c r="G17" i="16"/>
  <c r="E17" i="16"/>
  <c r="C17" i="16"/>
  <c r="G16" i="16"/>
  <c r="E16" i="16"/>
  <c r="C16" i="16"/>
  <c r="E17" i="15"/>
  <c r="E27" i="32" s="1"/>
  <c r="D17" i="15"/>
  <c r="C17" i="15"/>
  <c r="C44" i="19" s="1"/>
  <c r="C42" i="19" s="1"/>
  <c r="C40" i="19" s="1"/>
  <c r="B17" i="15"/>
  <c r="B44" i="19" s="1"/>
  <c r="B42" i="19" s="1"/>
  <c r="B40" i="19" s="1"/>
  <c r="E8" i="15"/>
  <c r="E36" i="19" s="1"/>
  <c r="D8" i="15"/>
  <c r="C8" i="15"/>
  <c r="B8" i="15"/>
  <c r="E44" i="19"/>
  <c r="D44" i="19"/>
  <c r="D43" i="19"/>
  <c r="C43" i="19"/>
  <c r="B43" i="19"/>
  <c r="D42" i="19"/>
  <c r="E41" i="19"/>
  <c r="D41" i="19"/>
  <c r="C41" i="19"/>
  <c r="B41" i="19"/>
  <c r="D40" i="19"/>
  <c r="D36" i="19"/>
  <c r="C36" i="19"/>
  <c r="B36" i="19"/>
  <c r="B34" i="19" s="1"/>
  <c r="B32" i="19" s="1"/>
  <c r="D35" i="19"/>
  <c r="C35" i="19"/>
  <c r="C34" i="19" s="1"/>
  <c r="B35" i="19"/>
  <c r="D34" i="19"/>
  <c r="D32" i="19" s="1"/>
  <c r="E33" i="19"/>
  <c r="D33" i="19"/>
  <c r="C33" i="19"/>
  <c r="B33" i="19"/>
  <c r="E16" i="19"/>
  <c r="E43" i="19" s="1"/>
  <c r="D16" i="19"/>
  <c r="C16" i="19"/>
  <c r="B16" i="19"/>
  <c r="E8" i="19"/>
  <c r="E35" i="19" s="1"/>
  <c r="D8" i="19"/>
  <c r="C8" i="19"/>
  <c r="B8" i="19"/>
  <c r="J50" i="18"/>
  <c r="K50" i="18"/>
  <c r="L50" i="18"/>
  <c r="M50" i="18"/>
  <c r="I50" i="18"/>
  <c r="F58" i="18"/>
  <c r="F10" i="32" s="1"/>
  <c r="E67" i="18"/>
  <c r="E22" i="32" s="1"/>
  <c r="D67" i="18"/>
  <c r="C67" i="18"/>
  <c r="B67" i="18"/>
  <c r="E64" i="18"/>
  <c r="E29" i="32" s="1"/>
  <c r="D64" i="18"/>
  <c r="C64" i="18"/>
  <c r="B64" i="18"/>
  <c r="D63" i="18"/>
  <c r="C63" i="18"/>
  <c r="B63" i="18"/>
  <c r="E58" i="18"/>
  <c r="D58" i="18"/>
  <c r="C58" i="18"/>
  <c r="B58" i="18"/>
  <c r="E55" i="18"/>
  <c r="D55" i="18"/>
  <c r="C55" i="18"/>
  <c r="B55" i="18"/>
  <c r="D54" i="18"/>
  <c r="C54" i="18"/>
  <c r="B54" i="18"/>
  <c r="D17" i="18"/>
  <c r="C17" i="18"/>
  <c r="B17" i="18"/>
  <c r="E16" i="18"/>
  <c r="E25" i="32" s="1"/>
  <c r="C16" i="18"/>
  <c r="B16" i="18"/>
  <c r="D8" i="18"/>
  <c r="C8" i="18"/>
  <c r="B8" i="18"/>
  <c r="E7" i="18"/>
  <c r="D7" i="18"/>
  <c r="C7" i="18"/>
  <c r="B7" i="18"/>
  <c r="C26" i="41"/>
  <c r="C24" i="41" s="1"/>
  <c r="C25" i="41"/>
  <c r="B25" i="41"/>
  <c r="B24" i="41" s="1"/>
  <c r="C14" i="41"/>
  <c r="C16" i="41" s="1"/>
  <c r="C12" i="41"/>
  <c r="B12" i="41"/>
  <c r="B14" i="41" s="1"/>
  <c r="B16" i="41" s="1"/>
  <c r="E9" i="41"/>
  <c r="D9" i="41"/>
  <c r="C9" i="41"/>
  <c r="B9" i="41"/>
  <c r="E63" i="18" l="1"/>
  <c r="E54" i="18"/>
  <c r="E42" i="19"/>
  <c r="E34" i="19"/>
  <c r="F19" i="16"/>
  <c r="G19" i="16" s="1"/>
  <c r="E40" i="19"/>
  <c r="D19" i="16" s="1"/>
  <c r="E19" i="16" s="1"/>
  <c r="F13" i="16"/>
  <c r="G13" i="16" s="1"/>
  <c r="E32" i="19"/>
  <c r="D13" i="16" s="1"/>
  <c r="E13" i="16" s="1"/>
  <c r="C10" i="33"/>
  <c r="C32" i="19"/>
  <c r="F67" i="18"/>
  <c r="F22" i="32" s="1"/>
  <c r="F64" i="18"/>
  <c r="F55" i="18"/>
  <c r="F63" i="18" l="1"/>
  <c r="F29" i="32"/>
  <c r="F54" i="18"/>
  <c r="F9" i="41" l="1"/>
  <c r="J12" i="41"/>
  <c r="J15" i="41"/>
  <c r="B13" i="32"/>
  <c r="E13" i="32"/>
  <c r="F7" i="18"/>
  <c r="F13" i="32" s="1"/>
  <c r="F12" i="32" s="1"/>
  <c r="F11" i="32" s="1"/>
  <c r="F16" i="18"/>
  <c r="F25" i="32" s="1"/>
  <c r="I54" i="18"/>
  <c r="J54" i="18"/>
  <c r="K54" i="18"/>
  <c r="L54" i="18"/>
  <c r="M54" i="18"/>
  <c r="L63" i="18"/>
  <c r="J14" i="41"/>
  <c r="I55" i="18"/>
  <c r="J55" i="18"/>
  <c r="K55" i="18"/>
  <c r="L55" i="18"/>
  <c r="M55" i="18"/>
  <c r="I56" i="18"/>
  <c r="J56" i="18"/>
  <c r="K56" i="18"/>
  <c r="L56" i="18"/>
  <c r="M56" i="18"/>
  <c r="I61" i="18"/>
  <c r="L61" i="18"/>
  <c r="M61" i="18"/>
  <c r="J61" i="18"/>
  <c r="K61" i="18"/>
  <c r="I63" i="18"/>
  <c r="J63" i="18"/>
  <c r="J64" i="18" s="1"/>
  <c r="M63" i="18"/>
  <c r="F8" i="19"/>
  <c r="F35" i="19" s="1"/>
  <c r="F16" i="19"/>
  <c r="F43" i="19" s="1"/>
  <c r="F33" i="19"/>
  <c r="F41" i="19"/>
  <c r="F8" i="15"/>
  <c r="C8" i="12"/>
  <c r="D8" i="12"/>
  <c r="E8" i="12"/>
  <c r="F8" i="12"/>
  <c r="C9" i="12"/>
  <c r="D9" i="12"/>
  <c r="E9" i="12"/>
  <c r="F9" i="12"/>
  <c r="C10" i="12"/>
  <c r="D10" i="12"/>
  <c r="E10" i="12"/>
  <c r="F10" i="12"/>
  <c r="C11" i="12"/>
  <c r="D11" i="12"/>
  <c r="E11" i="12"/>
  <c r="F11" i="12"/>
  <c r="C12" i="12"/>
  <c r="D12" i="12"/>
  <c r="E12" i="12"/>
  <c r="F12" i="12"/>
  <c r="C13" i="12"/>
  <c r="D13" i="12"/>
  <c r="E13" i="12"/>
  <c r="F13" i="12"/>
  <c r="C14" i="12"/>
  <c r="D14" i="12"/>
  <c r="E14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C20" i="12"/>
  <c r="D20" i="12"/>
  <c r="E20" i="12"/>
  <c r="F20" i="12"/>
  <c r="C21" i="12"/>
  <c r="D21" i="12"/>
  <c r="E21" i="12"/>
  <c r="F21" i="12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35" i="12"/>
  <c r="D35" i="12"/>
  <c r="E35" i="12"/>
  <c r="F35" i="12"/>
  <c r="C36" i="12"/>
  <c r="D36" i="12"/>
  <c r="E36" i="12"/>
  <c r="F36" i="12"/>
  <c r="C37" i="12"/>
  <c r="D37" i="12"/>
  <c r="E37" i="12"/>
  <c r="F37" i="12"/>
  <c r="C38" i="12"/>
  <c r="D38" i="12"/>
  <c r="E38" i="12"/>
  <c r="F38" i="12"/>
  <c r="C39" i="12"/>
  <c r="D39" i="12"/>
  <c r="E39" i="12"/>
  <c r="F39" i="12"/>
  <c r="C40" i="12"/>
  <c r="D40" i="12"/>
  <c r="E40" i="12"/>
  <c r="F40" i="12"/>
  <c r="C41" i="12"/>
  <c r="D41" i="12"/>
  <c r="E41" i="12"/>
  <c r="F41" i="12"/>
  <c r="C42" i="12"/>
  <c r="D42" i="12"/>
  <c r="E42" i="12"/>
  <c r="F42" i="12"/>
  <c r="C43" i="12"/>
  <c r="D43" i="12"/>
  <c r="E43" i="12"/>
  <c r="F43" i="12"/>
  <c r="C44" i="12"/>
  <c r="D44" i="12"/>
  <c r="E44" i="12"/>
  <c r="F44" i="12"/>
  <c r="C45" i="12"/>
  <c r="D45" i="12"/>
  <c r="E45" i="12"/>
  <c r="F45" i="12"/>
  <c r="C46" i="12"/>
  <c r="D46" i="12"/>
  <c r="E46" i="12"/>
  <c r="F46" i="12"/>
  <c r="C47" i="12"/>
  <c r="D47" i="12"/>
  <c r="E47" i="12"/>
  <c r="F47" i="12"/>
  <c r="C48" i="12"/>
  <c r="D48" i="12"/>
  <c r="E48" i="12"/>
  <c r="F48" i="12"/>
  <c r="C49" i="12"/>
  <c r="D49" i="12"/>
  <c r="E49" i="12"/>
  <c r="F49" i="12"/>
  <c r="C50" i="12"/>
  <c r="D50" i="12"/>
  <c r="E50" i="12"/>
  <c r="F50" i="12"/>
  <c r="C51" i="12"/>
  <c r="D51" i="12"/>
  <c r="E51" i="12"/>
  <c r="F51" i="12"/>
  <c r="C52" i="12"/>
  <c r="D52" i="12"/>
  <c r="E52" i="12"/>
  <c r="F52" i="12"/>
  <c r="C53" i="12"/>
  <c r="D53" i="12"/>
  <c r="E53" i="12"/>
  <c r="F53" i="12"/>
  <c r="C7" i="24"/>
  <c r="D7" i="24"/>
  <c r="E7" i="24"/>
  <c r="F7" i="24"/>
  <c r="C8" i="24"/>
  <c r="D8" i="24"/>
  <c r="E8" i="24"/>
  <c r="F8" i="24"/>
  <c r="C9" i="24"/>
  <c r="D9" i="24"/>
  <c r="E9" i="24"/>
  <c r="F9" i="24"/>
  <c r="C10" i="24"/>
  <c r="D10" i="24"/>
  <c r="E10" i="24"/>
  <c r="F10" i="24"/>
  <c r="C11" i="24"/>
  <c r="D11" i="24"/>
  <c r="E11" i="24"/>
  <c r="F11" i="24"/>
  <c r="C12" i="24"/>
  <c r="D12" i="24"/>
  <c r="E12" i="24"/>
  <c r="F12" i="24"/>
  <c r="C13" i="24"/>
  <c r="D13" i="24"/>
  <c r="E13" i="24"/>
  <c r="F13" i="24"/>
  <c r="C14" i="24"/>
  <c r="D14" i="24"/>
  <c r="E14" i="24"/>
  <c r="F14" i="24"/>
  <c r="C15" i="24"/>
  <c r="D15" i="24"/>
  <c r="E15" i="24"/>
  <c r="F15" i="24"/>
  <c r="C16" i="24"/>
  <c r="D16" i="24"/>
  <c r="E16" i="24"/>
  <c r="F16" i="24"/>
  <c r="C17" i="24"/>
  <c r="D17" i="24"/>
  <c r="E17" i="24"/>
  <c r="F17" i="24"/>
  <c r="C18" i="24"/>
  <c r="D18" i="24"/>
  <c r="E18" i="24"/>
  <c r="F18" i="24"/>
  <c r="C19" i="24"/>
  <c r="D19" i="24"/>
  <c r="E19" i="24"/>
  <c r="F19" i="24"/>
  <c r="C20" i="24"/>
  <c r="D20" i="24"/>
  <c r="E20" i="24"/>
  <c r="F20" i="24"/>
  <c r="C21" i="24"/>
  <c r="D21" i="24"/>
  <c r="E21" i="24"/>
  <c r="F21" i="24"/>
  <c r="C22" i="24"/>
  <c r="D22" i="24"/>
  <c r="E22" i="24"/>
  <c r="F22" i="24"/>
  <c r="C23" i="24"/>
  <c r="D23" i="24"/>
  <c r="E23" i="24"/>
  <c r="F23" i="24"/>
  <c r="C24" i="24"/>
  <c r="D24" i="24"/>
  <c r="E24" i="24"/>
  <c r="F24" i="24"/>
  <c r="C25" i="24"/>
  <c r="D25" i="24"/>
  <c r="E25" i="24"/>
  <c r="F25" i="24"/>
  <c r="B8" i="5"/>
  <c r="C8" i="5"/>
  <c r="C34" i="12" s="1"/>
  <c r="D8" i="5"/>
  <c r="E8" i="5"/>
  <c r="O8" i="5" s="1"/>
  <c r="F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K32" i="5"/>
  <c r="R32" i="5" s="1"/>
  <c r="L33" i="5"/>
  <c r="L32" i="5" s="1"/>
  <c r="N33" i="5"/>
  <c r="R33" i="5"/>
  <c r="L34" i="5"/>
  <c r="N34" i="5"/>
  <c r="R34" i="5"/>
  <c r="L35" i="5"/>
  <c r="N35" i="5"/>
  <c r="R35" i="5"/>
  <c r="L36" i="5"/>
  <c r="L37" i="5"/>
  <c r="L38" i="5"/>
  <c r="L39" i="5"/>
  <c r="L40" i="5"/>
  <c r="L41" i="5"/>
  <c r="L42" i="5"/>
  <c r="L43" i="5"/>
  <c r="L44" i="5"/>
  <c r="L45" i="5"/>
  <c r="L46" i="5"/>
  <c r="L47" i="5"/>
  <c r="C48" i="5"/>
  <c r="L48" i="5"/>
  <c r="L49" i="5"/>
  <c r="C50" i="5"/>
  <c r="L50" i="5"/>
  <c r="L51" i="5"/>
  <c r="C52" i="5"/>
  <c r="B58" i="5"/>
  <c r="I59" i="5"/>
  <c r="I60" i="5"/>
  <c r="I61" i="5"/>
  <c r="B8" i="6"/>
  <c r="L9" i="5" s="1"/>
  <c r="L11" i="5" s="1"/>
  <c r="C8" i="6"/>
  <c r="D8" i="6"/>
  <c r="D9" i="32" s="1"/>
  <c r="E8" i="6"/>
  <c r="F8" i="6"/>
  <c r="I9" i="6"/>
  <c r="I10" i="6"/>
  <c r="I11" i="6"/>
  <c r="I13" i="6" s="1"/>
  <c r="N13" i="6" s="1"/>
  <c r="J12" i="6"/>
  <c r="I14" i="6"/>
  <c r="I15" i="6"/>
  <c r="N15" i="6"/>
  <c r="I16" i="6"/>
  <c r="I17" i="6"/>
  <c r="I18" i="6"/>
  <c r="I19" i="6"/>
  <c r="I20" i="6"/>
  <c r="N14" i="6" s="1"/>
  <c r="I21" i="6"/>
  <c r="I22" i="6"/>
  <c r="I23" i="6"/>
  <c r="I24" i="6"/>
  <c r="K31" i="6"/>
  <c r="T31" i="6"/>
  <c r="L32" i="6"/>
  <c r="N32" i="6"/>
  <c r="R32" i="6"/>
  <c r="S32" i="6"/>
  <c r="L33" i="6"/>
  <c r="N33" i="6"/>
  <c r="R33" i="6"/>
  <c r="S33" i="6"/>
  <c r="T33" i="6" s="1"/>
  <c r="L34" i="6"/>
  <c r="N34" i="6"/>
  <c r="R34" i="6"/>
  <c r="S34" i="6"/>
  <c r="T34" i="6" s="1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I62" i="6"/>
  <c r="I63" i="6"/>
  <c r="I64" i="6"/>
  <c r="J66" i="6"/>
  <c r="J67" i="6"/>
  <c r="J68" i="6"/>
  <c r="C9" i="32"/>
  <c r="B10" i="32"/>
  <c r="C10" i="32"/>
  <c r="D10" i="32"/>
  <c r="E10" i="32"/>
  <c r="B14" i="32"/>
  <c r="C14" i="32"/>
  <c r="C12" i="32" s="1"/>
  <c r="D14" i="32"/>
  <c r="B20" i="32"/>
  <c r="L17" i="32" s="1"/>
  <c r="C20" i="32"/>
  <c r="D20" i="32"/>
  <c r="B26" i="32"/>
  <c r="B24" i="32" s="1"/>
  <c r="C26" i="32"/>
  <c r="C24" i="32" s="1"/>
  <c r="D26" i="32"/>
  <c r="D24" i="32" s="1"/>
  <c r="E15" i="33"/>
  <c r="C17" i="33"/>
  <c r="D17" i="33"/>
  <c r="E17" i="33"/>
  <c r="F17" i="33"/>
  <c r="C18" i="33"/>
  <c r="D18" i="33"/>
  <c r="E18" i="33"/>
  <c r="F18" i="33"/>
  <c r="J33" i="33"/>
  <c r="K33" i="33"/>
  <c r="L33" i="33"/>
  <c r="M33" i="33"/>
  <c r="N33" i="33"/>
  <c r="J35" i="33"/>
  <c r="K35" i="33"/>
  <c r="L35" i="33"/>
  <c r="M35" i="33"/>
  <c r="N35" i="33"/>
  <c r="J37" i="33"/>
  <c r="K37" i="33"/>
  <c r="L37" i="33"/>
  <c r="J39" i="33"/>
  <c r="K39" i="33"/>
  <c r="L39" i="33"/>
  <c r="M39" i="33"/>
  <c r="N39" i="33"/>
  <c r="J43" i="33"/>
  <c r="K43" i="33"/>
  <c r="L43" i="33"/>
  <c r="M43" i="33"/>
  <c r="N43" i="33"/>
  <c r="J44" i="33"/>
  <c r="K44" i="33"/>
  <c r="L44" i="33"/>
  <c r="M44" i="33"/>
  <c r="N44" i="33"/>
  <c r="F21" i="32" l="1"/>
  <c r="B20" i="16"/>
  <c r="E21" i="32"/>
  <c r="B19" i="16"/>
  <c r="C19" i="16" s="1"/>
  <c r="E10" i="33" s="1"/>
  <c r="N17" i="6"/>
  <c r="F9" i="32"/>
  <c r="B14" i="16"/>
  <c r="E9" i="32"/>
  <c r="B13" i="16"/>
  <c r="C13" i="16" s="1"/>
  <c r="S34" i="5"/>
  <c r="T34" i="5" s="1"/>
  <c r="D6" i="24"/>
  <c r="O35" i="5"/>
  <c r="P35" i="5" s="1"/>
  <c r="O34" i="5"/>
  <c r="P34" i="5" s="1"/>
  <c r="M17" i="32"/>
  <c r="N18" i="32"/>
  <c r="N19" i="6"/>
  <c r="O31" i="6"/>
  <c r="P31" i="6" s="1"/>
  <c r="C29" i="33"/>
  <c r="C30" i="33"/>
  <c r="J13" i="5"/>
  <c r="E8" i="33"/>
  <c r="C8" i="33"/>
  <c r="M8" i="5"/>
  <c r="D8" i="33"/>
  <c r="F6" i="24"/>
  <c r="J18" i="41"/>
  <c r="F36" i="19"/>
  <c r="F34" i="19" s="1"/>
  <c r="F14" i="16" s="1"/>
  <c r="H14" i="15"/>
  <c r="H10" i="15"/>
  <c r="H13" i="15"/>
  <c r="H12" i="15"/>
  <c r="H11" i="15"/>
  <c r="O32" i="6"/>
  <c r="P32" i="6" s="1"/>
  <c r="C7" i="12"/>
  <c r="B56" i="5"/>
  <c r="C51" i="5"/>
  <c r="C49" i="5"/>
  <c r="N32" i="5"/>
  <c r="J15" i="5"/>
  <c r="N9" i="5"/>
  <c r="K52" i="18"/>
  <c r="J52" i="18"/>
  <c r="N17" i="32"/>
  <c r="O34" i="6"/>
  <c r="P34" i="6" s="1"/>
  <c r="T32" i="6"/>
  <c r="B59" i="5"/>
  <c r="B55" i="5"/>
  <c r="S33" i="5"/>
  <c r="T33" i="5" s="1"/>
  <c r="L8" i="5"/>
  <c r="L10" i="5" s="1"/>
  <c r="C6" i="24"/>
  <c r="M10" i="5"/>
  <c r="P8" i="5"/>
  <c r="P10" i="5" s="1"/>
  <c r="C16" i="33"/>
  <c r="F8" i="33"/>
  <c r="O33" i="6"/>
  <c r="P33" i="6" s="1"/>
  <c r="B57" i="5"/>
  <c r="P14" i="32"/>
  <c r="L52" i="18"/>
  <c r="F16" i="33"/>
  <c r="E16" i="33"/>
  <c r="D16" i="33"/>
  <c r="D8" i="32"/>
  <c r="J60" i="18"/>
  <c r="M60" i="18"/>
  <c r="I60" i="18"/>
  <c r="L64" i="18"/>
  <c r="M52" i="18"/>
  <c r="I52" i="18"/>
  <c r="B23" i="32"/>
  <c r="L23" i="32" s="1"/>
  <c r="L18" i="32"/>
  <c r="D12" i="32"/>
  <c r="D11" i="32" s="1"/>
  <c r="N14" i="32" s="1"/>
  <c r="C8" i="32"/>
  <c r="M18" i="32"/>
  <c r="E14" i="33"/>
  <c r="F17" i="15"/>
  <c r="F27" i="32" s="1"/>
  <c r="F26" i="32" s="1"/>
  <c r="F24" i="32" s="1"/>
  <c r="F23" i="32" s="1"/>
  <c r="C11" i="32"/>
  <c r="M14" i="32" s="1"/>
  <c r="M64" i="18"/>
  <c r="L60" i="18"/>
  <c r="C23" i="32"/>
  <c r="M23" i="32" s="1"/>
  <c r="I64" i="18"/>
  <c r="B12" i="32"/>
  <c r="D23" i="32"/>
  <c r="N23" i="32" s="1"/>
  <c r="J21" i="5"/>
  <c r="F34" i="12"/>
  <c r="K63" i="18"/>
  <c r="K64" i="18" s="1"/>
  <c r="I26" i="6"/>
  <c r="N20" i="6"/>
  <c r="I12" i="6"/>
  <c r="S35" i="5"/>
  <c r="T35" i="5" s="1"/>
  <c r="P9" i="5"/>
  <c r="N8" i="5"/>
  <c r="N10" i="5" s="1"/>
  <c r="E34" i="12"/>
  <c r="F7" i="12"/>
  <c r="I25" i="6"/>
  <c r="J11" i="6"/>
  <c r="O33" i="5"/>
  <c r="O9" i="5"/>
  <c r="D34" i="12"/>
  <c r="E7" i="12"/>
  <c r="I20" i="16"/>
  <c r="D7" i="12"/>
  <c r="B30" i="33"/>
  <c r="F15" i="33"/>
  <c r="O10" i="5"/>
  <c r="M9" i="5"/>
  <c r="M11" i="5" s="1"/>
  <c r="I61" i="6"/>
  <c r="J61" i="6" s="1"/>
  <c r="N22" i="6"/>
  <c r="N18" i="6"/>
  <c r="I58" i="5"/>
  <c r="J60" i="5" s="1"/>
  <c r="K60" i="5" s="1"/>
  <c r="E6" i="24"/>
  <c r="E12" i="32"/>
  <c r="L31" i="6"/>
  <c r="N21" i="6"/>
  <c r="H19" i="16" l="1"/>
  <c r="I19" i="16"/>
  <c r="E20" i="32"/>
  <c r="F20" i="32"/>
  <c r="P18" i="32" s="1"/>
  <c r="H20" i="16"/>
  <c r="I13" i="16"/>
  <c r="H13" i="16"/>
  <c r="E8" i="32"/>
  <c r="O10" i="32" s="1"/>
  <c r="F8" i="32"/>
  <c r="I14" i="16"/>
  <c r="H14" i="16"/>
  <c r="B29" i="33"/>
  <c r="B8" i="32"/>
  <c r="T36" i="6"/>
  <c r="M10" i="32"/>
  <c r="N9" i="32"/>
  <c r="O9" i="32"/>
  <c r="O11" i="5"/>
  <c r="B54" i="5"/>
  <c r="P22" i="32"/>
  <c r="H21" i="15"/>
  <c r="H20" i="15"/>
  <c r="H19" i="15"/>
  <c r="H22" i="15"/>
  <c r="P11" i="5"/>
  <c r="H23" i="15"/>
  <c r="J59" i="5"/>
  <c r="K59" i="5" s="1"/>
  <c r="F44" i="19"/>
  <c r="F42" i="19" s="1"/>
  <c r="L22" i="32"/>
  <c r="H18" i="15"/>
  <c r="M9" i="32"/>
  <c r="N10" i="32"/>
  <c r="P13" i="32"/>
  <c r="M22" i="32"/>
  <c r="E26" i="32"/>
  <c r="E24" i="32" s="1"/>
  <c r="F14" i="33"/>
  <c r="F32" i="19"/>
  <c r="D14" i="16" s="1"/>
  <c r="B11" i="32"/>
  <c r="L14" i="32" s="1"/>
  <c r="J61" i="5"/>
  <c r="K61" i="5" s="1"/>
  <c r="N13" i="32"/>
  <c r="J63" i="6"/>
  <c r="K63" i="6" s="1"/>
  <c r="E11" i="32"/>
  <c r="O14" i="32" s="1"/>
  <c r="O32" i="5"/>
  <c r="P33" i="5"/>
  <c r="K60" i="18"/>
  <c r="N22" i="32"/>
  <c r="N11" i="5"/>
  <c r="M13" i="32"/>
  <c r="J64" i="6"/>
  <c r="K64" i="6" s="1"/>
  <c r="J62" i="6"/>
  <c r="K62" i="6" s="1"/>
  <c r="F20" i="16" l="1"/>
  <c r="O18" i="32"/>
  <c r="O17" i="32"/>
  <c r="L10" i="32"/>
  <c r="L9" i="32"/>
  <c r="O23" i="32"/>
  <c r="P10" i="32"/>
  <c r="P17" i="32"/>
  <c r="E13" i="33"/>
  <c r="F40" i="19"/>
  <c r="P23" i="32"/>
  <c r="O13" i="32"/>
  <c r="C13" i="33"/>
  <c r="F13" i="33"/>
  <c r="D13" i="33"/>
  <c r="S32" i="5"/>
  <c r="T32" i="5" s="1"/>
  <c r="P32" i="5"/>
  <c r="L13" i="32"/>
  <c r="D20" i="16" l="1"/>
  <c r="O22" i="32"/>
</calcChain>
</file>

<file path=xl/sharedStrings.xml><?xml version="1.0" encoding="utf-8"?>
<sst xmlns="http://schemas.openxmlformats.org/spreadsheetml/2006/main" count="551" uniqueCount="240">
  <si>
    <t xml:space="preserve">    Importaciones de bienes y servicios</t>
  </si>
  <si>
    <t xml:space="preserve">   Exportaciones de bienes y servicios</t>
  </si>
  <si>
    <t>Producto interno bruto</t>
  </si>
  <si>
    <t xml:space="preserve">  Remuneración de trabajadores</t>
  </si>
  <si>
    <t xml:space="preserve">  Producto interno bruto a precios de mercado</t>
  </si>
  <si>
    <t xml:space="preserve">  Ingreso nacional bruto </t>
  </si>
  <si>
    <t xml:space="preserve">  Ingreso nacional bruto disponible</t>
  </si>
  <si>
    <t xml:space="preserve">  Ahorro nacional bruto</t>
  </si>
  <si>
    <t xml:space="preserve">  Formación bruta de capital</t>
  </si>
  <si>
    <t>Formación bruta de capital</t>
  </si>
  <si>
    <t xml:space="preserve">  Excedente bruto de operación</t>
  </si>
  <si>
    <t xml:space="preserve">  Impuestos netos sobre la producción e importación</t>
  </si>
  <si>
    <t xml:space="preserve">  Producto interno bruto a precios básicos</t>
  </si>
  <si>
    <t xml:space="preserve">     Producto</t>
  </si>
  <si>
    <t>Consumo</t>
  </si>
  <si>
    <t xml:space="preserve">   Tasa de</t>
  </si>
  <si>
    <t>Producto</t>
  </si>
  <si>
    <t>formación</t>
  </si>
  <si>
    <t>hogares</t>
  </si>
  <si>
    <t xml:space="preserve">    bruta </t>
  </si>
  <si>
    <t xml:space="preserve">   Per cápita</t>
  </si>
  <si>
    <t>Per cápita</t>
  </si>
  <si>
    <t>de capital</t>
  </si>
  <si>
    <t>(MMP)</t>
  </si>
  <si>
    <t xml:space="preserve">       (P)</t>
  </si>
  <si>
    <t xml:space="preserve">       (%)</t>
  </si>
  <si>
    <t>A precios constantes de 1997</t>
  </si>
  <si>
    <t>CONCEPTO</t>
  </si>
  <si>
    <t>Consumo de los hogares</t>
  </si>
  <si>
    <t xml:space="preserve">    Mercado estatal</t>
  </si>
  <si>
    <t xml:space="preserve">    Mercado agropecuario</t>
  </si>
  <si>
    <t xml:space="preserve">    Mercado de trabajadores por cuenta propia</t>
  </si>
  <si>
    <t xml:space="preserve">    Otras fuentes</t>
  </si>
  <si>
    <t xml:space="preserve">  Servicios públicos generales, económicos y otros</t>
  </si>
  <si>
    <t xml:space="preserve">  Educación</t>
  </si>
  <si>
    <t xml:space="preserve">  Sanidad</t>
  </si>
  <si>
    <t xml:space="preserve">  Asistencia social</t>
  </si>
  <si>
    <t xml:space="preserve">  Viviendas y ordenamiento urbano y rural</t>
  </si>
  <si>
    <t xml:space="preserve">  Cultura, Deporte y Recreación</t>
  </si>
  <si>
    <t xml:space="preserve">  Formación bruta de capital fijo</t>
  </si>
  <si>
    <t xml:space="preserve">     Construcción</t>
  </si>
  <si>
    <t xml:space="preserve">     Maquinarias y equipos</t>
  </si>
  <si>
    <t xml:space="preserve">     Otras inversiones</t>
  </si>
  <si>
    <t xml:space="preserve">     Reparaciones capitalizables</t>
  </si>
  <si>
    <t xml:space="preserve">  Variación de existencias</t>
  </si>
  <si>
    <t>Exportaciones menos importaciones</t>
  </si>
  <si>
    <t xml:space="preserve">    Exportaciones</t>
  </si>
  <si>
    <t xml:space="preserve">    Importaciones</t>
  </si>
  <si>
    <t>de la</t>
  </si>
  <si>
    <t>…</t>
  </si>
  <si>
    <t>final efectivo</t>
  </si>
  <si>
    <t>de los hogares</t>
  </si>
  <si>
    <t xml:space="preserve">de los </t>
  </si>
  <si>
    <t xml:space="preserve">             Millones de pesos</t>
  </si>
  <si>
    <t xml:space="preserve">              Millones de pesos</t>
  </si>
  <si>
    <t xml:space="preserve">       Bienes</t>
  </si>
  <si>
    <t xml:space="preserve">       Servicios</t>
  </si>
  <si>
    <t>Tasa de</t>
  </si>
  <si>
    <t>apertura</t>
  </si>
  <si>
    <t>economía</t>
  </si>
  <si>
    <t>Gasto</t>
  </si>
  <si>
    <t>consumo</t>
  </si>
  <si>
    <t>final</t>
  </si>
  <si>
    <t xml:space="preserve">Gasto </t>
  </si>
  <si>
    <t>total de</t>
  </si>
  <si>
    <t>consumo final</t>
  </si>
  <si>
    <t>Oferta global</t>
  </si>
  <si>
    <t xml:space="preserve">    Producto interno bruto a precios de mercado</t>
  </si>
  <si>
    <t>Demanda global</t>
  </si>
  <si>
    <t xml:space="preserve">    Demanda interna</t>
  </si>
  <si>
    <t xml:space="preserve">        Formación bruta de capital</t>
  </si>
  <si>
    <t xml:space="preserve">            Gobierno general</t>
  </si>
  <si>
    <t xml:space="preserve">            Hogares</t>
  </si>
  <si>
    <t>Consumo final efectivo del gobierno</t>
  </si>
  <si>
    <t>Consumo final efectivo de los hogares</t>
  </si>
  <si>
    <t xml:space="preserve">                  Millones de pesos</t>
  </si>
  <si>
    <t xml:space="preserve">    Por ciento</t>
  </si>
  <si>
    <t xml:space="preserve">                   Millones de pesos</t>
  </si>
  <si>
    <t xml:space="preserve">                         Millones de pesos</t>
  </si>
  <si>
    <t>Ahorro interno</t>
  </si>
  <si>
    <t>Transferencias de rentas netas</t>
  </si>
  <si>
    <t>Transferencias corrientes netas</t>
  </si>
  <si>
    <t>Ahorro nacional bruto</t>
  </si>
  <si>
    <t>Ahorro externo</t>
  </si>
  <si>
    <t xml:space="preserve">Sector externo </t>
  </si>
  <si>
    <t xml:space="preserve">    Cuenta corriente</t>
  </si>
  <si>
    <t xml:space="preserve">      Exportaciones de bienes y servicios</t>
  </si>
  <si>
    <t xml:space="preserve">      Importaciones de bienes y servicios</t>
  </si>
  <si>
    <t xml:space="preserve">         Gobierno general</t>
  </si>
  <si>
    <t xml:space="preserve">         Hogares</t>
  </si>
  <si>
    <t xml:space="preserve">      Formación bruta de capital</t>
  </si>
  <si>
    <t xml:space="preserve">  Ingresos y gastos del Estado</t>
  </si>
  <si>
    <t xml:space="preserve">    Efectivo en circulación</t>
  </si>
  <si>
    <t xml:space="preserve">     Egresos totales</t>
  </si>
  <si>
    <t xml:space="preserve">  Moneda</t>
  </si>
  <si>
    <t xml:space="preserve">Balanza de pagos </t>
  </si>
  <si>
    <t>Producto interno bruto a precios constantes</t>
  </si>
  <si>
    <t>Producto interno bruto por tipo de gasto a precios constantes</t>
  </si>
  <si>
    <t>interno</t>
  </si>
  <si>
    <t>bruto</t>
  </si>
  <si>
    <t xml:space="preserve">     interno</t>
  </si>
  <si>
    <t xml:space="preserve">      bruto</t>
  </si>
  <si>
    <t>Millones de pesos</t>
  </si>
  <si>
    <t xml:space="preserve">   De ello: Impuestos netos a productos e importaciones</t>
  </si>
  <si>
    <t xml:space="preserve">         Millones de pesos</t>
  </si>
  <si>
    <r>
      <rPr>
        <vertAlign val="superscript"/>
        <sz val="9"/>
        <rFont val="Arial"/>
        <family val="2"/>
      </rPr>
      <t xml:space="preserve">(a) </t>
    </r>
    <r>
      <rPr>
        <sz val="9"/>
        <rFont val="Arial"/>
        <family val="2"/>
      </rPr>
      <t xml:space="preserve"> En ambos mercados, empresarial y población.</t>
    </r>
  </si>
  <si>
    <r>
      <rPr>
        <vertAlign val="superscript"/>
        <sz val="9"/>
        <rFont val="Arial"/>
        <family val="2"/>
      </rPr>
      <t>(b)</t>
    </r>
    <r>
      <rPr>
        <sz val="9"/>
        <rFont val="Arial"/>
        <family val="2"/>
      </rPr>
      <t xml:space="preserve">  Mercado cambiario de la población, CADECA - Casas de Cambio -.</t>
    </r>
  </si>
  <si>
    <t xml:space="preserve"> Agricultura, ganadería y silvicultura </t>
  </si>
  <si>
    <t xml:space="preserve"> Pesca</t>
  </si>
  <si>
    <t xml:space="preserve"> Explotación de minas y canteras</t>
  </si>
  <si>
    <t xml:space="preserve"> Industria azucarera</t>
  </si>
  <si>
    <t xml:space="preserve"> Industrias manufactureras (excepto Industria  azucarera)</t>
  </si>
  <si>
    <t xml:space="preserve"> Construcción</t>
  </si>
  <si>
    <t xml:space="preserve"> Transportes, almacenamiento y comunicaciones</t>
  </si>
  <si>
    <t xml:space="preserve"> Comercio; reparación de efectos personales</t>
  </si>
  <si>
    <t xml:space="preserve"> Hoteles y restaurantes</t>
  </si>
  <si>
    <t xml:space="preserve"> Intermediación financiera</t>
  </si>
  <si>
    <t xml:space="preserve"> Servicios empresariales, actv. inmobiliarias  y de alquiler</t>
  </si>
  <si>
    <t xml:space="preserve"> Administración pública, defensa; seguridad social</t>
  </si>
  <si>
    <t xml:space="preserve"> Ciencia e innovación tecnológica</t>
  </si>
  <si>
    <t xml:space="preserve"> Educación</t>
  </si>
  <si>
    <t xml:space="preserve"> Salud pública y asistencia social</t>
  </si>
  <si>
    <t xml:space="preserve"> Cultura y deporte</t>
  </si>
  <si>
    <t xml:space="preserve"> Otras actv. de serv. comunales, de asociaciones y personales</t>
  </si>
  <si>
    <t xml:space="preserve"> Derechos de importación</t>
  </si>
  <si>
    <t xml:space="preserve"> Servicios empresariales, activ. Inmobiliarias  y de alquiler</t>
  </si>
  <si>
    <t xml:space="preserve"> Otras activ de serv comunales, de asociaciones y personales</t>
  </si>
  <si>
    <t xml:space="preserve">   Servicios individuales suministrados por el gobierno</t>
  </si>
  <si>
    <t xml:space="preserve">   En el mercado</t>
  </si>
  <si>
    <t>Consumo del gobierno e Instituciones sin fines de lucro</t>
  </si>
  <si>
    <t xml:space="preserve">    Deuda externa total</t>
  </si>
  <si>
    <r>
      <rPr>
        <vertAlign val="superscript"/>
        <sz val="9"/>
        <rFont val="Arial"/>
        <family val="2"/>
      </rPr>
      <t>(c)</t>
    </r>
    <r>
      <rPr>
        <sz val="9"/>
        <rFont val="Arial"/>
        <family val="2"/>
      </rPr>
      <t xml:space="preserve"> Se refiere a los mercados en moneda nacional.</t>
    </r>
  </si>
  <si>
    <t xml:space="preserve">    Balanza de bienes y servicios  </t>
  </si>
  <si>
    <r>
      <t xml:space="preserve">    Tipo de cambio (dólar por peso convertible) </t>
    </r>
    <r>
      <rPr>
        <vertAlign val="superscript"/>
        <sz val="9"/>
        <rFont val="Arial"/>
        <family val="2"/>
      </rPr>
      <t>(a)</t>
    </r>
  </si>
  <si>
    <t xml:space="preserve"> Suministro de electricidad, gas y agua</t>
  </si>
  <si>
    <t>Producto interno bruto a precios constantes per cápita</t>
  </si>
  <si>
    <t xml:space="preserve">      Consumo final</t>
  </si>
  <si>
    <t xml:space="preserve">        Consumo final</t>
  </si>
  <si>
    <t>Por ciento</t>
  </si>
  <si>
    <t>Consumo final</t>
  </si>
  <si>
    <t xml:space="preserve">  Más: Transferencias de rentas netas</t>
  </si>
  <si>
    <t xml:space="preserve">  Más: Transferencias corrientes netas</t>
  </si>
  <si>
    <t xml:space="preserve">Exportaciones menos importaciones </t>
  </si>
  <si>
    <t>ACTIVIDAD ECONÓMICA</t>
  </si>
  <si>
    <t>AÑOS</t>
  </si>
  <si>
    <t xml:space="preserve">    Oferta monetaria M2A</t>
  </si>
  <si>
    <t xml:space="preserve">    Ahorro ordinario</t>
  </si>
  <si>
    <t xml:space="preserve">     Ingresos netos totales</t>
  </si>
  <si>
    <t>Primario</t>
  </si>
  <si>
    <t>Secundario</t>
  </si>
  <si>
    <t>Terciario</t>
  </si>
  <si>
    <t xml:space="preserve"> Transportes, almacenamiento y comones</t>
  </si>
  <si>
    <t>Valor medio</t>
  </si>
  <si>
    <t>PIB</t>
  </si>
  <si>
    <t>Variación de existencias</t>
  </si>
  <si>
    <t>FBKF</t>
  </si>
  <si>
    <t>Saldo ext</t>
  </si>
  <si>
    <t>Empleo</t>
  </si>
  <si>
    <t>Corriente</t>
  </si>
  <si>
    <t>%</t>
  </si>
  <si>
    <t>100-M</t>
  </si>
  <si>
    <t>Trabajadores</t>
  </si>
  <si>
    <t>Primaria</t>
  </si>
  <si>
    <t>Secundaria</t>
  </si>
  <si>
    <t>Terciaria</t>
  </si>
  <si>
    <t>Servicios Básicos</t>
  </si>
  <si>
    <t>Otros Servicios</t>
  </si>
  <si>
    <t xml:space="preserve">5.8 - Selección de indicadores del Sistema de Cuentas Nacionales (SCN) </t>
  </si>
  <si>
    <t>actualizar los datos de empleo</t>
  </si>
  <si>
    <t>Educación</t>
  </si>
  <si>
    <t>Construcción</t>
  </si>
  <si>
    <t>Comercio; reparación de efectos personales</t>
  </si>
  <si>
    <t>Salud pública y asistencia social</t>
  </si>
  <si>
    <t xml:space="preserve">Industrias manufactureras </t>
  </si>
  <si>
    <t>PIB/Trab</t>
  </si>
  <si>
    <t>Importaciones</t>
  </si>
  <si>
    <t>Estructura de la Oferta Global. Precios Corrientes</t>
  </si>
  <si>
    <t>Estructura de la Demanda Global. Precios Corrientes</t>
  </si>
  <si>
    <t>Demanda int</t>
  </si>
  <si>
    <t>Exportaciones</t>
  </si>
  <si>
    <t>Estructura de la Oferta Global. Precios Constantes</t>
  </si>
  <si>
    <t>Estructura de la Demanda Global. Precios Constantes</t>
  </si>
  <si>
    <t>Millones de pesos (A precios corrientes)</t>
  </si>
  <si>
    <t>Estructura porcentual con relación al PIB (%)</t>
  </si>
  <si>
    <t>A precios corrientes</t>
  </si>
  <si>
    <t xml:space="preserve"> A Precios corrientes </t>
  </si>
  <si>
    <t>A Precios Corrientes</t>
  </si>
  <si>
    <t>A Precios corrientes</t>
  </si>
  <si>
    <t xml:space="preserve">A Precios constantes de 1997 </t>
  </si>
  <si>
    <t xml:space="preserve"> A  Precios corrientes </t>
  </si>
  <si>
    <t>A  Precios constantes de 1997</t>
  </si>
  <si>
    <t>Año anterior = 100</t>
  </si>
  <si>
    <t>5.2 - Oferta y Demanda Global.</t>
  </si>
  <si>
    <t>Dif entre Ing y Egres</t>
  </si>
  <si>
    <t>Saldo Fiscal</t>
  </si>
  <si>
    <t>ingresos Netos Tot</t>
  </si>
  <si>
    <t>Gastos Totales</t>
  </si>
  <si>
    <t>Ing netos /PIB*100</t>
  </si>
  <si>
    <t>Gastos Tot/PIB*100</t>
  </si>
  <si>
    <t>5.6 - Índices de precios por clase de actividad económica.</t>
  </si>
  <si>
    <t>5.7 - Deflactor implícito por clase de actividad económica.</t>
  </si>
  <si>
    <t>5.9 - Consumo final del gobierno por finalidades.</t>
  </si>
  <si>
    <t>5.10 - Consumo final de los hogares por fuentes de oferta .</t>
  </si>
  <si>
    <t>5.11 - Gasto total de consumo final.</t>
  </si>
  <si>
    <t>5.12 - Formación bruta de capital.</t>
  </si>
  <si>
    <t>5.13 - Saldo externo de bienes y servicios.</t>
  </si>
  <si>
    <t>5.15 - Financiamiento de la inversión .</t>
  </si>
  <si>
    <t>Deuda Ext Total</t>
  </si>
  <si>
    <t xml:space="preserve">Deuda/PIB </t>
  </si>
  <si>
    <t xml:space="preserve">        Nomenclador de Actividades Económicas de Cuba.</t>
  </si>
  <si>
    <t>Producción Bienes</t>
  </si>
  <si>
    <t>Valor Medio</t>
  </si>
  <si>
    <t xml:space="preserve">         Nomenclador de Actividades Económicas de Cuba.</t>
  </si>
  <si>
    <t xml:space="preserve">Sectores Economicos </t>
  </si>
  <si>
    <t>Actividades de la Economía</t>
  </si>
  <si>
    <t xml:space="preserve">5.5 - Tasas del Producto interno bruto por clase de actividad económica a precios de </t>
  </si>
  <si>
    <t xml:space="preserve">         mercado  - A precios constantes de 1997.</t>
  </si>
  <si>
    <t xml:space="preserve">           - Precios corrientes-</t>
  </si>
  <si>
    <t xml:space="preserve">5.14 - Relaciones entre los principales agregados de Cuentas Nacionales </t>
  </si>
  <si>
    <t xml:space="preserve">   </t>
  </si>
  <si>
    <t>A Precios constantes de 1997</t>
  </si>
  <si>
    <t>Gráfico: 5.13</t>
  </si>
  <si>
    <r>
      <rPr>
        <b/>
        <sz val="10"/>
        <color indexed="9"/>
        <rFont val="Calibri"/>
        <family val="2"/>
      </rPr>
      <t>●</t>
    </r>
    <r>
      <rPr>
        <b/>
        <sz val="10"/>
        <color indexed="9"/>
        <rFont val="Arial"/>
        <family val="2"/>
      </rPr>
      <t xml:space="preserve"> Sector Primario          ● Sector Secundario          ● Sector Terciario          </t>
    </r>
  </si>
  <si>
    <r>
      <t xml:space="preserve">Tasa de desempleo (%) </t>
    </r>
    <r>
      <rPr>
        <vertAlign val="superscript"/>
        <sz val="9"/>
        <rFont val="Arial"/>
        <family val="2"/>
      </rPr>
      <t>(d)</t>
    </r>
  </si>
  <si>
    <t>Nota: El crecimiento del 2021, esta impactado por la Tarea Ordenamiento, por lo que no es comparable con años anteriores</t>
  </si>
  <si>
    <t xml:space="preserve">5.4 - Producto interno bruto por actividad económica a precios de mercado (constantes), según </t>
  </si>
  <si>
    <t xml:space="preserve">5.3 - Producto interno bruto por actividad económica a precios de mercado (corrientes), según </t>
  </si>
  <si>
    <r>
      <t xml:space="preserve">Variación interanual Índice de precios al consumidor (diciembre-diciembre) </t>
    </r>
    <r>
      <rPr>
        <vertAlign val="superscript"/>
        <sz val="9"/>
        <rFont val="Arial"/>
        <family val="2"/>
      </rPr>
      <t>(c)</t>
    </r>
  </si>
  <si>
    <t xml:space="preserve">  Menos: Gasto total de consumo final</t>
  </si>
  <si>
    <t xml:space="preserve">  Menos: Excedente de la nación</t>
  </si>
  <si>
    <t xml:space="preserve">  </t>
  </si>
  <si>
    <t>A Precios Constantes</t>
  </si>
  <si>
    <t xml:space="preserve">                          Estructura porcentual con relación al PIB a Precios Corrientes</t>
  </si>
  <si>
    <r>
      <rPr>
        <vertAlign val="superscript"/>
        <sz val="9"/>
        <rFont val="Arial"/>
        <family val="2"/>
      </rPr>
      <t>(d)</t>
    </r>
    <r>
      <rPr>
        <sz val="9"/>
        <rFont val="Arial"/>
        <family val="2"/>
      </rPr>
      <t xml:space="preserve"> No se dispone de datos referentes a Tasa de desempleo 2021 por no haberse realizado la Encuesta </t>
    </r>
  </si>
  <si>
    <t>Nacional de Ocupación (ENO).</t>
  </si>
  <si>
    <t xml:space="preserve">    Saldo fiscal</t>
  </si>
  <si>
    <r>
      <t xml:space="preserve">    Tipo de cambio de CADECA (pesos por peso convertible) </t>
    </r>
    <r>
      <rPr>
        <vertAlign val="superscript"/>
        <sz val="9"/>
        <rFont val="Arial"/>
        <family val="2"/>
      </rPr>
      <t xml:space="preserve">(b) </t>
    </r>
  </si>
  <si>
    <t>5.1 - Resumen de indicadores económicos.</t>
  </si>
  <si>
    <t>Tasas de crecimiento (%)</t>
  </si>
  <si>
    <t>Nota: Las posibles diferencias en los totales se deben al redondeo de las cifras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</si>
</sst>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5" formatCode="&quot;$&quot;#,##0;\-&quot;$&quot;#,##0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General_)"/>
    <numFmt numFmtId="167" formatCode="#,##0.0"/>
    <numFmt numFmtId="168" formatCode="0.0"/>
    <numFmt numFmtId="169" formatCode="0.00_)"/>
    <numFmt numFmtId="170" formatCode="0.0_)"/>
    <numFmt numFmtId="171" formatCode="#\ ###\ ###.0"/>
    <numFmt numFmtId="172" formatCode="_-* #,##0.00&quot; €&quot;_-;\-* #,##0.00&quot; €&quot;_-;_-* \-??&quot; €&quot;_-;_-@_-"/>
    <numFmt numFmtId="173" formatCode="###\ ###\ ##0"/>
    <numFmt numFmtId="174" formatCode="0.0%"/>
    <numFmt numFmtId="175" formatCode="#\ ##0"/>
    <numFmt numFmtId="176" formatCode="###.00\ ###\ ##0"/>
  </numFmts>
  <fonts count="48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8"/>
      <name val="Tms Rmn"/>
    </font>
    <font>
      <sz val="9"/>
      <name val="Tms Rmn"/>
    </font>
    <font>
      <b/>
      <sz val="10"/>
      <name val="Arial"/>
      <family val="2"/>
    </font>
    <font>
      <sz val="9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2"/>
      <name val="Myriad Pro"/>
      <family val="2"/>
    </font>
    <font>
      <sz val="12"/>
      <name val="Myriad Pro"/>
      <family val="2"/>
    </font>
    <font>
      <sz val="11"/>
      <name val="Arial"/>
      <family val="2"/>
    </font>
    <font>
      <sz val="10"/>
      <color indexed="8"/>
      <name val="MS Sans Serif"/>
      <family val="2"/>
    </font>
    <font>
      <sz val="10"/>
      <name val="MS Sans Serif"/>
      <family val="2"/>
    </font>
    <font>
      <b/>
      <sz val="10"/>
      <color indexed="9"/>
      <name val="Arial"/>
      <family val="2"/>
    </font>
    <font>
      <b/>
      <sz val="10"/>
      <color indexed="9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color theme="0" tint="-0.249977111117893"/>
      <name val="Arial"/>
      <family val="2"/>
    </font>
    <font>
      <sz val="8"/>
      <color rgb="FF000099"/>
      <name val="Arial"/>
      <family val="2"/>
    </font>
    <font>
      <sz val="9"/>
      <color rgb="FF000099"/>
      <name val="Arial"/>
      <family val="2"/>
    </font>
    <font>
      <b/>
      <i/>
      <sz val="10"/>
      <color rgb="FF000099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8"/>
      <color rgb="FF20335D"/>
      <name val="Arial"/>
      <family val="2"/>
    </font>
    <font>
      <sz val="10"/>
      <color rgb="FF20335D"/>
      <name val="Arial"/>
      <family val="2"/>
    </font>
    <font>
      <sz val="8"/>
      <color rgb="FF20335D"/>
      <name val="Arial"/>
      <family val="2"/>
    </font>
    <font>
      <b/>
      <sz val="9"/>
      <color theme="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b/>
      <sz val="10"/>
      <color rgb="FF002060"/>
      <name val="Arial"/>
      <family val="2"/>
    </font>
    <font>
      <b/>
      <sz val="9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20335D"/>
      </bottom>
      <diagonal/>
    </border>
    <border>
      <left/>
      <right/>
      <top/>
      <bottom style="medium">
        <color rgb="FF6695C4"/>
      </bottom>
      <diagonal/>
    </border>
    <border>
      <left/>
      <right/>
      <top style="medium">
        <color rgb="FF6695C4"/>
      </top>
      <bottom/>
      <diagonal/>
    </border>
    <border>
      <left/>
      <right/>
      <top/>
      <bottom style="thin">
        <color rgb="FF6695C4"/>
      </bottom>
      <diagonal/>
    </border>
    <border>
      <left/>
      <right/>
      <top style="thin">
        <color rgb="FF6695C4"/>
      </top>
      <bottom/>
      <diagonal/>
    </border>
  </borders>
  <cellStyleXfs count="138">
    <xf numFmtId="0" fontId="0" fillId="0" borderId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2" fontId="1" fillId="0" borderId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169" fontId="5" fillId="0" borderId="0"/>
    <xf numFmtId="0" fontId="5" fillId="0" borderId="0"/>
    <xf numFmtId="166" fontId="5" fillId="0" borderId="0"/>
    <xf numFmtId="0" fontId="3" fillId="0" borderId="0"/>
    <xf numFmtId="166" fontId="3" fillId="0" borderId="0"/>
    <xf numFmtId="5" fontId="9" fillId="0" borderId="0"/>
    <xf numFmtId="166" fontId="3" fillId="0" borderId="0"/>
    <xf numFmtId="5" fontId="9" fillId="0" borderId="0"/>
    <xf numFmtId="5" fontId="3" fillId="0" borderId="0"/>
    <xf numFmtId="166" fontId="3" fillId="0" borderId="0"/>
    <xf numFmtId="166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367">
    <xf numFmtId="0" fontId="0" fillId="0" borderId="0" xfId="0"/>
    <xf numFmtId="0" fontId="8" fillId="0" borderId="0" xfId="0" applyFont="1"/>
    <xf numFmtId="167" fontId="11" fillId="0" borderId="0" xfId="119" applyNumberFormat="1" applyFont="1" applyFill="1" applyAlignment="1" applyProtection="1"/>
    <xf numFmtId="167" fontId="8" fillId="0" borderId="0" xfId="119" applyNumberFormat="1" applyFont="1" applyFill="1" applyAlignment="1" applyProtection="1">
      <alignment horizontal="left"/>
    </xf>
    <xf numFmtId="167" fontId="8" fillId="0" borderId="0" xfId="119" applyNumberFormat="1" applyFont="1" applyFill="1" applyAlignment="1">
      <alignment horizontal="left"/>
    </xf>
    <xf numFmtId="167" fontId="11" fillId="0" borderId="0" xfId="119" applyNumberFormat="1" applyFont="1" applyFill="1" applyAlignment="1">
      <alignment horizontal="left"/>
    </xf>
    <xf numFmtId="167" fontId="8" fillId="0" borderId="0" xfId="62" applyNumberFormat="1" applyFont="1" applyFill="1"/>
    <xf numFmtId="0" fontId="8" fillId="0" borderId="0" xfId="0" applyFont="1" applyAlignment="1">
      <alignment horizontal="right"/>
    </xf>
    <xf numFmtId="169" fontId="11" fillId="0" borderId="0" xfId="120" applyNumberFormat="1" applyFont="1" applyFill="1" applyAlignment="1" applyProtection="1">
      <alignment horizontal="left"/>
    </xf>
    <xf numFmtId="169" fontId="8" fillId="0" borderId="0" xfId="120" applyNumberFormat="1" applyFont="1" applyFill="1" applyAlignment="1" applyProtection="1">
      <alignment horizontal="left"/>
    </xf>
    <xf numFmtId="3" fontId="8" fillId="0" borderId="0" xfId="0" applyNumberFormat="1" applyFont="1"/>
    <xf numFmtId="3" fontId="8" fillId="0" borderId="0" xfId="0" applyNumberFormat="1" applyFont="1" applyFill="1"/>
    <xf numFmtId="167" fontId="8" fillId="0" borderId="0" xfId="0" applyNumberFormat="1" applyFont="1"/>
    <xf numFmtId="0" fontId="4" fillId="0" borderId="0" xfId="0" applyFont="1"/>
    <xf numFmtId="167" fontId="4" fillId="0" borderId="0" xfId="0" applyNumberFormat="1" applyFont="1"/>
    <xf numFmtId="166" fontId="8" fillId="0" borderId="0" xfId="122" applyFont="1" applyFill="1" applyAlignment="1" applyProtection="1">
      <alignment horizontal="left"/>
    </xf>
    <xf numFmtId="167" fontId="8" fillId="0" borderId="0" xfId="122" applyNumberFormat="1" applyFont="1" applyFill="1" applyAlignment="1" applyProtection="1">
      <alignment horizontal="right"/>
    </xf>
    <xf numFmtId="166" fontId="8" fillId="0" borderId="0" xfId="122" applyFont="1" applyFill="1"/>
    <xf numFmtId="166" fontId="8" fillId="0" borderId="0" xfId="122" applyFont="1" applyFill="1" applyBorder="1" applyAlignment="1" applyProtection="1">
      <alignment horizontal="left"/>
    </xf>
    <xf numFmtId="0" fontId="4" fillId="0" borderId="0" xfId="0" applyFont="1" applyAlignment="1">
      <alignment horizontal="right"/>
    </xf>
    <xf numFmtId="166" fontId="14" fillId="0" borderId="0" xfId="129" applyFont="1" applyProtection="1"/>
    <xf numFmtId="167" fontId="14" fillId="0" borderId="0" xfId="129" applyNumberFormat="1" applyFont="1" applyProtection="1"/>
    <xf numFmtId="166" fontId="15" fillId="0" borderId="0" xfId="129" applyFont="1" applyProtection="1"/>
    <xf numFmtId="166" fontId="4" fillId="0" borderId="0" xfId="129" applyFont="1" applyProtection="1"/>
    <xf numFmtId="3" fontId="4" fillId="0" borderId="0" xfId="0" applyNumberFormat="1" applyFont="1"/>
    <xf numFmtId="167" fontId="8" fillId="0" borderId="0" xfId="129" applyNumberFormat="1" applyFont="1" applyFill="1" applyProtection="1"/>
    <xf numFmtId="3" fontId="8" fillId="0" borderId="0" xfId="129" applyNumberFormat="1" applyFont="1" applyProtection="1"/>
    <xf numFmtId="166" fontId="8" fillId="0" borderId="0" xfId="129" applyFont="1" applyBorder="1" applyAlignment="1" applyProtection="1">
      <alignment horizontal="left"/>
    </xf>
    <xf numFmtId="166" fontId="11" fillId="0" borderId="0" xfId="129" applyFont="1" applyBorder="1" applyAlignment="1" applyProtection="1">
      <alignment horizontal="left"/>
    </xf>
    <xf numFmtId="166" fontId="4" fillId="0" borderId="0" xfId="130" applyFont="1" applyProtection="1"/>
    <xf numFmtId="167" fontId="14" fillId="0" borderId="0" xfId="0" applyNumberFormat="1" applyFont="1"/>
    <xf numFmtId="0" fontId="8" fillId="0" borderId="0" xfId="62" applyFont="1" applyFill="1"/>
    <xf numFmtId="168" fontId="8" fillId="0" borderId="0" xfId="129" applyNumberFormat="1" applyFont="1" applyFill="1" applyBorder="1" applyProtection="1"/>
    <xf numFmtId="167" fontId="8" fillId="0" borderId="0" xfId="62" applyNumberFormat="1" applyFont="1" applyFill="1" applyAlignment="1">
      <alignment horizontal="right"/>
    </xf>
    <xf numFmtId="0" fontId="4" fillId="0" borderId="0" xfId="62" applyFont="1" applyFill="1"/>
    <xf numFmtId="0" fontId="11" fillId="0" borderId="0" xfId="62" applyFont="1" applyFill="1" applyAlignment="1">
      <alignment horizontal="left"/>
    </xf>
    <xf numFmtId="168" fontId="8" fillId="0" borderId="0" xfId="62" applyNumberFormat="1" applyFont="1" applyFill="1"/>
    <xf numFmtId="167" fontId="8" fillId="2" borderId="0" xfId="0" applyNumberFormat="1" applyFont="1" applyFill="1"/>
    <xf numFmtId="167" fontId="11" fillId="2" borderId="0" xfId="0" applyNumberFormat="1" applyFont="1" applyFill="1"/>
    <xf numFmtId="171" fontId="11" fillId="2" borderId="0" xfId="123" applyNumberFormat="1" applyFont="1" applyFill="1" applyBorder="1" applyAlignment="1" applyProtection="1">
      <alignment horizontal="right"/>
      <protection locked="0"/>
    </xf>
    <xf numFmtId="167" fontId="11" fillId="2" borderId="0" xfId="123" applyNumberFormat="1" applyFont="1" applyFill="1" applyProtection="1"/>
    <xf numFmtId="3" fontId="8" fillId="2" borderId="0" xfId="0" applyNumberFormat="1" applyFont="1" applyFill="1"/>
    <xf numFmtId="168" fontId="8" fillId="0" borderId="0" xfId="62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2" borderId="0" xfId="62" applyNumberFormat="1" applyFont="1" applyFill="1" applyAlignment="1">
      <alignment horizontal="right"/>
    </xf>
    <xf numFmtId="166" fontId="14" fillId="2" borderId="0" xfId="129" applyFont="1" applyFill="1" applyProtection="1"/>
    <xf numFmtId="167" fontId="7" fillId="0" borderId="0" xfId="0" applyNumberFormat="1" applyFont="1"/>
    <xf numFmtId="167" fontId="18" fillId="0" borderId="0" xfId="0" applyNumberFormat="1" applyFont="1" applyFill="1" applyBorder="1"/>
    <xf numFmtId="167" fontId="4" fillId="0" borderId="0" xfId="0" applyNumberFormat="1" applyFont="1" applyBorder="1"/>
    <xf numFmtId="167" fontId="19" fillId="2" borderId="0" xfId="0" applyNumberFormat="1" applyFont="1" applyFill="1" applyBorder="1"/>
    <xf numFmtId="167" fontId="19" fillId="0" borderId="0" xfId="0" applyNumberFormat="1" applyFont="1" applyFill="1" applyBorder="1"/>
    <xf numFmtId="3" fontId="8" fillId="0" borderId="0" xfId="129" applyNumberFormat="1" applyFont="1" applyFill="1" applyProtection="1"/>
    <xf numFmtId="3" fontId="8" fillId="2" borderId="0" xfId="130" applyNumberFormat="1" applyFont="1" applyFill="1" applyAlignment="1" applyProtection="1">
      <alignment horizontal="right"/>
      <protection locked="0"/>
    </xf>
    <xf numFmtId="3" fontId="8" fillId="0" borderId="0" xfId="130" applyNumberFormat="1" applyFont="1" applyFill="1" applyAlignment="1" applyProtection="1">
      <alignment horizontal="right"/>
      <protection locked="0"/>
    </xf>
    <xf numFmtId="3" fontId="8" fillId="0" borderId="0" xfId="0" applyNumberFormat="1" applyFont="1" applyAlignment="1"/>
    <xf numFmtId="3" fontId="8" fillId="0" borderId="0" xfId="0" applyNumberFormat="1" applyFont="1" applyFill="1" applyAlignment="1"/>
    <xf numFmtId="3" fontId="11" fillId="2" borderId="0" xfId="130" applyNumberFormat="1" applyFont="1" applyFill="1" applyAlignment="1" applyProtection="1">
      <alignment horizontal="right"/>
    </xf>
    <xf numFmtId="3" fontId="8" fillId="2" borderId="0" xfId="130" applyNumberFormat="1" applyFont="1" applyFill="1" applyAlignment="1" applyProtection="1">
      <alignment horizontal="right"/>
    </xf>
    <xf numFmtId="3" fontId="8" fillId="0" borderId="0" xfId="130" quotePrefix="1" applyNumberFormat="1" applyFont="1" applyAlignment="1" applyProtection="1">
      <alignment horizontal="right"/>
    </xf>
    <xf numFmtId="3" fontId="8" fillId="0" borderId="0" xfId="130" quotePrefix="1" applyNumberFormat="1" applyFont="1" applyFill="1" applyAlignment="1" applyProtection="1">
      <alignment horizontal="right"/>
    </xf>
    <xf numFmtId="3" fontId="8" fillId="0" borderId="0" xfId="130" applyNumberFormat="1" applyFont="1" applyFill="1" applyAlignment="1" applyProtection="1">
      <alignment horizontal="right"/>
    </xf>
    <xf numFmtId="3" fontId="11" fillId="0" borderId="0" xfId="129" applyNumberFormat="1" applyFont="1" applyFill="1" applyProtection="1"/>
    <xf numFmtId="49" fontId="7" fillId="0" borderId="0" xfId="126" applyNumberFormat="1" applyFont="1" applyAlignment="1" applyProtection="1">
      <alignment horizontal="left" wrapText="1"/>
    </xf>
    <xf numFmtId="166" fontId="4" fillId="0" borderId="0" xfId="124" applyFont="1" applyProtection="1"/>
    <xf numFmtId="3" fontId="20" fillId="0" borderId="0" xfId="132" applyNumberFormat="1" applyFont="1" applyBorder="1"/>
    <xf numFmtId="166" fontId="7" fillId="0" borderId="0" xfId="130" applyFont="1" applyAlignment="1" applyProtection="1">
      <alignment horizontal="left"/>
    </xf>
    <xf numFmtId="49" fontId="17" fillId="2" borderId="0" xfId="0" applyNumberFormat="1" applyFont="1" applyFill="1" applyBorder="1" applyAlignment="1">
      <alignment horizontal="right"/>
    </xf>
    <xf numFmtId="166" fontId="8" fillId="0" borderId="0" xfId="130" applyFont="1" applyProtection="1"/>
    <xf numFmtId="166" fontId="8" fillId="0" borderId="0" xfId="130" quotePrefix="1" applyFont="1" applyAlignment="1" applyProtection="1">
      <alignment horizontal="left"/>
    </xf>
    <xf numFmtId="166" fontId="8" fillId="0" borderId="0" xfId="130" applyFont="1" applyFill="1" applyAlignment="1" applyProtection="1">
      <alignment horizontal="left"/>
    </xf>
    <xf numFmtId="166" fontId="8" fillId="0" borderId="0" xfId="130" applyFont="1" applyAlignment="1" applyProtection="1">
      <alignment horizontal="left"/>
    </xf>
    <xf numFmtId="166" fontId="11" fillId="0" borderId="0" xfId="130" applyFont="1" applyProtection="1"/>
    <xf numFmtId="0" fontId="2" fillId="0" borderId="0" xfId="0" applyFont="1"/>
    <xf numFmtId="167" fontId="8" fillId="0" borderId="0" xfId="0" applyNumberFormat="1" applyFont="1" applyFill="1"/>
    <xf numFmtId="167" fontId="2" fillId="0" borderId="0" xfId="0" applyNumberFormat="1" applyFont="1"/>
    <xf numFmtId="3" fontId="8" fillId="0" borderId="0" xfId="126" applyNumberFormat="1" applyFont="1" applyProtection="1"/>
    <xf numFmtId="3" fontId="8" fillId="0" borderId="0" xfId="126" applyNumberFormat="1" applyFont="1" applyAlignment="1" applyProtection="1">
      <alignment horizontal="right"/>
      <protection locked="0"/>
    </xf>
    <xf numFmtId="0" fontId="2" fillId="0" borderId="0" xfId="0" applyFont="1" applyFill="1"/>
    <xf numFmtId="168" fontId="4" fillId="2" borderId="0" xfId="62" applyNumberFormat="1" applyFont="1" applyFill="1"/>
    <xf numFmtId="0" fontId="7" fillId="2" borderId="0" xfId="0" applyFont="1" applyFill="1" applyAlignment="1">
      <alignment horizontal="center"/>
    </xf>
    <xf numFmtId="166" fontId="7" fillId="0" borderId="0" xfId="125" applyNumberFormat="1" applyFont="1" applyFill="1" applyAlignment="1" applyProtection="1">
      <alignment horizontal="left"/>
    </xf>
    <xf numFmtId="0" fontId="14" fillId="0" borderId="0" xfId="62" applyFont="1" applyFill="1"/>
    <xf numFmtId="166" fontId="11" fillId="0" borderId="0" xfId="125" applyNumberFormat="1" applyFont="1" applyFill="1" applyAlignment="1" applyProtection="1">
      <alignment horizontal="left"/>
    </xf>
    <xf numFmtId="0" fontId="2" fillId="0" borderId="0" xfId="62" applyFont="1" applyFill="1" applyAlignment="1">
      <alignment horizontal="center"/>
    </xf>
    <xf numFmtId="3" fontId="2" fillId="0" borderId="0" xfId="0" applyNumberFormat="1" applyFont="1"/>
    <xf numFmtId="0" fontId="2" fillId="2" borderId="0" xfId="0" applyFont="1" applyFill="1"/>
    <xf numFmtId="166" fontId="16" fillId="0" borderId="0" xfId="124" applyFont="1" applyAlignment="1" applyProtection="1">
      <alignment horizontal="left"/>
    </xf>
    <xf numFmtId="166" fontId="15" fillId="0" borderId="0" xfId="124" applyFont="1" applyAlignment="1" applyProtection="1">
      <alignment horizontal="left"/>
    </xf>
    <xf numFmtId="170" fontId="8" fillId="0" borderId="0" xfId="130" applyNumberFormat="1" applyFont="1" applyAlignment="1" applyProtection="1">
      <alignment horizontal="left"/>
    </xf>
    <xf numFmtId="0" fontId="2" fillId="0" borderId="0" xfId="0" applyFont="1" applyFill="1" applyBorder="1"/>
    <xf numFmtId="0" fontId="2" fillId="0" borderId="0" xfId="0" applyFont="1" applyBorder="1"/>
    <xf numFmtId="168" fontId="2" fillId="2" borderId="0" xfId="0" applyNumberFormat="1" applyFont="1" applyFill="1"/>
    <xf numFmtId="167" fontId="2" fillId="2" borderId="0" xfId="0" applyNumberFormat="1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7" fillId="0" borderId="0" xfId="62" applyFont="1" applyFill="1"/>
    <xf numFmtId="168" fontId="27" fillId="0" borderId="0" xfId="62" applyNumberFormat="1" applyFont="1" applyFill="1"/>
    <xf numFmtId="0" fontId="28" fillId="0" borderId="0" xfId="0" applyFont="1"/>
    <xf numFmtId="0" fontId="29" fillId="0" borderId="0" xfId="0" applyFont="1"/>
    <xf numFmtId="166" fontId="8" fillId="2" borderId="0" xfId="127" applyNumberFormat="1" applyFont="1" applyFill="1" applyBorder="1" applyAlignment="1" applyProtection="1">
      <alignment horizontal="right"/>
    </xf>
    <xf numFmtId="166" fontId="30" fillId="0" borderId="0" xfId="129" applyFont="1" applyProtection="1"/>
    <xf numFmtId="0" fontId="8" fillId="2" borderId="0" xfId="62" applyFont="1" applyFill="1"/>
    <xf numFmtId="3" fontId="8" fillId="2" borderId="0" xfId="0" applyNumberFormat="1" applyFont="1" applyFill="1" applyBorder="1"/>
    <xf numFmtId="3" fontId="8" fillId="0" borderId="0" xfId="0" applyNumberFormat="1" applyFont="1" applyBorder="1"/>
    <xf numFmtId="3" fontId="8" fillId="2" borderId="0" xfId="0" applyNumberFormat="1" applyFont="1" applyFill="1" applyAlignment="1"/>
    <xf numFmtId="169" fontId="11" fillId="0" borderId="0" xfId="120" applyNumberFormat="1" applyFont="1" applyFill="1" applyBorder="1" applyAlignment="1" applyProtection="1">
      <alignment horizontal="left"/>
    </xf>
    <xf numFmtId="167" fontId="11" fillId="0" borderId="0" xfId="124" applyNumberFormat="1" applyFont="1" applyBorder="1" applyAlignment="1" applyProtection="1"/>
    <xf numFmtId="3" fontId="8" fillId="0" borderId="0" xfId="0" applyNumberFormat="1" applyFont="1" applyFill="1" applyBorder="1"/>
    <xf numFmtId="173" fontId="8" fillId="0" borderId="0" xfId="0" applyNumberFormat="1" applyFont="1"/>
    <xf numFmtId="173" fontId="8" fillId="0" borderId="0" xfId="0" applyNumberFormat="1" applyFont="1" applyFill="1"/>
    <xf numFmtId="173" fontId="4" fillId="0" borderId="0" xfId="0" applyNumberFormat="1" applyFont="1"/>
    <xf numFmtId="167" fontId="2" fillId="0" borderId="0" xfId="0" applyNumberFormat="1" applyFont="1" applyFill="1"/>
    <xf numFmtId="167" fontId="11" fillId="0" borderId="0" xfId="129" applyNumberFormat="1" applyFont="1" applyFill="1" applyProtection="1"/>
    <xf numFmtId="3" fontId="11" fillId="0" borderId="0" xfId="129" applyNumberFormat="1" applyFont="1" applyProtection="1"/>
    <xf numFmtId="168" fontId="11" fillId="0" borderId="0" xfId="129" applyNumberFormat="1" applyFont="1" applyFill="1" applyBorder="1" applyProtection="1"/>
    <xf numFmtId="3" fontId="31" fillId="2" borderId="0" xfId="130" applyNumberFormat="1" applyFont="1" applyFill="1" applyAlignment="1" applyProtection="1">
      <alignment horizontal="right"/>
      <protection locked="0"/>
    </xf>
    <xf numFmtId="3" fontId="31" fillId="2" borderId="0" xfId="130" applyNumberFormat="1" applyFont="1" applyFill="1" applyAlignment="1" applyProtection="1">
      <alignment horizontal="right"/>
    </xf>
    <xf numFmtId="3" fontId="8" fillId="2" borderId="0" xfId="63" applyNumberFormat="1" applyFont="1" applyFill="1"/>
    <xf numFmtId="175" fontId="8" fillId="2" borderId="0" xfId="0" applyNumberFormat="1" applyFont="1" applyFill="1"/>
    <xf numFmtId="167" fontId="8" fillId="2" borderId="0" xfId="119" applyNumberFormat="1" applyFont="1" applyFill="1" applyBorder="1" applyAlignment="1" applyProtection="1">
      <alignment horizontal="left"/>
    </xf>
    <xf numFmtId="167" fontId="8" fillId="2" borderId="0" xfId="62" applyNumberFormat="1" applyFont="1" applyFill="1" applyBorder="1"/>
    <xf numFmtId="0" fontId="8" fillId="2" borderId="0" xfId="62" applyFont="1" applyFill="1" applyBorder="1"/>
    <xf numFmtId="167" fontId="32" fillId="0" borderId="0" xfId="119" applyNumberFormat="1" applyFont="1" applyFill="1" applyAlignment="1" applyProtection="1">
      <alignment horizontal="left"/>
    </xf>
    <xf numFmtId="166" fontId="7" fillId="0" borderId="0" xfId="124" applyFont="1" applyAlignment="1" applyProtection="1">
      <alignment horizontal="left"/>
    </xf>
    <xf numFmtId="167" fontId="33" fillId="0" borderId="0" xfId="0" applyNumberFormat="1" applyFont="1"/>
    <xf numFmtId="0" fontId="34" fillId="0" borderId="0" xfId="0" applyFont="1"/>
    <xf numFmtId="166" fontId="4" fillId="0" borderId="1" xfId="129" applyFont="1" applyBorder="1" applyProtection="1"/>
    <xf numFmtId="0" fontId="35" fillId="0" borderId="0" xfId="0" applyFont="1"/>
    <xf numFmtId="0" fontId="7" fillId="2" borderId="0" xfId="0" applyFont="1" applyFill="1" applyAlignment="1">
      <alignment horizontal="center"/>
    </xf>
    <xf numFmtId="166" fontId="36" fillId="0" borderId="0" xfId="127" applyNumberFormat="1" applyFont="1" applyFill="1" applyBorder="1" applyAlignment="1" applyProtection="1">
      <alignment horizontal="left"/>
    </xf>
    <xf numFmtId="1" fontId="36" fillId="0" borderId="0" xfId="127" applyNumberFormat="1" applyFont="1" applyFill="1" applyBorder="1" applyAlignment="1" applyProtection="1">
      <alignment horizontal="right"/>
    </xf>
    <xf numFmtId="1" fontId="36" fillId="0" borderId="0" xfId="127" applyNumberFormat="1" applyFont="1" applyFill="1" applyAlignment="1" applyProtection="1">
      <alignment horizontal="right"/>
    </xf>
    <xf numFmtId="0" fontId="37" fillId="0" borderId="0" xfId="62" applyFont="1" applyFill="1"/>
    <xf numFmtId="168" fontId="37" fillId="0" borderId="0" xfId="62" applyNumberFormat="1" applyFont="1" applyFill="1"/>
    <xf numFmtId="0" fontId="4" fillId="0" borderId="0" xfId="63" applyFont="1"/>
    <xf numFmtId="166" fontId="4" fillId="0" borderId="0" xfId="131" applyNumberFormat="1" applyFont="1"/>
    <xf numFmtId="0" fontId="8" fillId="0" borderId="0" xfId="63" applyFont="1" applyAlignment="1">
      <alignment horizontal="right"/>
    </xf>
    <xf numFmtId="166" fontId="8" fillId="0" borderId="0" xfId="131" applyNumberFormat="1" applyFont="1" applyFill="1" applyAlignment="1" applyProtection="1">
      <alignment horizontal="left"/>
      <protection locked="0"/>
    </xf>
    <xf numFmtId="0" fontId="8" fillId="0" borderId="0" xfId="63" applyFont="1" applyFill="1"/>
    <xf numFmtId="166" fontId="11" fillId="0" borderId="0" xfId="131" applyNumberFormat="1" applyFont="1" applyFill="1" applyAlignment="1" applyProtection="1">
      <alignment horizontal="left"/>
      <protection locked="0"/>
    </xf>
    <xf numFmtId="3" fontId="8" fillId="0" borderId="0" xfId="63" applyNumberFormat="1" applyFont="1" applyFill="1" applyAlignment="1">
      <alignment horizontal="right"/>
    </xf>
    <xf numFmtId="3" fontId="8" fillId="0" borderId="0" xfId="63" applyNumberFormat="1" applyFont="1" applyFill="1"/>
    <xf numFmtId="166" fontId="8" fillId="2" borderId="0" xfId="131" applyNumberFormat="1" applyFont="1" applyFill="1" applyAlignment="1" applyProtection="1">
      <alignment horizontal="left"/>
      <protection locked="0"/>
    </xf>
    <xf numFmtId="3" fontId="11" fillId="0" borderId="0" xfId="63" applyNumberFormat="1" applyFont="1"/>
    <xf numFmtId="0" fontId="2" fillId="0" borderId="0" xfId="63" applyFont="1"/>
    <xf numFmtId="166" fontId="36" fillId="0" borderId="0" xfId="128" applyNumberFormat="1" applyFont="1" applyFill="1" applyBorder="1" applyAlignment="1" applyProtection="1">
      <alignment horizontal="left"/>
    </xf>
    <xf numFmtId="0" fontId="8" fillId="0" borderId="0" xfId="63" applyFont="1"/>
    <xf numFmtId="0" fontId="4" fillId="0" borderId="0" xfId="63" applyFont="1" applyBorder="1"/>
    <xf numFmtId="166" fontId="36" fillId="3" borderId="0" xfId="127" applyNumberFormat="1" applyFont="1" applyFill="1" applyAlignment="1" applyProtection="1">
      <alignment horizontal="left"/>
    </xf>
    <xf numFmtId="1" fontId="36" fillId="3" borderId="0" xfId="127" applyNumberFormat="1" applyFont="1" applyFill="1" applyAlignment="1" applyProtection="1">
      <alignment horizontal="right"/>
    </xf>
    <xf numFmtId="166" fontId="36" fillId="3" borderId="0" xfId="127" applyNumberFormat="1" applyFont="1" applyFill="1" applyBorder="1" applyAlignment="1" applyProtection="1">
      <alignment horizontal="left"/>
    </xf>
    <xf numFmtId="1" fontId="36" fillId="3" borderId="0" xfId="127" applyNumberFormat="1" applyFont="1" applyFill="1" applyBorder="1" applyAlignment="1" applyProtection="1">
      <alignment horizontal="right"/>
    </xf>
    <xf numFmtId="0" fontId="4" fillId="0" borderId="2" xfId="0" applyFont="1" applyBorder="1"/>
    <xf numFmtId="166" fontId="7" fillId="0" borderId="0" xfId="130" applyFont="1" applyFill="1" applyAlignment="1" applyProtection="1">
      <alignment horizontal="left"/>
    </xf>
    <xf numFmtId="0" fontId="7" fillId="0" borderId="0" xfId="63" applyFont="1"/>
    <xf numFmtId="166" fontId="36" fillId="3" borderId="0" xfId="128" applyNumberFormat="1" applyFont="1" applyFill="1" applyBorder="1" applyAlignment="1" applyProtection="1">
      <alignment horizontal="left"/>
    </xf>
    <xf numFmtId="1" fontId="36" fillId="3" borderId="0" xfId="128" applyNumberFormat="1" applyFont="1" applyFill="1" applyBorder="1" applyAlignment="1" applyProtection="1">
      <alignment horizontal="right"/>
    </xf>
    <xf numFmtId="169" fontId="8" fillId="0" borderId="2" xfId="121" applyNumberFormat="1" applyFont="1" applyFill="1" applyBorder="1" applyAlignment="1" applyProtection="1">
      <alignment horizontal="left"/>
    </xf>
    <xf numFmtId="3" fontId="8" fillId="0" borderId="2" xfId="131" applyNumberFormat="1" applyFont="1" applyBorder="1" applyProtection="1">
      <protection locked="0"/>
    </xf>
    <xf numFmtId="175" fontId="8" fillId="2" borderId="0" xfId="63" applyNumberFormat="1" applyFont="1" applyFill="1"/>
    <xf numFmtId="167" fontId="8" fillId="2" borderId="0" xfId="119" applyNumberFormat="1" applyFont="1" applyFill="1" applyAlignment="1" applyProtection="1">
      <alignment horizontal="left"/>
    </xf>
    <xf numFmtId="166" fontId="36" fillId="3" borderId="0" xfId="127" applyNumberFormat="1" applyFont="1" applyFill="1" applyBorder="1" applyAlignment="1" applyProtection="1">
      <alignment horizontal="right"/>
    </xf>
    <xf numFmtId="166" fontId="36" fillId="3" borderId="0" xfId="127" applyNumberFormat="1" applyFont="1" applyFill="1" applyBorder="1" applyAlignment="1" applyProtection="1">
      <alignment horizontal="center"/>
    </xf>
    <xf numFmtId="166" fontId="36" fillId="3" borderId="0" xfId="126" applyFont="1" applyFill="1" applyAlignment="1" applyProtection="1">
      <alignment horizontal="left"/>
    </xf>
    <xf numFmtId="166" fontId="32" fillId="3" borderId="0" xfId="129" applyFont="1" applyFill="1" applyAlignment="1" applyProtection="1">
      <alignment horizontal="left"/>
    </xf>
    <xf numFmtId="0" fontId="4" fillId="0" borderId="0" xfId="63" applyFont="1" applyFill="1"/>
    <xf numFmtId="3" fontId="11" fillId="0" borderId="0" xfId="130" applyNumberFormat="1" applyFont="1" applyFill="1" applyAlignment="1" applyProtection="1">
      <alignment horizontal="right"/>
    </xf>
    <xf numFmtId="166" fontId="4" fillId="0" borderId="0" xfId="129" applyFont="1" applyFill="1" applyProtection="1"/>
    <xf numFmtId="0" fontId="4" fillId="0" borderId="0" xfId="0" applyFont="1" applyFill="1"/>
    <xf numFmtId="167" fontId="36" fillId="3" borderId="0" xfId="119" applyNumberFormat="1" applyFont="1" applyFill="1" applyAlignment="1" applyProtection="1"/>
    <xf numFmtId="167" fontId="36" fillId="3" borderId="0" xfId="119" applyNumberFormat="1" applyFont="1" applyFill="1" applyAlignment="1" applyProtection="1">
      <alignment horizontal="left"/>
    </xf>
    <xf numFmtId="0" fontId="38" fillId="3" borderId="0" xfId="62" applyFont="1" applyFill="1"/>
    <xf numFmtId="168" fontId="38" fillId="3" borderId="0" xfId="62" applyNumberFormat="1" applyFont="1" applyFill="1"/>
    <xf numFmtId="0" fontId="32" fillId="3" borderId="0" xfId="62" applyFont="1" applyFill="1"/>
    <xf numFmtId="0" fontId="8" fillId="0" borderId="0" xfId="62" applyFont="1" applyFill="1" applyAlignment="1">
      <alignment horizontal="right"/>
    </xf>
    <xf numFmtId="169" fontId="36" fillId="3" borderId="0" xfId="120" applyNumberFormat="1" applyFont="1" applyFill="1" applyAlignment="1" applyProtection="1">
      <alignment horizontal="left"/>
    </xf>
    <xf numFmtId="3" fontId="36" fillId="3" borderId="0" xfId="0" applyNumberFormat="1" applyFont="1" applyFill="1"/>
    <xf numFmtId="0" fontId="8" fillId="2" borderId="0" xfId="0" applyFont="1" applyFill="1"/>
    <xf numFmtId="0" fontId="36" fillId="2" borderId="0" xfId="0" applyFont="1" applyFill="1" applyAlignment="1">
      <alignment horizontal="center"/>
    </xf>
    <xf numFmtId="175" fontId="36" fillId="3" borderId="0" xfId="0" applyNumberFormat="1" applyFont="1" applyFill="1"/>
    <xf numFmtId="169" fontId="8" fillId="0" borderId="2" xfId="120" applyNumberFormat="1" applyFont="1" applyFill="1" applyBorder="1" applyAlignment="1" applyProtection="1">
      <alignment horizontal="left"/>
    </xf>
    <xf numFmtId="3" fontId="8" fillId="2" borderId="2" xfId="0" applyNumberFormat="1" applyFont="1" applyFill="1" applyBorder="1"/>
    <xf numFmtId="166" fontId="36" fillId="3" borderId="0" xfId="122" applyFont="1" applyFill="1" applyAlignment="1" applyProtection="1">
      <alignment horizontal="left"/>
    </xf>
    <xf numFmtId="173" fontId="36" fillId="3" borderId="0" xfId="0" applyNumberFormat="1" applyFont="1" applyFill="1"/>
    <xf numFmtId="167" fontId="36" fillId="3" borderId="0" xfId="0" applyNumberFormat="1" applyFont="1" applyFill="1"/>
    <xf numFmtId="0" fontId="7" fillId="0" borderId="0" xfId="0" applyFont="1"/>
    <xf numFmtId="167" fontId="36" fillId="2" borderId="0" xfId="0" applyNumberFormat="1" applyFont="1" applyFill="1" applyBorder="1" applyAlignment="1">
      <alignment horizontal="center"/>
    </xf>
    <xf numFmtId="166" fontId="36" fillId="2" borderId="0" xfId="127" applyNumberFormat="1" applyFont="1" applyFill="1" applyBorder="1" applyAlignment="1" applyProtection="1">
      <alignment horizontal="left"/>
    </xf>
    <xf numFmtId="1" fontId="36" fillId="2" borderId="0" xfId="127" applyNumberFormat="1" applyFont="1" applyFill="1" applyBorder="1" applyAlignment="1" applyProtection="1">
      <alignment horizontal="right"/>
    </xf>
    <xf numFmtId="167" fontId="36" fillId="3" borderId="0" xfId="122" applyNumberFormat="1" applyFont="1" applyFill="1" applyAlignment="1" applyProtection="1">
      <alignment horizontal="right"/>
    </xf>
    <xf numFmtId="166" fontId="7" fillId="0" borderId="0" xfId="129" applyFont="1" applyAlignment="1" applyProtection="1">
      <alignment horizontal="left"/>
    </xf>
    <xf numFmtId="167" fontId="8" fillId="2" borderId="0" xfId="129" applyNumberFormat="1" applyFont="1" applyFill="1" applyProtection="1"/>
    <xf numFmtId="166" fontId="36" fillId="2" borderId="0" xfId="124" applyFont="1" applyFill="1" applyAlignment="1" applyProtection="1">
      <alignment horizontal="center" vertical="center"/>
    </xf>
    <xf numFmtId="166" fontId="36" fillId="3" borderId="0" xfId="130" quotePrefix="1" applyFont="1" applyFill="1" applyAlignment="1" applyProtection="1">
      <alignment horizontal="left"/>
    </xf>
    <xf numFmtId="3" fontId="36" fillId="3" borderId="0" xfId="130" applyNumberFormat="1" applyFont="1" applyFill="1" applyAlignment="1" applyProtection="1"/>
    <xf numFmtId="166" fontId="8" fillId="2" borderId="0" xfId="130" applyFont="1" applyFill="1" applyProtection="1"/>
    <xf numFmtId="0" fontId="36" fillId="2" borderId="0" xfId="0" applyFont="1" applyFill="1" applyAlignment="1">
      <alignment horizontal="center" vertical="center"/>
    </xf>
    <xf numFmtId="166" fontId="11" fillId="2" borderId="0" xfId="130" applyFont="1" applyFill="1" applyProtection="1"/>
    <xf numFmtId="3" fontId="36" fillId="2" borderId="0" xfId="124" applyNumberFormat="1" applyFont="1" applyFill="1" applyAlignment="1" applyProtection="1">
      <alignment horizontal="center" vertical="center"/>
    </xf>
    <xf numFmtId="0" fontId="36" fillId="3" borderId="0" xfId="0" applyFont="1" applyFill="1"/>
    <xf numFmtId="3" fontId="36" fillId="3" borderId="0" xfId="0" applyNumberFormat="1" applyFont="1" applyFill="1" applyAlignment="1"/>
    <xf numFmtId="167" fontId="36" fillId="2" borderId="0" xfId="124" applyNumberFormat="1" applyFont="1" applyFill="1" applyAlignment="1" applyProtection="1">
      <alignment horizontal="center" vertical="center"/>
    </xf>
    <xf numFmtId="167" fontId="32" fillId="2" borderId="0" xfId="124" applyNumberFormat="1" applyFont="1" applyFill="1" applyAlignment="1" applyProtection="1">
      <alignment horizontal="center" vertical="center"/>
    </xf>
    <xf numFmtId="166" fontId="8" fillId="2" borderId="0" xfId="130" quotePrefix="1" applyFont="1" applyFill="1" applyAlignment="1" applyProtection="1">
      <alignment horizontal="left"/>
    </xf>
    <xf numFmtId="166" fontId="36" fillId="3" borderId="0" xfId="130" applyFont="1" applyFill="1" applyAlignment="1" applyProtection="1">
      <alignment horizontal="left"/>
    </xf>
    <xf numFmtId="3" fontId="36" fillId="3" borderId="0" xfId="130" applyNumberFormat="1" applyFont="1" applyFill="1" applyAlignment="1" applyProtection="1">
      <alignment horizontal="right"/>
    </xf>
    <xf numFmtId="170" fontId="8" fillId="2" borderId="0" xfId="130" applyNumberFormat="1" applyFont="1" applyFill="1" applyAlignment="1" applyProtection="1">
      <alignment horizontal="left"/>
    </xf>
    <xf numFmtId="167" fontId="11" fillId="2" borderId="0" xfId="124" applyNumberFormat="1" applyFont="1" applyFill="1" applyBorder="1" applyAlignment="1" applyProtection="1"/>
    <xf numFmtId="166" fontId="8" fillId="2" borderId="0" xfId="130" applyFont="1" applyFill="1" applyAlignment="1" applyProtection="1">
      <alignment horizontal="left"/>
    </xf>
    <xf numFmtId="166" fontId="7" fillId="0" borderId="0" xfId="131" applyNumberFormat="1" applyFont="1" applyAlignment="1" applyProtection="1">
      <alignment horizontal="left"/>
      <protection locked="0"/>
    </xf>
    <xf numFmtId="49" fontId="7" fillId="0" borderId="0" xfId="131" applyNumberFormat="1" applyFont="1" applyAlignment="1" applyProtection="1">
      <alignment horizontal="left"/>
      <protection locked="0"/>
    </xf>
    <xf numFmtId="169" fontId="8" fillId="2" borderId="0" xfId="120" applyNumberFormat="1" applyFont="1" applyFill="1" applyAlignment="1" applyProtection="1">
      <alignment horizontal="left"/>
    </xf>
    <xf numFmtId="0" fontId="38" fillId="0" borderId="0" xfId="0" applyFont="1"/>
    <xf numFmtId="0" fontId="32" fillId="0" borderId="0" xfId="0" applyFont="1"/>
    <xf numFmtId="166" fontId="32" fillId="0" borderId="0" xfId="122" applyFont="1" applyFill="1"/>
    <xf numFmtId="168" fontId="32" fillId="0" borderId="0" xfId="0" applyNumberFormat="1" applyFont="1"/>
    <xf numFmtId="166" fontId="32" fillId="0" borderId="0" xfId="122" applyFont="1" applyFill="1" applyAlignment="1" applyProtection="1">
      <alignment horizontal="left"/>
    </xf>
    <xf numFmtId="173" fontId="32" fillId="0" borderId="0" xfId="122" applyNumberFormat="1" applyFont="1" applyFill="1" applyAlignment="1" applyProtection="1">
      <alignment horizontal="left"/>
    </xf>
    <xf numFmtId="173" fontId="32" fillId="0" borderId="0" xfId="122" applyNumberFormat="1" applyFont="1" applyFill="1"/>
    <xf numFmtId="0" fontId="38" fillId="0" borderId="0" xfId="0" applyFont="1" applyFill="1"/>
    <xf numFmtId="173" fontId="32" fillId="0" borderId="0" xfId="0" applyNumberFormat="1" applyFont="1" applyFill="1"/>
    <xf numFmtId="173" fontId="38" fillId="0" borderId="0" xfId="0" applyNumberFormat="1" applyFont="1" applyFill="1"/>
    <xf numFmtId="168" fontId="38" fillId="0" borderId="0" xfId="0" applyNumberFormat="1" applyFont="1" applyFill="1"/>
    <xf numFmtId="173" fontId="36" fillId="0" borderId="0" xfId="0" applyNumberFormat="1" applyFont="1" applyFill="1"/>
    <xf numFmtId="1" fontId="38" fillId="0" borderId="0" xfId="0" applyNumberFormat="1" applyFont="1" applyFill="1"/>
    <xf numFmtId="3" fontId="38" fillId="0" borderId="0" xfId="0" applyNumberFormat="1" applyFont="1" applyFill="1"/>
    <xf numFmtId="174" fontId="38" fillId="0" borderId="0" xfId="0" applyNumberFormat="1" applyFont="1" applyFill="1"/>
    <xf numFmtId="0" fontId="40" fillId="0" borderId="0" xfId="0" applyFont="1"/>
    <xf numFmtId="0" fontId="40" fillId="2" borderId="0" xfId="0" applyFont="1" applyFill="1"/>
    <xf numFmtId="0" fontId="40" fillId="0" borderId="0" xfId="0" applyFont="1" applyBorder="1"/>
    <xf numFmtId="168" fontId="40" fillId="2" borderId="0" xfId="0" applyNumberFormat="1" applyFont="1" applyFill="1"/>
    <xf numFmtId="167" fontId="40" fillId="0" borderId="0" xfId="0" applyNumberFormat="1" applyFont="1"/>
    <xf numFmtId="3" fontId="40" fillId="0" borderId="0" xfId="0" applyNumberFormat="1" applyFont="1"/>
    <xf numFmtId="0" fontId="38" fillId="0" borderId="0" xfId="63" applyFont="1" applyFill="1"/>
    <xf numFmtId="0" fontId="38" fillId="0" borderId="0" xfId="63" applyFont="1" applyFill="1" applyAlignment="1">
      <alignment horizontal="left"/>
    </xf>
    <xf numFmtId="0" fontId="40" fillId="0" borderId="0" xfId="63" applyFont="1" applyFill="1"/>
    <xf numFmtId="0" fontId="38" fillId="0" borderId="0" xfId="62" applyFont="1" applyFill="1"/>
    <xf numFmtId="168" fontId="38" fillId="0" borderId="0" xfId="62" applyNumberFormat="1" applyFont="1" applyFill="1"/>
    <xf numFmtId="2" fontId="38" fillId="0" borderId="0" xfId="62" applyNumberFormat="1" applyFont="1" applyFill="1"/>
    <xf numFmtId="0" fontId="38" fillId="0" borderId="0" xfId="0" applyFont="1" applyFill="1" applyAlignment="1">
      <alignment horizontal="center"/>
    </xf>
    <xf numFmtId="174" fontId="38" fillId="0" borderId="0" xfId="133" applyNumberFormat="1" applyFont="1" applyFill="1"/>
    <xf numFmtId="3" fontId="4" fillId="0" borderId="0" xfId="63" applyNumberFormat="1" applyFont="1"/>
    <xf numFmtId="3" fontId="4" fillId="0" borderId="0" xfId="63" applyNumberFormat="1" applyFont="1" applyFill="1"/>
    <xf numFmtId="0" fontId="2" fillId="0" borderId="0" xfId="63" applyFont="1" applyFill="1"/>
    <xf numFmtId="167" fontId="39" fillId="0" borderId="0" xfId="131" applyNumberFormat="1" applyFont="1" applyFill="1" applyAlignment="1" applyProtection="1">
      <alignment horizontal="right"/>
      <protection locked="0"/>
    </xf>
    <xf numFmtId="167" fontId="38" fillId="0" borderId="0" xfId="130" applyNumberFormat="1" applyFont="1" applyFill="1" applyAlignment="1" applyProtection="1">
      <alignment horizontal="right"/>
    </xf>
    <xf numFmtId="175" fontId="38" fillId="0" borderId="0" xfId="130" applyNumberFormat="1" applyFont="1" applyFill="1" applyAlignment="1" applyProtection="1"/>
    <xf numFmtId="175" fontId="38" fillId="0" borderId="0" xfId="63" applyNumberFormat="1" applyFont="1" applyFill="1" applyAlignment="1">
      <alignment horizontal="right"/>
    </xf>
    <xf numFmtId="167" fontId="38" fillId="0" borderId="0" xfId="63" applyNumberFormat="1" applyFont="1" applyFill="1"/>
    <xf numFmtId="0" fontId="41" fillId="0" borderId="0" xfId="0" applyFont="1" applyAlignment="1">
      <alignment horizontal="center"/>
    </xf>
    <xf numFmtId="176" fontId="4" fillId="0" borderId="0" xfId="0" applyNumberFormat="1" applyFont="1"/>
    <xf numFmtId="167" fontId="8" fillId="0" borderId="2" xfId="119" applyNumberFormat="1" applyFont="1" applyFill="1" applyBorder="1" applyAlignment="1" applyProtection="1">
      <alignment horizontal="left"/>
    </xf>
    <xf numFmtId="3" fontId="36" fillId="2" borderId="0" xfId="130" applyNumberFormat="1" applyFont="1" applyFill="1" applyAlignment="1" applyProtection="1"/>
    <xf numFmtId="167" fontId="4" fillId="2" borderId="0" xfId="0" applyNumberFormat="1" applyFont="1" applyFill="1"/>
    <xf numFmtId="167" fontId="38" fillId="0" borderId="0" xfId="0" applyNumberFormat="1" applyFont="1"/>
    <xf numFmtId="0" fontId="4" fillId="0" borderId="0" xfId="0" applyFont="1" applyBorder="1" applyAlignment="1">
      <alignment horizontal="left"/>
    </xf>
    <xf numFmtId="166" fontId="4" fillId="0" borderId="0" xfId="129" applyFont="1" applyBorder="1" applyProtection="1"/>
    <xf numFmtId="0" fontId="4" fillId="0" borderId="3" xfId="0" applyFont="1" applyBorder="1" applyAlignment="1"/>
    <xf numFmtId="167" fontId="8" fillId="0" borderId="0" xfId="0" applyNumberFormat="1" applyFont="1" applyBorder="1"/>
    <xf numFmtId="166" fontId="8" fillId="0" borderId="0" xfId="130" quotePrefix="1" applyFont="1" applyBorder="1" applyAlignment="1" applyProtection="1">
      <alignment horizontal="left"/>
    </xf>
    <xf numFmtId="3" fontId="31" fillId="2" borderId="0" xfId="130" applyNumberFormat="1" applyFont="1" applyFill="1" applyBorder="1" applyAlignment="1" applyProtection="1">
      <alignment horizontal="right"/>
    </xf>
    <xf numFmtId="3" fontId="11" fillId="2" borderId="0" xfId="130" applyNumberFormat="1" applyFont="1" applyFill="1" applyBorder="1" applyAlignment="1" applyProtection="1">
      <alignment horizontal="right"/>
    </xf>
    <xf numFmtId="3" fontId="11" fillId="2" borderId="0" xfId="130" applyNumberFormat="1" applyFont="1" applyFill="1" applyAlignment="1" applyProtection="1"/>
    <xf numFmtId="167" fontId="32" fillId="2" borderId="0" xfId="0" applyNumberFormat="1" applyFont="1" applyFill="1" applyBorder="1"/>
    <xf numFmtId="167" fontId="32" fillId="0" borderId="0" xfId="0" applyNumberFormat="1" applyFont="1" applyBorder="1"/>
    <xf numFmtId="0" fontId="39" fillId="0" borderId="0" xfId="62" applyFont="1" applyFill="1" applyAlignment="1">
      <alignment horizontal="center"/>
    </xf>
    <xf numFmtId="0" fontId="40" fillId="0" borderId="0" xfId="0" applyFont="1" applyFill="1"/>
    <xf numFmtId="3" fontId="40" fillId="0" borderId="0" xfId="0" applyNumberFormat="1" applyFont="1" applyFill="1"/>
    <xf numFmtId="168" fontId="40" fillId="0" borderId="0" xfId="0" applyNumberFormat="1" applyFont="1"/>
    <xf numFmtId="168" fontId="40" fillId="0" borderId="0" xfId="0" applyNumberFormat="1" applyFont="1" applyFill="1"/>
    <xf numFmtId="167" fontId="40" fillId="0" borderId="0" xfId="0" applyNumberFormat="1" applyFont="1" applyFill="1"/>
    <xf numFmtId="167" fontId="8" fillId="0" borderId="0" xfId="119" applyNumberFormat="1" applyFont="1" applyFill="1" applyAlignment="1" applyProtection="1">
      <alignment horizontal="left" wrapText="1"/>
    </xf>
    <xf numFmtId="1" fontId="36" fillId="0" borderId="0" xfId="128" applyNumberFormat="1" applyFont="1" applyFill="1" applyBorder="1" applyAlignment="1" applyProtection="1">
      <alignment horizontal="right"/>
    </xf>
    <xf numFmtId="175" fontId="8" fillId="0" borderId="0" xfId="63" applyNumberFormat="1" applyFont="1" applyFill="1" applyAlignment="1">
      <alignment horizontal="right"/>
    </xf>
    <xf numFmtId="166" fontId="8" fillId="0" borderId="2" xfId="131" applyNumberFormat="1" applyFont="1" applyFill="1" applyBorder="1" applyAlignment="1" applyProtection="1">
      <alignment horizontal="left"/>
      <protection locked="0"/>
    </xf>
    <xf numFmtId="3" fontId="8" fillId="0" borderId="2" xfId="63" applyNumberFormat="1" applyFont="1" applyBorder="1"/>
    <xf numFmtId="175" fontId="8" fillId="0" borderId="2" xfId="63" applyNumberFormat="1" applyFont="1" applyBorder="1"/>
    <xf numFmtId="3" fontId="8" fillId="0" borderId="0" xfId="131" applyNumberFormat="1" applyFont="1" applyAlignment="1" applyProtection="1">
      <alignment horizontal="right"/>
      <protection locked="0"/>
    </xf>
    <xf numFmtId="175" fontId="8" fillId="0" borderId="0" xfId="131" applyNumberFormat="1" applyFont="1" applyAlignment="1" applyProtection="1">
      <alignment horizontal="right"/>
      <protection locked="0"/>
    </xf>
    <xf numFmtId="166" fontId="8" fillId="0" borderId="0" xfId="130" applyFont="1" applyBorder="1" applyAlignment="1" applyProtection="1">
      <alignment horizontal="left"/>
    </xf>
    <xf numFmtId="3" fontId="8" fillId="2" borderId="0" xfId="130" applyNumberFormat="1" applyFont="1" applyFill="1" applyBorder="1" applyAlignment="1" applyProtection="1">
      <alignment horizontal="right"/>
      <protection locked="0"/>
    </xf>
    <xf numFmtId="3" fontId="8" fillId="0" borderId="0" xfId="130" applyNumberFormat="1" applyFont="1" applyFill="1" applyBorder="1" applyAlignment="1" applyProtection="1">
      <alignment horizontal="right"/>
      <protection locked="0"/>
    </xf>
    <xf numFmtId="0" fontId="8" fillId="0" borderId="0" xfId="0" applyFont="1" applyBorder="1" applyAlignment="1"/>
    <xf numFmtId="0" fontId="4" fillId="0" borderId="0" xfId="0" applyFont="1" applyBorder="1" applyAlignment="1"/>
    <xf numFmtId="166" fontId="8" fillId="0" borderId="4" xfId="130" applyFont="1" applyBorder="1" applyAlignment="1" applyProtection="1">
      <alignment horizontal="left"/>
    </xf>
    <xf numFmtId="3" fontId="8" fillId="2" borderId="4" xfId="130" applyNumberFormat="1" applyFont="1" applyFill="1" applyBorder="1" applyAlignment="1" applyProtection="1">
      <alignment horizontal="right"/>
      <protection locked="0"/>
    </xf>
    <xf numFmtId="3" fontId="8" fillId="0" borderId="4" xfId="130" applyNumberFormat="1" applyFont="1" applyFill="1" applyBorder="1" applyAlignment="1" applyProtection="1">
      <alignment horizontal="right"/>
      <protection locked="0"/>
    </xf>
    <xf numFmtId="166" fontId="8" fillId="0" borderId="5" xfId="130" applyFont="1" applyBorder="1" applyAlignment="1" applyProtection="1">
      <alignment horizontal="left"/>
    </xf>
    <xf numFmtId="3" fontId="8" fillId="2" borderId="5" xfId="130" applyNumberFormat="1" applyFont="1" applyFill="1" applyBorder="1" applyAlignment="1" applyProtection="1">
      <alignment horizontal="right"/>
      <protection locked="0"/>
    </xf>
    <xf numFmtId="3" fontId="8" fillId="0" borderId="5" xfId="130" applyNumberFormat="1" applyFont="1" applyFill="1" applyBorder="1" applyAlignment="1" applyProtection="1">
      <alignment horizontal="right"/>
      <protection locked="0"/>
    </xf>
    <xf numFmtId="0" fontId="4" fillId="2" borderId="0" xfId="0" applyFont="1" applyFill="1"/>
    <xf numFmtId="0" fontId="38" fillId="2" borderId="0" xfId="0" applyFont="1" applyFill="1"/>
    <xf numFmtId="175" fontId="8" fillId="0" borderId="0" xfId="0" applyNumberFormat="1" applyFont="1" applyFill="1"/>
    <xf numFmtId="169" fontId="8" fillId="0" borderId="0" xfId="120" applyNumberFormat="1" applyFont="1" applyFill="1" applyBorder="1" applyAlignment="1" applyProtection="1">
      <alignment horizontal="left"/>
    </xf>
    <xf numFmtId="173" fontId="8" fillId="0" borderId="0" xfId="0" applyNumberFormat="1" applyFont="1" applyBorder="1"/>
    <xf numFmtId="166" fontId="8" fillId="0" borderId="4" xfId="122" applyFont="1" applyFill="1" applyBorder="1" applyAlignment="1" applyProtection="1">
      <alignment horizontal="left"/>
    </xf>
    <xf numFmtId="173" fontId="8" fillId="0" borderId="4" xfId="0" applyNumberFormat="1" applyFont="1" applyBorder="1"/>
    <xf numFmtId="0" fontId="4" fillId="0" borderId="0" xfId="0" applyFont="1" applyBorder="1"/>
    <xf numFmtId="0" fontId="38" fillId="0" borderId="0" xfId="0" applyFont="1" applyFill="1" applyBorder="1"/>
    <xf numFmtId="0" fontId="4" fillId="0" borderId="4" xfId="0" applyFont="1" applyBorder="1"/>
    <xf numFmtId="167" fontId="8" fillId="0" borderId="4" xfId="0" applyNumberFormat="1" applyFont="1" applyBorder="1"/>
    <xf numFmtId="167" fontId="11" fillId="2" borderId="0" xfId="129" applyNumberFormat="1" applyFont="1" applyFill="1" applyProtection="1"/>
    <xf numFmtId="166" fontId="36" fillId="3" borderId="0" xfId="127" applyNumberFormat="1" applyFont="1" applyFill="1" applyBorder="1" applyAlignment="1" applyProtection="1">
      <alignment horizontal="left" vertical="center"/>
    </xf>
    <xf numFmtId="1" fontId="36" fillId="3" borderId="0" xfId="127" applyNumberFormat="1" applyFont="1" applyFill="1" applyBorder="1" applyAlignment="1" applyProtection="1">
      <alignment horizontal="right" vertical="center"/>
    </xf>
    <xf numFmtId="0" fontId="8" fillId="0" borderId="3" xfId="0" applyFont="1" applyBorder="1" applyAlignment="1"/>
    <xf numFmtId="168" fontId="4" fillId="0" borderId="0" xfId="62" applyNumberFormat="1" applyFont="1" applyFill="1"/>
    <xf numFmtId="167" fontId="36" fillId="3" borderId="0" xfId="62" applyNumberFormat="1" applyFont="1" applyFill="1"/>
    <xf numFmtId="167" fontId="11" fillId="0" borderId="0" xfId="62" applyNumberFormat="1" applyFont="1" applyFill="1"/>
    <xf numFmtId="167" fontId="36" fillId="3" borderId="0" xfId="62" applyNumberFormat="1" applyFont="1" applyFill="1" applyAlignment="1">
      <alignment horizontal="right"/>
    </xf>
    <xf numFmtId="168" fontId="2" fillId="0" borderId="0" xfId="0" applyNumberFormat="1" applyFont="1"/>
    <xf numFmtId="3" fontId="2" fillId="0" borderId="0" xfId="0" applyNumberFormat="1" applyFont="1" applyFill="1"/>
    <xf numFmtId="168" fontId="2" fillId="0" borderId="0" xfId="0" applyNumberFormat="1" applyFont="1" applyFill="1"/>
    <xf numFmtId="175" fontId="32" fillId="0" borderId="0" xfId="0" applyNumberFormat="1" applyFont="1" applyFill="1"/>
    <xf numFmtId="167" fontId="11" fillId="2" borderId="0" xfId="130" quotePrefix="1" applyNumberFormat="1" applyFont="1" applyFill="1" applyAlignment="1" applyProtection="1">
      <alignment horizontal="right"/>
    </xf>
    <xf numFmtId="3" fontId="2" fillId="0" borderId="0" xfId="129" applyNumberFormat="1" applyFont="1" applyProtection="1"/>
    <xf numFmtId="3" fontId="11" fillId="0" borderId="0" xfId="0" applyNumberFormat="1" applyFont="1"/>
    <xf numFmtId="3" fontId="14" fillId="0" borderId="0" xfId="129" applyNumberFormat="1" applyFont="1" applyProtection="1"/>
    <xf numFmtId="167" fontId="11" fillId="0" borderId="0" xfId="0" applyNumberFormat="1" applyFont="1"/>
    <xf numFmtId="168" fontId="8" fillId="2" borderId="0" xfId="62" applyNumberFormat="1" applyFont="1" applyFill="1"/>
    <xf numFmtId="168" fontId="8" fillId="2" borderId="0" xfId="62" applyNumberFormat="1" applyFont="1" applyFill="1" applyAlignment="1">
      <alignment horizontal="right"/>
    </xf>
    <xf numFmtId="168" fontId="8" fillId="2" borderId="2" xfId="62" applyNumberFormat="1" applyFont="1" applyFill="1" applyBorder="1"/>
    <xf numFmtId="0" fontId="8" fillId="2" borderId="2" xfId="62" applyFont="1" applyFill="1" applyBorder="1"/>
    <xf numFmtId="0" fontId="8" fillId="2" borderId="2" xfId="62" applyFont="1" applyFill="1" applyBorder="1" applyAlignment="1">
      <alignment horizontal="right"/>
    </xf>
    <xf numFmtId="0" fontId="4" fillId="2" borderId="0" xfId="62" applyFont="1" applyFill="1"/>
    <xf numFmtId="167" fontId="45" fillId="2" borderId="0" xfId="0" applyNumberFormat="1" applyFont="1" applyFill="1"/>
    <xf numFmtId="167" fontId="40" fillId="2" borderId="0" xfId="0" applyNumberFormat="1" applyFont="1" applyFill="1"/>
    <xf numFmtId="167" fontId="44" fillId="2" borderId="0" xfId="0" applyNumberFormat="1" applyFont="1" applyFill="1" applyAlignment="1">
      <alignment horizontal="right"/>
    </xf>
    <xf numFmtId="167" fontId="46" fillId="2" borderId="0" xfId="0" applyNumberFormat="1" applyFont="1" applyFill="1"/>
    <xf numFmtId="167" fontId="46" fillId="2" borderId="0" xfId="0" applyNumberFormat="1" applyFont="1" applyFill="1" applyAlignment="1">
      <alignment horizontal="right"/>
    </xf>
    <xf numFmtId="0" fontId="44" fillId="2" borderId="0" xfId="0" applyFont="1" applyFill="1" applyAlignment="1">
      <alignment horizontal="right"/>
    </xf>
    <xf numFmtId="167" fontId="47" fillId="2" borderId="0" xfId="0" applyNumberFormat="1" applyFont="1" applyFill="1"/>
    <xf numFmtId="167" fontId="44" fillId="2" borderId="0" xfId="0" applyNumberFormat="1" applyFont="1" applyFill="1"/>
    <xf numFmtId="167" fontId="40" fillId="2" borderId="0" xfId="0" applyNumberFormat="1" applyFont="1" applyFill="1" applyAlignment="1">
      <alignment horizontal="right"/>
    </xf>
    <xf numFmtId="0" fontId="45" fillId="2" borderId="0" xfId="0" applyFont="1" applyFill="1"/>
    <xf numFmtId="0" fontId="40" fillId="2" borderId="0" xfId="0" applyFont="1" applyFill="1" applyAlignment="1">
      <alignment horizontal="right"/>
    </xf>
    <xf numFmtId="167" fontId="43" fillId="0" borderId="0" xfId="0" applyNumberFormat="1" applyFont="1"/>
    <xf numFmtId="167" fontId="40" fillId="0" borderId="0" xfId="0" applyNumberFormat="1" applyFont="1" applyBorder="1"/>
    <xf numFmtId="1" fontId="40" fillId="0" borderId="0" xfId="0" applyNumberFormat="1" applyFont="1"/>
    <xf numFmtId="3" fontId="40" fillId="2" borderId="0" xfId="0" applyNumberFormat="1" applyFont="1" applyFill="1"/>
    <xf numFmtId="3" fontId="32" fillId="0" borderId="0" xfId="130" applyNumberFormat="1" applyFont="1" applyFill="1" applyAlignment="1" applyProtection="1">
      <alignment horizontal="right"/>
    </xf>
    <xf numFmtId="3" fontId="32" fillId="0" borderId="0" xfId="130" quotePrefix="1" applyNumberFormat="1" applyFont="1" applyFill="1" applyAlignment="1" applyProtection="1">
      <alignment horizontal="right"/>
    </xf>
    <xf numFmtId="0" fontId="11" fillId="0" borderId="0" xfId="62" applyFont="1" applyFill="1" applyAlignment="1">
      <alignment horizontal="center"/>
    </xf>
    <xf numFmtId="0" fontId="11" fillId="0" borderId="0" xfId="63" applyFont="1" applyFill="1" applyAlignment="1"/>
    <xf numFmtId="167" fontId="39" fillId="3" borderId="0" xfId="62" applyNumberFormat="1" applyFont="1" applyFill="1" applyAlignment="1">
      <alignment horizontal="center"/>
    </xf>
    <xf numFmtId="0" fontId="11" fillId="0" borderId="0" xfId="62" applyFont="1" applyFill="1" applyAlignment="1">
      <alignment horizontal="center"/>
    </xf>
    <xf numFmtId="0" fontId="36" fillId="3" borderId="0" xfId="62" applyFont="1" applyFill="1" applyAlignment="1">
      <alignment horizontal="center"/>
    </xf>
    <xf numFmtId="0" fontId="36" fillId="3" borderId="0" xfId="62" applyFont="1" applyFill="1" applyAlignment="1">
      <alignment horizontal="center" wrapText="1"/>
    </xf>
    <xf numFmtId="167" fontId="36" fillId="3" borderId="0" xfId="62" applyNumberFormat="1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167" fontId="11" fillId="0" borderId="0" xfId="0" applyNumberFormat="1" applyFont="1" applyBorder="1" applyAlignment="1">
      <alignment horizontal="center"/>
    </xf>
    <xf numFmtId="167" fontId="36" fillId="3" borderId="0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6" fontId="36" fillId="3" borderId="0" xfId="124" applyFont="1" applyFill="1" applyAlignment="1" applyProtection="1">
      <alignment horizontal="center"/>
    </xf>
    <xf numFmtId="166" fontId="43" fillId="0" borderId="0" xfId="129" applyFont="1" applyFill="1" applyAlignment="1" applyProtection="1">
      <alignment horizontal="center"/>
    </xf>
    <xf numFmtId="166" fontId="36" fillId="3" borderId="0" xfId="127" applyNumberFormat="1" applyFont="1" applyFill="1" applyBorder="1" applyAlignment="1" applyProtection="1">
      <alignment horizontal="center" vertical="center"/>
    </xf>
    <xf numFmtId="166" fontId="36" fillId="3" borderId="0" xfId="124" applyFont="1" applyFill="1" applyAlignment="1" applyProtection="1">
      <alignment horizontal="center" vertical="center"/>
    </xf>
    <xf numFmtId="0" fontId="36" fillId="3" borderId="0" xfId="0" applyFont="1" applyFill="1" applyAlignment="1">
      <alignment horizontal="center" vertical="center"/>
    </xf>
    <xf numFmtId="3" fontId="36" fillId="3" borderId="0" xfId="124" applyNumberFormat="1" applyFont="1" applyFill="1" applyAlignment="1" applyProtection="1">
      <alignment horizontal="center" vertical="center"/>
    </xf>
    <xf numFmtId="0" fontId="7" fillId="2" borderId="0" xfId="0" applyFont="1" applyFill="1" applyAlignment="1">
      <alignment horizontal="center"/>
    </xf>
    <xf numFmtId="167" fontId="36" fillId="3" borderId="0" xfId="124" applyNumberFormat="1" applyFont="1" applyFill="1" applyAlignment="1" applyProtection="1">
      <alignment horizontal="center" vertical="center"/>
    </xf>
    <xf numFmtId="167" fontId="32" fillId="3" borderId="0" xfId="124" applyNumberFormat="1" applyFont="1" applyFill="1" applyAlignment="1" applyProtection="1">
      <alignment horizontal="center" vertical="center"/>
    </xf>
  </cellXfs>
  <cellStyles count="138">
    <cellStyle name="=C:\WINNT\SYSTEM32\COMMAND.COM" xfId="1"/>
    <cellStyle name="=C:\WINNT\SYSTEM32\COMMAND.COM 2" xfId="2"/>
    <cellStyle name="=C:\WINNT\SYSTEM32\COMMAND.COM 3" xfId="3"/>
    <cellStyle name="Euro" xfId="4"/>
    <cellStyle name="Millares 2" xfId="5"/>
    <cellStyle name="Moneda 2" xfId="6"/>
    <cellStyle name="Normal" xfId="0" builtinId="0"/>
    <cellStyle name="Normal 10" xfId="7"/>
    <cellStyle name="Normal 10 2" xfId="8"/>
    <cellStyle name="Normal 10 2 2" xfId="9"/>
    <cellStyle name="Normal 10 2 2 2" xfId="10"/>
    <cellStyle name="Normal 10 2 2 2 2" xfId="11"/>
    <cellStyle name="Normal 10 2 2 3" xfId="12"/>
    <cellStyle name="Normal 10 2 2 3 2" xfId="13"/>
    <cellStyle name="Normal 10 2 2 4" xfId="14"/>
    <cellStyle name="Normal 10 3" xfId="15"/>
    <cellStyle name="Normal 10 3 2" xfId="16"/>
    <cellStyle name="Normal 10 3 2 2" xfId="17"/>
    <cellStyle name="Normal 10 3 2 3" xfId="18"/>
    <cellStyle name="Normal 10 3 2 4" xfId="19"/>
    <cellStyle name="Normal 10 4" xfId="20"/>
    <cellStyle name="Normal 10 4 2" xfId="21"/>
    <cellStyle name="Normal 10 4 2 2" xfId="22"/>
    <cellStyle name="Normal 10 4 2 2 2" xfId="23"/>
    <cellStyle name="Normal 10 4 2 3" xfId="24"/>
    <cellStyle name="Normal 10 4 2 4" xfId="25"/>
    <cellStyle name="Normal 10 5" xfId="26"/>
    <cellStyle name="Normal 10 5 2" xfId="27"/>
    <cellStyle name="Normal 10 6" xfId="28"/>
    <cellStyle name="Normal 11" xfId="29"/>
    <cellStyle name="Normal 11 2" xfId="30"/>
    <cellStyle name="Normal 12" xfId="31"/>
    <cellStyle name="Normal 12 2" xfId="32"/>
    <cellStyle name="Normal 12 2 2" xfId="33"/>
    <cellStyle name="Normal 13" xfId="34"/>
    <cellStyle name="Normal 13 2" xfId="35"/>
    <cellStyle name="Normal 13 3" xfId="36"/>
    <cellStyle name="Normal 13 3 2" xfId="37"/>
    <cellStyle name="Normal 13 4" xfId="38"/>
    <cellStyle name="Normal 13 5" xfId="39"/>
    <cellStyle name="Normal 13 6" xfId="40"/>
    <cellStyle name="Normal 14" xfId="41"/>
    <cellStyle name="Normal 14 2" xfId="42"/>
    <cellStyle name="Normal 14 2 2" xfId="43"/>
    <cellStyle name="Normal 14 2 2 2" xfId="44"/>
    <cellStyle name="Normal 14 2 2 2 2" xfId="45"/>
    <cellStyle name="Normal 14 2 2 3" xfId="46"/>
    <cellStyle name="Normal 14 2 2 4" xfId="47"/>
    <cellStyle name="Normal 14 2 2 5" xfId="48"/>
    <cellStyle name="Normal 15" xfId="49"/>
    <cellStyle name="Normal 16" xfId="50"/>
    <cellStyle name="Normal 16 2" xfId="51"/>
    <cellStyle name="Normal 16 2 2" xfId="52"/>
    <cellStyle name="Normal 16 2 2 2" xfId="53"/>
    <cellStyle name="Normal 16 2 3" xfId="54"/>
    <cellStyle name="Normal 17" xfId="55"/>
    <cellStyle name="Normal 17 2" xfId="56"/>
    <cellStyle name="Normal 17 2 2" xfId="57"/>
    <cellStyle name="Normal 17 3" xfId="58"/>
    <cellStyle name="Normal 18" xfId="59"/>
    <cellStyle name="Normal 18 2" xfId="60"/>
    <cellStyle name="Normal 19" xfId="61"/>
    <cellStyle name="Normal 2" xfId="62"/>
    <cellStyle name="Normal 2 2" xfId="63"/>
    <cellStyle name="Normal 2 3" xfId="64"/>
    <cellStyle name="Normal 2 4" xfId="65"/>
    <cellStyle name="Normal 2 5" xfId="66"/>
    <cellStyle name="Normal 2_Hoja1" xfId="67"/>
    <cellStyle name="Normal 20" xfId="68"/>
    <cellStyle name="Normal 20 2" xfId="69"/>
    <cellStyle name="Normal 21" xfId="70"/>
    <cellStyle name="Normal 22" xfId="71"/>
    <cellStyle name="Normal 23" xfId="72"/>
    <cellStyle name="Normal 24" xfId="73"/>
    <cellStyle name="Normal 25" xfId="74"/>
    <cellStyle name="Normal 26" xfId="75"/>
    <cellStyle name="Normal 27" xfId="76"/>
    <cellStyle name="Normal 28" xfId="77"/>
    <cellStyle name="Normal 29" xfId="78"/>
    <cellStyle name="Normal 3" xfId="79"/>
    <cellStyle name="Normal 30" xfId="80"/>
    <cellStyle name="Normal 31" xfId="81"/>
    <cellStyle name="Normal 4" xfId="82"/>
    <cellStyle name="Normal 4 2" xfId="83"/>
    <cellStyle name="Normal 5" xfId="84"/>
    <cellStyle name="Normal 6" xfId="85"/>
    <cellStyle name="Normal 6 2" xfId="86"/>
    <cellStyle name="Normal 6 2 2" xfId="87"/>
    <cellStyle name="Normal 6 2 2 2" xfId="88"/>
    <cellStyle name="Normal 6 3" xfId="89"/>
    <cellStyle name="Normal 6 3 2" xfId="90"/>
    <cellStyle name="Normal 6 4" xfId="91"/>
    <cellStyle name="Normal 6 4 2" xfId="92"/>
    <cellStyle name="Normal 6 5" xfId="93"/>
    <cellStyle name="Normal 6 5 2" xfId="94"/>
    <cellStyle name="Normal 6 5 2 2" xfId="95"/>
    <cellStyle name="Normal 6 6" xfId="96"/>
    <cellStyle name="Normal 6 7" xfId="97"/>
    <cellStyle name="Normal 6 8" xfId="98"/>
    <cellStyle name="Normal 6 9" xfId="99"/>
    <cellStyle name="Normal 7" xfId="100"/>
    <cellStyle name="Normal 7 2" xfId="101"/>
    <cellStyle name="Normal 7 2 2" xfId="102"/>
    <cellStyle name="Normal 7 3" xfId="103"/>
    <cellStyle name="Normal 7 3 2" xfId="104"/>
    <cellStyle name="Normal 7 4" xfId="105"/>
    <cellStyle name="Normal 7 4 2" xfId="106"/>
    <cellStyle name="Normal 8" xfId="107"/>
    <cellStyle name="Normal 8 2" xfId="108"/>
    <cellStyle name="Normal 8 2 2" xfId="109"/>
    <cellStyle name="Normal 8 2 2 2" xfId="110"/>
    <cellStyle name="Normal 8 3" xfId="111"/>
    <cellStyle name="Normal 8 3 2" xfId="112"/>
    <cellStyle name="Normal 8 3 2 2" xfId="113"/>
    <cellStyle name="Normal 8 3 3" xfId="114"/>
    <cellStyle name="Normal 9" xfId="115"/>
    <cellStyle name="Normal 9 2" xfId="116"/>
    <cellStyle name="Normal 9 2 2" xfId="117"/>
    <cellStyle name="Normal 9 3" xfId="118"/>
    <cellStyle name="Normal_C01NEW 2" xfId="119"/>
    <cellStyle name="Normal_C02" xfId="120"/>
    <cellStyle name="Normal_C02 2" xfId="121"/>
    <cellStyle name="Normal_C05" xfId="122"/>
    <cellStyle name="Normal_CINT-35" xfId="123"/>
    <cellStyle name="Normal_CUEN-1" xfId="124"/>
    <cellStyle name="Normal_CUEN-1 2" xfId="125"/>
    <cellStyle name="Normal_CUEN-2" xfId="126"/>
    <cellStyle name="Normal_CUEN-2 2" xfId="127"/>
    <cellStyle name="Normal_CUEN-2 2 2" xfId="128"/>
    <cellStyle name="Normal_CUEN-3" xfId="129"/>
    <cellStyle name="Normal_CUEN-5-6" xfId="130"/>
    <cellStyle name="Normal_CUEN-7 2 2" xfId="131"/>
    <cellStyle name="Normal_JUanC1" xfId="132"/>
    <cellStyle name="Porcentaje" xfId="133" builtinId="5"/>
    <cellStyle name="Porcentaje 2" xfId="134"/>
    <cellStyle name="Porcentaje 2 2" xfId="135"/>
    <cellStyle name="Porcentaje 2 2 2" xfId="136"/>
    <cellStyle name="Porcentaje 2 2 2 2" xfId="137"/>
  </cellStyles>
  <dxfs count="0"/>
  <tableStyles count="0" defaultTableStyle="TableStyleMedium9" defaultPivotStyle="PivotStyleLight16"/>
  <colors>
    <mruColors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865032693202"/>
          <c:y val="0.24467466912056121"/>
          <c:w val="0.73325997063264137"/>
          <c:h val="0.549826535342013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'[1]5.2'!$I$9</c:f>
              <c:strCache>
                <c:ptCount val="1"/>
                <c:pt idx="0">
                  <c:v>PIB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'5.2'!$L$9:$P$9</c:f>
              <c:numCache>
                <c:formatCode>0.0</c:formatCode>
                <c:ptCount val="5"/>
                <c:pt idx="0">
                  <c:v>88.840863446151317</c:v>
                </c:pt>
                <c:pt idx="1">
                  <c:v>90.409768642475825</c:v>
                </c:pt>
                <c:pt idx="2">
                  <c:v>93.01067070529237</c:v>
                </c:pt>
                <c:pt idx="3">
                  <c:v>68.903610329199921</c:v>
                </c:pt>
                <c:pt idx="4">
                  <c:v>67.209189938041376</c:v>
                </c:pt>
              </c:numCache>
            </c:numRef>
          </c:val>
        </c:ser>
        <c:ser>
          <c:idx val="1"/>
          <c:order val="1"/>
          <c:tx>
            <c:strRef>
              <c:f>'[1]5.2'!$I$10</c:f>
              <c:strCache>
                <c:ptCount val="1"/>
                <c:pt idx="0">
                  <c:v>Importaciones</c:v>
                </c:pt>
              </c:strCache>
            </c:strRef>
          </c:tx>
          <c:spPr>
            <a:solidFill>
              <a:srgbClr val="D39337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'5.2'!$L$10:$P$10</c:f>
              <c:numCache>
                <c:formatCode>0.0</c:formatCode>
                <c:ptCount val="5"/>
                <c:pt idx="0">
                  <c:v>11.159136553848681</c:v>
                </c:pt>
                <c:pt idx="1">
                  <c:v>9.5902313575241678</c:v>
                </c:pt>
                <c:pt idx="2">
                  <c:v>6.9893292947076233</c:v>
                </c:pt>
                <c:pt idx="3">
                  <c:v>31.096389670800079</c:v>
                </c:pt>
                <c:pt idx="4">
                  <c:v>32.790810061958624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680163328"/>
        <c:axId val="159046976"/>
      </c:barChart>
      <c:catAx>
        <c:axId val="68016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9046976"/>
        <c:crosses val="autoZero"/>
        <c:auto val="1"/>
        <c:lblAlgn val="ctr"/>
        <c:lblOffset val="100"/>
        <c:noMultiLvlLbl val="0"/>
      </c:catAx>
      <c:valAx>
        <c:axId val="159046976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alibri" pitchFamily="34" charset="0"/>
                <a:cs typeface="Calibri" pitchFamily="34" charset="0"/>
              </a:defRPr>
            </a:pPr>
            <a:endParaRPr lang="es-MX"/>
          </a:p>
        </c:txPr>
        <c:crossAx val="680163328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6557097029537"/>
          <c:y val="0.16714129483814524"/>
          <c:w val="0.73138716356107658"/>
          <c:h val="0.6824843248760571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9E4E16"/>
              </a:solidFill>
            </a:ln>
          </c:spPr>
          <c:marker>
            <c:spPr>
              <a:solidFill>
                <a:srgbClr val="20335D"/>
              </a:solidFill>
            </c:spPr>
          </c:marker>
          <c:dLbls>
            <c:dLbl>
              <c:idx val="0"/>
              <c:layout>
                <c:manualLayout>
                  <c:x val="-0.14492753623188404"/>
                  <c:y val="-1.3888888888888867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7267080745341616E-2"/>
                  <c:y val="6.0185185185185182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2422360248447204E-2"/>
                  <c:y val="-4.6296296296296294E-3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6054585591009432E-2"/>
                  <c:y val="6.7722961561709955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'5.8'!$I$10:$I$14</c:f>
              <c:numCache>
                <c:formatCode>#,##0.0</c:formatCode>
                <c:ptCount val="5"/>
                <c:pt idx="0">
                  <c:v>27.083548449664153</c:v>
                </c:pt>
                <c:pt idx="1">
                  <c:v>22.820891135441602</c:v>
                </c:pt>
                <c:pt idx="2">
                  <c:v>15.682550269301496</c:v>
                </c:pt>
                <c:pt idx="3">
                  <c:v>80.023903158718738</c:v>
                </c:pt>
                <c:pt idx="4">
                  <c:v>88.803125611222995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059008"/>
        <c:axId val="701647104"/>
      </c:lineChart>
      <c:catAx>
        <c:axId val="70205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01647104"/>
        <c:crosses val="autoZero"/>
        <c:auto val="1"/>
        <c:lblAlgn val="ctr"/>
        <c:lblOffset val="100"/>
        <c:noMultiLvlLbl val="0"/>
      </c:catAx>
      <c:valAx>
        <c:axId val="701647104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702059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1">
            <a:lumMod val="75000"/>
          </a:schemeClr>
        </a:solidFill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985855934674834"/>
          <c:y val="0.16251166520851559"/>
          <c:w val="0.83643773694954793"/>
          <c:h val="0.461625838436862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'[1]5.9'!$A$9:$A$14</c:f>
              <c:strCache>
                <c:ptCount val="6"/>
                <c:pt idx="0">
                  <c:v>  Servicios públicos generales, económicos y otros</c:v>
                </c:pt>
                <c:pt idx="1">
                  <c:v>  Educación</c:v>
                </c:pt>
                <c:pt idx="2">
                  <c:v>  Sanidad</c:v>
                </c:pt>
                <c:pt idx="3">
                  <c:v>  Asistencia social</c:v>
                </c:pt>
                <c:pt idx="4">
                  <c:v>  Viviendas y ordenamiento urbano y rural</c:v>
                </c:pt>
                <c:pt idx="5">
                  <c:v>  Cultura, Deporte y Recreación</c:v>
                </c:pt>
              </c:strCache>
            </c:strRef>
          </c:cat>
          <c:val>
            <c:numRef>
              <c:f>'5.9'!$H$9:$H$14</c:f>
              <c:numCache>
                <c:formatCode>#,##0.0</c:formatCode>
                <c:ptCount val="6"/>
                <c:pt idx="0">
                  <c:v>33.200018245500978</c:v>
                </c:pt>
                <c:pt idx="1">
                  <c:v>25.512305522854916</c:v>
                </c:pt>
                <c:pt idx="2">
                  <c:v>32.18792671908043</c:v>
                </c:pt>
                <c:pt idx="3">
                  <c:v>0.57944023191196337</c:v>
                </c:pt>
                <c:pt idx="4">
                  <c:v>3.0094886310148281</c:v>
                </c:pt>
                <c:pt idx="5">
                  <c:v>5.5108206496368854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2062080"/>
        <c:axId val="701648832"/>
        <c:axId val="0"/>
      </c:bar3DChart>
      <c:catAx>
        <c:axId val="7020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1648832"/>
        <c:crosses val="autoZero"/>
        <c:auto val="1"/>
        <c:lblAlgn val="ctr"/>
        <c:lblOffset val="100"/>
        <c:noMultiLvlLbl val="0"/>
      </c:catAx>
      <c:valAx>
        <c:axId val="70164883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702062080"/>
        <c:crosses val="autoZero"/>
        <c:crossBetween val="between"/>
        <c:majorUnit val="20"/>
        <c:minorUnit val="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1">
            <a:lumMod val="75000"/>
          </a:schemeClr>
        </a:solidFill>
      </c:spPr>
    </c:floor>
    <c:sideWall>
      <c:thickness val="0"/>
      <c:spPr>
        <a:ln>
          <a:noFill/>
        </a:ln>
      </c:spPr>
    </c:sideWall>
    <c:backWall>
      <c:thickness val="0"/>
      <c:spPr>
        <a:ln>
          <a:noFill/>
        </a:ln>
      </c:spPr>
    </c:backWall>
    <c:plotArea>
      <c:layout>
        <c:manualLayout>
          <c:layoutTarget val="inner"/>
          <c:xMode val="edge"/>
          <c:yMode val="edge"/>
          <c:x val="0.15985855934674834"/>
          <c:y val="0.17177092446777487"/>
          <c:w val="0.83273403324584427"/>
          <c:h val="0.3319962088072324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20335D"/>
            </a:solidFill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'[1]5.9'!$A$18:$A$23</c:f>
              <c:strCache>
                <c:ptCount val="6"/>
                <c:pt idx="0">
                  <c:v>  Servicios públicos generales, económicos y otros</c:v>
                </c:pt>
                <c:pt idx="1">
                  <c:v>  Educación</c:v>
                </c:pt>
                <c:pt idx="2">
                  <c:v>  Sanidad</c:v>
                </c:pt>
                <c:pt idx="3">
                  <c:v>  Asistencia social</c:v>
                </c:pt>
                <c:pt idx="4">
                  <c:v>  Viviendas y ordenamiento urbano y rural</c:v>
                </c:pt>
                <c:pt idx="5">
                  <c:v>  Cultura, Deporte y Recreación</c:v>
                </c:pt>
              </c:strCache>
            </c:strRef>
          </c:cat>
          <c:val>
            <c:numRef>
              <c:f>'5.9'!$H$18:$H$23</c:f>
              <c:numCache>
                <c:formatCode>#,##0.0</c:formatCode>
                <c:ptCount val="6"/>
                <c:pt idx="0">
                  <c:v>21.474401491297279</c:v>
                </c:pt>
                <c:pt idx="1">
                  <c:v>26.272245533438994</c:v>
                </c:pt>
                <c:pt idx="2">
                  <c:v>34.26632502740329</c:v>
                </c:pt>
                <c:pt idx="3">
                  <c:v>1.3223394376915614</c:v>
                </c:pt>
                <c:pt idx="4">
                  <c:v>5.3850074355411888</c:v>
                </c:pt>
                <c:pt idx="5">
                  <c:v>11.2796810746277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2182400"/>
        <c:axId val="701650560"/>
        <c:axId val="0"/>
      </c:bar3DChart>
      <c:catAx>
        <c:axId val="7021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1650560"/>
        <c:crosses val="autoZero"/>
        <c:auto val="1"/>
        <c:lblAlgn val="ctr"/>
        <c:lblOffset val="100"/>
        <c:noMultiLvlLbl val="0"/>
      </c:catAx>
      <c:valAx>
        <c:axId val="701650560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702182400"/>
        <c:crosses val="autoZero"/>
        <c:crossBetween val="between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79952142897406E-2"/>
          <c:y val="0.18317004872352505"/>
          <c:w val="0.75193000874890636"/>
          <c:h val="0.6019765931958245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0000000000000024E-2"/>
                  <c:y val="-7.4074074074074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6666666666666666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3888888888888939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3333333333333329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9444444444444448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FFC000"/>
              </a:solidFill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'5.12-13'!$I$52:$M$52</c:f>
              <c:numCache>
                <c:formatCode>#,##0</c:formatCode>
                <c:ptCount val="5"/>
                <c:pt idx="0">
                  <c:v>14268.6</c:v>
                </c:pt>
                <c:pt idx="1">
                  <c:v>12329</c:v>
                </c:pt>
                <c:pt idx="2">
                  <c:v>9038</c:v>
                </c:pt>
                <c:pt idx="3">
                  <c:v>277406.09999999998</c:v>
                </c:pt>
                <c:pt idx="4">
                  <c:v>349274.587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'5.12-13'!$I$53:$M$53</c:f>
              <c:numCache>
                <c:formatCode>#,##0</c:formatCode>
                <c:ptCount val="5"/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'5.12-13'!$I$54:$M$54</c:f>
              <c:numCache>
                <c:formatCode>#,##0</c:formatCode>
                <c:ptCount val="5"/>
                <c:pt idx="0">
                  <c:v>2741.5</c:v>
                </c:pt>
                <c:pt idx="1">
                  <c:v>2392</c:v>
                </c:pt>
                <c:pt idx="2">
                  <c:v>1783.3</c:v>
                </c:pt>
                <c:pt idx="3">
                  <c:v>49026.5</c:v>
                </c:pt>
                <c:pt idx="4">
                  <c:v>59313.587</c:v>
                </c:pt>
              </c:numCache>
            </c:numRef>
          </c:val>
          <c:smooth val="0"/>
        </c:ser>
        <c:ser>
          <c:idx val="3"/>
          <c:order val="3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'5.12-13'!$I$55:$M$55</c:f>
              <c:numCache>
                <c:formatCode>#,##0</c:formatCode>
                <c:ptCount val="5"/>
                <c:pt idx="0">
                  <c:v>11527.1</c:v>
                </c:pt>
                <c:pt idx="1">
                  <c:v>9937</c:v>
                </c:pt>
                <c:pt idx="2">
                  <c:v>7254.7</c:v>
                </c:pt>
                <c:pt idx="3">
                  <c:v>228379.6</c:v>
                </c:pt>
                <c:pt idx="4">
                  <c:v>289961</c:v>
                </c:pt>
              </c:numCache>
            </c:numRef>
          </c:val>
          <c:smooth val="0"/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5555774278215224E-2"/>
                  <c:y val="6.481445027704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5555555555555552E-2"/>
                  <c:y val="9.72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8333333333333383E-2"/>
                  <c:y val="8.7962962962962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444444444444442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6.3888888888888787E-2"/>
                  <c:y val="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FF0000"/>
              </a:solidFill>
            </c:spPr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'5.12-13'!$I$56:$M$56</c:f>
              <c:numCache>
                <c:formatCode>#,##0</c:formatCode>
                <c:ptCount val="5"/>
                <c:pt idx="0">
                  <c:v>-8785.6</c:v>
                </c:pt>
                <c:pt idx="1">
                  <c:v>-7545</c:v>
                </c:pt>
                <c:pt idx="2">
                  <c:v>-5471.4</c:v>
                </c:pt>
                <c:pt idx="3">
                  <c:v>-179353.1</c:v>
                </c:pt>
                <c:pt idx="4">
                  <c:v>-230647.413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288384"/>
        <c:axId val="701652288"/>
      </c:lineChart>
      <c:catAx>
        <c:axId val="702288384"/>
        <c:scaling>
          <c:orientation val="minMax"/>
        </c:scaling>
        <c:delete val="1"/>
        <c:axPos val="b"/>
        <c:majorTickMark val="out"/>
        <c:minorTickMark val="none"/>
        <c:tickLblPos val="nextTo"/>
        <c:crossAx val="701652288"/>
        <c:crosses val="autoZero"/>
        <c:auto val="1"/>
        <c:lblAlgn val="ctr"/>
        <c:lblOffset val="100"/>
        <c:noMultiLvlLbl val="0"/>
      </c:catAx>
      <c:valAx>
        <c:axId val="70165228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702288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395098541676373"/>
          <c:y val="0.11533792650918635"/>
          <c:w val="0.53930298653496711"/>
          <c:h val="0.81944444444444442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rgbClr val="6695C4"/>
              </a:solidFill>
            </c:spPr>
          </c:dPt>
          <c:dPt>
            <c:idx val="1"/>
            <c:bubble3D val="0"/>
            <c:spPr>
              <a:solidFill>
                <a:srgbClr val="624494"/>
              </a:solidFill>
            </c:spPr>
          </c:dPt>
          <c:dPt>
            <c:idx val="2"/>
            <c:bubble3D val="0"/>
            <c:spPr>
              <a:solidFill>
                <a:srgbClr val="B73826"/>
              </a:solidFill>
            </c:spPr>
          </c:dPt>
          <c:dPt>
            <c:idx val="3"/>
            <c:bubble3D val="0"/>
            <c:spPr>
              <a:solidFill>
                <a:srgbClr val="4EAF4C"/>
              </a:solidFill>
            </c:spPr>
          </c:dPt>
          <c:dLbls>
            <c:dLbl>
              <c:idx val="0"/>
              <c:layout>
                <c:manualLayout>
                  <c:x val="-0.15484309865678555"/>
                  <c:y val="-0.11719730685838184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1614344064980044"/>
                  <c:y val="9.989428404782735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0848747456863749E-2"/>
                  <c:y val="4.8836030912802565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741104847101215E-2"/>
                  <c:y val="4.9467774861475646E-4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'[1]5.12-13'!$A$9:$A$12</c:f>
              <c:strCache>
                <c:ptCount val="4"/>
                <c:pt idx="0">
                  <c:v>     Construcción</c:v>
                </c:pt>
                <c:pt idx="1">
                  <c:v>     Maquinarias y equipos</c:v>
                </c:pt>
                <c:pt idx="2">
                  <c:v>     Otras inversiones</c:v>
                </c:pt>
                <c:pt idx="3">
                  <c:v>     Reparaciones capitalizables</c:v>
                </c:pt>
              </c:strCache>
            </c:strRef>
          </c:cat>
          <c:val>
            <c:numRef>
              <c:f>'5.12-13'!$F$9:$F$12</c:f>
              <c:numCache>
                <c:formatCode>#,##0</c:formatCode>
                <c:ptCount val="4"/>
                <c:pt idx="0">
                  <c:v>44204.1</c:v>
                </c:pt>
                <c:pt idx="1">
                  <c:v>20389.3</c:v>
                </c:pt>
                <c:pt idx="2">
                  <c:v>6685.4</c:v>
                </c:pt>
                <c:pt idx="3">
                  <c:v>1434.5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00"/>
            </a:pPr>
            <a:endParaRPr lang="es-MX"/>
          </a:p>
        </c:txPr>
      </c:legendEntry>
      <c:legendEntry>
        <c:idx val="1"/>
        <c:txPr>
          <a:bodyPr/>
          <a:lstStyle/>
          <a:p>
            <a:pPr>
              <a:defRPr sz="800"/>
            </a:pPr>
            <a:endParaRPr lang="es-MX"/>
          </a:p>
        </c:txPr>
      </c:legendEntry>
      <c:legendEntry>
        <c:idx val="2"/>
        <c:txPr>
          <a:bodyPr/>
          <a:lstStyle/>
          <a:p>
            <a:pPr>
              <a:defRPr sz="800"/>
            </a:pPr>
            <a:endParaRPr lang="es-MX"/>
          </a:p>
        </c:txPr>
      </c:legendEntry>
      <c:legendEntry>
        <c:idx val="3"/>
        <c:txPr>
          <a:bodyPr/>
          <a:lstStyle/>
          <a:p>
            <a:pPr>
              <a:defRPr sz="800"/>
            </a:pPr>
            <a:endParaRPr lang="es-MX"/>
          </a:p>
        </c:txPr>
      </c:legendEntry>
      <c:layout>
        <c:manualLayout>
          <c:xMode val="edge"/>
          <c:yMode val="edge"/>
          <c:x val="7.8385127894516141E-2"/>
          <c:y val="0.69975284339457577"/>
          <c:w val="0.88351302241066021"/>
          <c:h val="0.28172863808690585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522340957380326"/>
          <c:y val="3.9692976522264618E-2"/>
          <c:w val="0.53963754530683661"/>
          <c:h val="0.85649917471656245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</c:dPt>
          <c:dPt>
            <c:idx val="1"/>
            <c:bubble3D val="0"/>
            <c:spPr>
              <a:solidFill>
                <a:srgbClr val="624494"/>
              </a:solidFill>
            </c:spPr>
          </c:dPt>
          <c:dPt>
            <c:idx val="2"/>
            <c:bubble3D val="0"/>
            <c:spPr>
              <a:solidFill>
                <a:srgbClr val="B73826"/>
              </a:solidFill>
            </c:spPr>
          </c:dPt>
          <c:dPt>
            <c:idx val="3"/>
            <c:bubble3D val="0"/>
            <c:spPr>
              <a:solidFill>
                <a:srgbClr val="4EAF4C"/>
              </a:solidFill>
            </c:spPr>
          </c:dPt>
          <c:dLbls>
            <c:dLbl>
              <c:idx val="0"/>
              <c:layout>
                <c:manualLayout>
                  <c:x val="-0.16863110861142358"/>
                  <c:y val="-0.11062326053401267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743469566304211"/>
                  <c:y val="1.8635257586429844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1121422322209726E-2"/>
                  <c:y val="5.0568970944480561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2.8394263217097863E-2"/>
                  <c:y val="1.4922589810745377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'[1]5.12-13'!$A$18:$A$21</c:f>
              <c:strCache>
                <c:ptCount val="4"/>
                <c:pt idx="0">
                  <c:v>     Construcción</c:v>
                </c:pt>
                <c:pt idx="1">
                  <c:v>     Maquinarias y equipos</c:v>
                </c:pt>
                <c:pt idx="2">
                  <c:v>     Otras inversiones</c:v>
                </c:pt>
                <c:pt idx="3">
                  <c:v>     Reparaciones capitalizables</c:v>
                </c:pt>
              </c:strCache>
            </c:strRef>
          </c:cat>
          <c:val>
            <c:numRef>
              <c:f>'5.12-13'!$F$18:$F$21</c:f>
              <c:numCache>
                <c:formatCode>#,##0</c:formatCode>
                <c:ptCount val="4"/>
                <c:pt idx="0">
                  <c:v>6017.1</c:v>
                </c:pt>
                <c:pt idx="1">
                  <c:v>822.9</c:v>
                </c:pt>
                <c:pt idx="2">
                  <c:v>626.6</c:v>
                </c:pt>
                <c:pt idx="3">
                  <c:v>324.89999999999998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800"/>
            </a:pPr>
            <a:endParaRPr lang="es-MX"/>
          </a:p>
        </c:txPr>
      </c:legendEntry>
      <c:legendEntry>
        <c:idx val="1"/>
        <c:txPr>
          <a:bodyPr/>
          <a:lstStyle/>
          <a:p>
            <a:pPr>
              <a:defRPr sz="800"/>
            </a:pPr>
            <a:endParaRPr lang="es-MX"/>
          </a:p>
        </c:txPr>
      </c:legendEntry>
      <c:legendEntry>
        <c:idx val="2"/>
        <c:txPr>
          <a:bodyPr/>
          <a:lstStyle/>
          <a:p>
            <a:pPr>
              <a:defRPr sz="800"/>
            </a:pPr>
            <a:endParaRPr lang="es-MX"/>
          </a:p>
        </c:txPr>
      </c:legendEntry>
      <c:legendEntry>
        <c:idx val="3"/>
        <c:txPr>
          <a:bodyPr/>
          <a:lstStyle/>
          <a:p>
            <a:pPr>
              <a:defRPr sz="800"/>
            </a:pPr>
            <a:endParaRPr lang="es-MX"/>
          </a:p>
        </c:txPr>
      </c:legendEntry>
      <c:layout>
        <c:manualLayout>
          <c:xMode val="edge"/>
          <c:yMode val="edge"/>
          <c:x val="7.0420572428446446E-2"/>
          <c:y val="0.70264649908452159"/>
          <c:w val="0.88950006249218849"/>
          <c:h val="0.2391821125452102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8650326932025"/>
          <c:y val="0.24467466912056118"/>
          <c:w val="0.75448012623820448"/>
          <c:h val="0.54982653534201331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9E4E16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'5.2'!$L$13:$P$13</c:f>
              <c:numCache>
                <c:formatCode>0.0</c:formatCode>
                <c:ptCount val="5"/>
                <c:pt idx="0">
                  <c:v>87.097816840501309</c:v>
                </c:pt>
                <c:pt idx="1">
                  <c:v>88.957829608611348</c:v>
                </c:pt>
                <c:pt idx="2">
                  <c:v>92.402884105535662</c:v>
                </c:pt>
                <c:pt idx="3">
                  <c:v>75.957032960547394</c:v>
                </c:pt>
                <c:pt idx="4">
                  <c:v>73.106947316773159</c:v>
                </c:pt>
              </c:numCache>
            </c:numRef>
          </c:val>
        </c:ser>
        <c:ser>
          <c:idx val="1"/>
          <c:order val="1"/>
          <c:spPr>
            <a:solidFill>
              <a:srgbClr val="4B77A3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'5.2'!$L$14:$P$14</c:f>
              <c:numCache>
                <c:formatCode>#,##0.0</c:formatCode>
                <c:ptCount val="5"/>
                <c:pt idx="0">
                  <c:v>12.902183159498687</c:v>
                </c:pt>
                <c:pt idx="1">
                  <c:v>11.042170391388645</c:v>
                </c:pt>
                <c:pt idx="2">
                  <c:v>7.5971158944643333</c:v>
                </c:pt>
                <c:pt idx="3">
                  <c:v>24.042967039452588</c:v>
                </c:pt>
                <c:pt idx="4">
                  <c:v>26.893052683226841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00506112"/>
        <c:axId val="580379776"/>
      </c:barChart>
      <c:catAx>
        <c:axId val="700506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80379776"/>
        <c:crosses val="autoZero"/>
        <c:auto val="1"/>
        <c:lblAlgn val="ctr"/>
        <c:lblOffset val="100"/>
        <c:noMultiLvlLbl val="0"/>
      </c:catAx>
      <c:valAx>
        <c:axId val="580379776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alibri" pitchFamily="34" charset="0"/>
                <a:cs typeface="Calibri" pitchFamily="34" charset="0"/>
              </a:defRPr>
            </a:pPr>
            <a:endParaRPr lang="es-MX"/>
          </a:p>
        </c:txPr>
        <c:crossAx val="70050611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62714986713618"/>
          <c:y val="0.2446748323126276"/>
          <c:w val="0.72477181641585098"/>
          <c:h val="0.54982653534201331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20335D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'5.2'!$L$17:$P$17</c:f>
              <c:numCache>
                <c:formatCode>#,##0.0</c:formatCode>
                <c:ptCount val="5"/>
                <c:pt idx="0">
                  <c:v>85.544771305560971</c:v>
                </c:pt>
                <c:pt idx="1">
                  <c:v>85.880695360442175</c:v>
                </c:pt>
                <c:pt idx="2">
                  <c:v>85.428549763672052</c:v>
                </c:pt>
                <c:pt idx="3">
                  <c:v>86.160172542569171</c:v>
                </c:pt>
                <c:pt idx="4">
                  <c:v>87.464634052426987</c:v>
                </c:pt>
              </c:numCache>
            </c:numRef>
          </c:val>
        </c:ser>
        <c:ser>
          <c:idx val="1"/>
          <c:order val="1"/>
          <c:spPr>
            <a:solidFill>
              <a:srgbClr val="D39337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'5.2'!$L$18:$P$18</c:f>
              <c:numCache>
                <c:formatCode>0.0</c:formatCode>
                <c:ptCount val="5"/>
                <c:pt idx="0">
                  <c:v>14.455228694439025</c:v>
                </c:pt>
                <c:pt idx="1">
                  <c:v>14.119304639557825</c:v>
                </c:pt>
                <c:pt idx="2">
                  <c:v>14.571450236327943</c:v>
                </c:pt>
                <c:pt idx="3">
                  <c:v>13.839827457430825</c:v>
                </c:pt>
                <c:pt idx="4">
                  <c:v>12.535365947573016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00506624"/>
        <c:axId val="580381504"/>
      </c:barChart>
      <c:catAx>
        <c:axId val="70050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80381504"/>
        <c:crosses val="autoZero"/>
        <c:auto val="1"/>
        <c:lblAlgn val="ctr"/>
        <c:lblOffset val="100"/>
        <c:noMultiLvlLbl val="0"/>
      </c:catAx>
      <c:valAx>
        <c:axId val="580381504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alibri" pitchFamily="34" charset="0"/>
                <a:cs typeface="Calibri" pitchFamily="34" charset="0"/>
              </a:defRPr>
            </a:pPr>
            <a:endParaRPr lang="es-MX"/>
          </a:p>
        </c:txPr>
        <c:crossAx val="700506624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8650326932031"/>
          <c:y val="0.24467466912056118"/>
          <c:w val="0.73257509477981919"/>
          <c:h val="0.54982653534201331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rgbClr val="9E4E16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1">
                    <a:solidFill>
                      <a:schemeClr val="bg1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'5.2'!$L$22:$P$22</c:f>
              <c:numCache>
                <c:formatCode>#,##0.0</c:formatCode>
                <c:ptCount val="5"/>
                <c:pt idx="0">
                  <c:v>83.52369637362996</c:v>
                </c:pt>
                <c:pt idx="1">
                  <c:v>84.194456889516417</c:v>
                </c:pt>
                <c:pt idx="2">
                  <c:v>85.972432851413743</c:v>
                </c:pt>
                <c:pt idx="3">
                  <c:v>87.299826282530049</c:v>
                </c:pt>
                <c:pt idx="4">
                  <c:v>87.641630728845797</c:v>
                </c:pt>
              </c:numCache>
            </c:numRef>
          </c:val>
        </c:ser>
        <c:ser>
          <c:idx val="1"/>
          <c:order val="1"/>
          <c:spPr>
            <a:solidFill>
              <a:srgbClr val="4B77A3"/>
            </a:solidFill>
          </c:spPr>
          <c:invertIfNegative val="0"/>
          <c:dLbls>
            <c:numFmt formatCode="#,##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  <a:latin typeface="Calibri" pitchFamily="34" charset="0"/>
                    <a:cs typeface="Calibri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'5.2'!$L$23:$P$23</c:f>
              <c:numCache>
                <c:formatCode>#,##0.0</c:formatCode>
                <c:ptCount val="5"/>
                <c:pt idx="0">
                  <c:v>16.476303626370033</c:v>
                </c:pt>
                <c:pt idx="1">
                  <c:v>15.805543110483578</c:v>
                </c:pt>
                <c:pt idx="2">
                  <c:v>14.027567148586256</c:v>
                </c:pt>
                <c:pt idx="3">
                  <c:v>12.699670188571568</c:v>
                </c:pt>
                <c:pt idx="4">
                  <c:v>12.358369271154206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01240832"/>
        <c:axId val="580383232"/>
      </c:barChart>
      <c:catAx>
        <c:axId val="70124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580383232"/>
        <c:crosses val="autoZero"/>
        <c:auto val="1"/>
        <c:lblAlgn val="ctr"/>
        <c:lblOffset val="100"/>
        <c:noMultiLvlLbl val="0"/>
      </c:catAx>
      <c:valAx>
        <c:axId val="580383232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alibri" pitchFamily="34" charset="0"/>
                <a:cs typeface="Calibri" pitchFamily="34" charset="0"/>
              </a:defRPr>
            </a:pPr>
            <a:endParaRPr lang="es-MX"/>
          </a:p>
        </c:txPr>
        <c:crossAx val="701240832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51972497480719"/>
          <c:y val="0.18058448884730963"/>
          <c:w val="0.63783441467456425"/>
          <c:h val="0.62358204898281455"/>
        </c:manualLayout>
      </c:layout>
      <c:doughnutChart>
        <c:varyColors val="1"/>
        <c:ser>
          <c:idx val="0"/>
          <c:order val="0"/>
          <c:tx>
            <c:v>Secundario</c:v>
          </c:tx>
          <c:spPr>
            <a:solidFill>
              <a:schemeClr val="accent3">
                <a:lumMod val="50000"/>
              </a:schemeClr>
            </a:solidFill>
          </c:spPr>
          <c:dPt>
            <c:idx val="0"/>
            <c:bubble3D val="0"/>
            <c:explosion val="10"/>
          </c:dPt>
          <c:dPt>
            <c:idx val="1"/>
            <c:bubble3D val="0"/>
            <c:explosion val="10"/>
          </c:dPt>
          <c:dPt>
            <c:idx val="2"/>
            <c:bubble3D val="0"/>
            <c:explosion val="10"/>
          </c:dPt>
          <c:dPt>
            <c:idx val="3"/>
            <c:bubble3D val="0"/>
            <c:explosion val="10"/>
          </c:dPt>
          <c:dPt>
            <c:idx val="4"/>
            <c:bubble3D val="0"/>
            <c:explosion val="10"/>
          </c:dPt>
          <c:dPt>
            <c:idx val="5"/>
            <c:bubble3D val="0"/>
            <c:explosion val="10"/>
          </c:dPt>
          <c:dPt>
            <c:idx val="6"/>
            <c:bubble3D val="0"/>
            <c:explosion val="10"/>
          </c:dPt>
          <c:dPt>
            <c:idx val="7"/>
            <c:bubble3D val="0"/>
            <c:explosion val="10"/>
          </c:dPt>
          <c:dPt>
            <c:idx val="8"/>
            <c:bubble3D val="0"/>
            <c:explosion val="10"/>
          </c:dPt>
          <c:dPt>
            <c:idx val="9"/>
            <c:bubble3D val="0"/>
            <c:explosion val="10"/>
          </c:dPt>
          <c:dPt>
            <c:idx val="10"/>
            <c:bubble3D val="0"/>
            <c:explosion val="10"/>
          </c:dPt>
          <c:dPt>
            <c:idx val="11"/>
            <c:bubble3D val="0"/>
            <c:explosion val="10"/>
          </c:dPt>
          <c:dPt>
            <c:idx val="12"/>
            <c:bubble3D val="0"/>
            <c:explosion val="10"/>
          </c:dPt>
          <c:dPt>
            <c:idx val="13"/>
            <c:bubble3D val="0"/>
            <c:explosion val="10"/>
          </c:dPt>
          <c:dPt>
            <c:idx val="14"/>
            <c:bubble3D val="0"/>
            <c:explosion val="10"/>
          </c:dPt>
          <c:dPt>
            <c:idx val="15"/>
            <c:bubble3D val="0"/>
            <c:explosion val="10"/>
          </c:dPt>
          <c:dPt>
            <c:idx val="16"/>
            <c:bubble3D val="0"/>
            <c:explosion val="10"/>
          </c:dPt>
          <c:dPt>
            <c:idx val="17"/>
            <c:bubble3D val="0"/>
            <c:explosion val="10"/>
          </c:dPt>
          <c:dPt>
            <c:idx val="18"/>
            <c:bubble3D val="0"/>
            <c:explosion val="10"/>
          </c:dPt>
          <c:dPt>
            <c:idx val="19"/>
            <c:bubble3D val="0"/>
            <c:explosion val="10"/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Secundario</c:v>
          </c:tx>
          <c:spPr>
            <a:noFill/>
          </c:spPr>
          <c:dPt>
            <c:idx val="0"/>
            <c:bubble3D val="0"/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</c:spPr>
          </c:dPt>
          <c:val>
            <c:numRef>
              <c:f>'5.3'!$I$67:$J$67</c:f>
              <c:numCache>
                <c:formatCode>0.0%</c:formatCode>
                <c:ptCount val="2"/>
                <c:pt idx="0">
                  <c:v>0.22600000000000001</c:v>
                </c:pt>
                <c:pt idx="1">
                  <c:v>0.77400000000000002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chemeClr val="accent1">
          <a:shade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0599520383693"/>
          <c:y val="0.24003652379417773"/>
          <c:w val="0.6038669506319595"/>
          <c:h val="0.59008701256848206"/>
        </c:manualLayout>
      </c:layout>
      <c:doughnutChart>
        <c:varyColors val="1"/>
        <c:ser>
          <c:idx val="0"/>
          <c:order val="0"/>
          <c:tx>
            <c:v>Terciario</c:v>
          </c:tx>
          <c:spPr>
            <a:solidFill>
              <a:srgbClr val="000099"/>
            </a:solidFill>
          </c:spPr>
          <c:dPt>
            <c:idx val="0"/>
            <c:bubble3D val="0"/>
            <c:explosion val="10"/>
          </c:dPt>
          <c:dPt>
            <c:idx val="1"/>
            <c:bubble3D val="0"/>
            <c:explosion val="10"/>
          </c:dPt>
          <c:dPt>
            <c:idx val="2"/>
            <c:bubble3D val="0"/>
            <c:explosion val="10"/>
          </c:dPt>
          <c:dPt>
            <c:idx val="3"/>
            <c:bubble3D val="0"/>
            <c:explosion val="10"/>
          </c:dPt>
          <c:dPt>
            <c:idx val="4"/>
            <c:bubble3D val="0"/>
            <c:explosion val="10"/>
          </c:dPt>
          <c:dPt>
            <c:idx val="5"/>
            <c:bubble3D val="0"/>
            <c:explosion val="10"/>
          </c:dPt>
          <c:dPt>
            <c:idx val="6"/>
            <c:bubble3D val="0"/>
            <c:explosion val="10"/>
          </c:dPt>
          <c:dPt>
            <c:idx val="7"/>
            <c:bubble3D val="0"/>
            <c:explosion val="10"/>
          </c:dPt>
          <c:dPt>
            <c:idx val="8"/>
            <c:bubble3D val="0"/>
            <c:explosion val="10"/>
          </c:dPt>
          <c:dPt>
            <c:idx val="9"/>
            <c:bubble3D val="0"/>
            <c:explosion val="10"/>
          </c:dPt>
          <c:dPt>
            <c:idx val="10"/>
            <c:bubble3D val="0"/>
            <c:explosion val="10"/>
          </c:dPt>
          <c:dPt>
            <c:idx val="11"/>
            <c:bubble3D val="0"/>
            <c:explosion val="10"/>
          </c:dPt>
          <c:dPt>
            <c:idx val="12"/>
            <c:bubble3D val="0"/>
            <c:explosion val="10"/>
          </c:dPt>
          <c:dPt>
            <c:idx val="13"/>
            <c:bubble3D val="0"/>
            <c:explosion val="10"/>
          </c:dPt>
          <c:dPt>
            <c:idx val="14"/>
            <c:bubble3D val="0"/>
            <c:explosion val="10"/>
          </c:dPt>
          <c:dPt>
            <c:idx val="15"/>
            <c:bubble3D val="0"/>
            <c:explosion val="10"/>
          </c:dPt>
          <c:dPt>
            <c:idx val="16"/>
            <c:bubble3D val="0"/>
            <c:explosion val="10"/>
          </c:dPt>
          <c:dPt>
            <c:idx val="17"/>
            <c:bubble3D val="0"/>
            <c:explosion val="10"/>
          </c:dPt>
          <c:dPt>
            <c:idx val="18"/>
            <c:bubble3D val="0"/>
            <c:explosion val="10"/>
          </c:dPt>
          <c:dPt>
            <c:idx val="19"/>
            <c:bubble3D val="0"/>
            <c:explosion val="10"/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Terciario</c:v>
          </c:tx>
          <c:spPr>
            <a:noFill/>
          </c:spPr>
          <c:dPt>
            <c:idx val="0"/>
            <c:bubble3D val="0"/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</c:spPr>
          </c:dPt>
          <c:val>
            <c:numRef>
              <c:f>'5.3'!$I$68:$J$68</c:f>
              <c:numCache>
                <c:formatCode>0.0%</c:formatCode>
                <c:ptCount val="2"/>
                <c:pt idx="0">
                  <c:v>0.73399999999999999</c:v>
                </c:pt>
                <c:pt idx="1">
                  <c:v>0.26600000000000001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chemeClr val="accent1">
          <a:shade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69282455087472"/>
          <c:y val="0.19633402967486208"/>
          <c:w val="0.601399138833136"/>
          <c:h val="0.62594604245897822"/>
        </c:manualLayout>
      </c:layout>
      <c:doughnutChart>
        <c:varyColors val="1"/>
        <c:ser>
          <c:idx val="0"/>
          <c:order val="0"/>
          <c:tx>
            <c:v>Primario</c:v>
          </c:tx>
          <c:spPr>
            <a:solidFill>
              <a:schemeClr val="accent6">
                <a:lumMod val="75000"/>
              </a:schemeClr>
            </a:solidFill>
          </c:spPr>
          <c:explosion val="1"/>
          <c:dPt>
            <c:idx val="0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explosion val="1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Primario</c:v>
          </c:tx>
          <c:explosion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'5.3'!$I$66:$J$66</c:f>
              <c:numCache>
                <c:formatCode>0.0%</c:formatCode>
                <c:ptCount val="2"/>
                <c:pt idx="0">
                  <c:v>0.04</c:v>
                </c:pt>
                <c:pt idx="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v>Primario</c:v>
          </c:tx>
          <c:spPr>
            <a:solidFill>
              <a:schemeClr val="accent3">
                <a:lumMod val="75000"/>
              </a:schemeClr>
            </a:solidFill>
          </c:spPr>
          <c:dPt>
            <c:idx val="0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explosion val="1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Secundario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'5.4'!$J$60:$K$60</c:f>
              <c:numCache>
                <c:formatCode>0.0%</c:formatCode>
                <c:ptCount val="2"/>
                <c:pt idx="0">
                  <c:v>0.18034561704307403</c:v>
                </c:pt>
                <c:pt idx="1">
                  <c:v>0.81965438295692594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39824163083909"/>
          <c:y val="0.27362277631962673"/>
          <c:w val="0.75455178374606502"/>
          <c:h val="0.57600284339457564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20335D"/>
              </a:solidFill>
            </a:ln>
          </c:spPr>
          <c:marker>
            <c:symbol val="diamond"/>
            <c:size val="5"/>
            <c:spPr>
              <a:solidFill>
                <a:srgbClr val="9E4E16"/>
              </a:solidFill>
            </c:spPr>
          </c:marker>
          <c:dLbls>
            <c:dLbl>
              <c:idx val="0"/>
              <c:layout>
                <c:manualLayout>
                  <c:x val="-0.12084592145015106"/>
                  <c:y val="2.3148148148148147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084592145015106"/>
                  <c:y val="-4.1666666666666664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9434791067241429E-2"/>
                  <c:y val="-7.4989071961859596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2.3148148148148147E-2"/>
                </c:manualLayout>
              </c:layout>
              <c:numFmt formatCode="#,##0.0" sourceLinked="0"/>
              <c:spPr/>
              <c:txPr>
                <a:bodyPr/>
                <a:lstStyle/>
                <a:p>
                  <a:pPr>
                    <a:defRPr/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'5.8'!$H$10:$H$14</c:f>
              <c:numCache>
                <c:formatCode>#,##0.0</c:formatCode>
                <c:ptCount val="5"/>
                <c:pt idx="0">
                  <c:v>12.033578866911091</c:v>
                </c:pt>
                <c:pt idx="1">
                  <c:v>11.494997466827034</c:v>
                </c:pt>
                <c:pt idx="2">
                  <c:v>9.875288537313768</c:v>
                </c:pt>
                <c:pt idx="3">
                  <c:v>23.810957050382974</c:v>
                </c:pt>
                <c:pt idx="4">
                  <c:v>16.592552978396878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52928"/>
        <c:axId val="701645376"/>
      </c:lineChart>
      <c:catAx>
        <c:axId val="7010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645376"/>
        <c:crosses val="autoZero"/>
        <c:auto val="1"/>
        <c:lblAlgn val="ctr"/>
        <c:lblOffset val="100"/>
        <c:noMultiLvlLbl val="0"/>
      </c:catAx>
      <c:valAx>
        <c:axId val="701645376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701052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37</xdr:row>
      <xdr:rowOff>136529</xdr:rowOff>
    </xdr:from>
    <xdr:to>
      <xdr:col>0</xdr:col>
      <xdr:colOff>2763438</xdr:colOff>
      <xdr:row>38</xdr:row>
      <xdr:rowOff>150940</xdr:rowOff>
    </xdr:to>
    <xdr:sp macro="" textlink="">
      <xdr:nvSpPr>
        <xdr:cNvPr id="10" name="9 CuadroTexto"/>
        <xdr:cNvSpPr txBox="1"/>
      </xdr:nvSpPr>
      <xdr:spPr>
        <a:xfrm>
          <a:off x="174625" y="7064379"/>
          <a:ext cx="2595562" cy="1666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    </a:t>
          </a:r>
        </a:p>
      </xdr:txBody>
    </xdr:sp>
    <xdr:clientData/>
  </xdr:twoCellAnchor>
  <xdr:twoCellAnchor>
    <xdr:from>
      <xdr:col>0</xdr:col>
      <xdr:colOff>0</xdr:colOff>
      <xdr:row>29</xdr:row>
      <xdr:rowOff>219075</xdr:rowOff>
    </xdr:from>
    <xdr:to>
      <xdr:col>1</xdr:col>
      <xdr:colOff>171450</xdr:colOff>
      <xdr:row>37</xdr:row>
      <xdr:rowOff>95250</xdr:rowOff>
    </xdr:to>
    <xdr:graphicFrame macro="">
      <xdr:nvGraphicFramePr>
        <xdr:cNvPr id="31348809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30</xdr:row>
      <xdr:rowOff>38100</xdr:rowOff>
    </xdr:from>
    <xdr:to>
      <xdr:col>5</xdr:col>
      <xdr:colOff>647700</xdr:colOff>
      <xdr:row>38</xdr:row>
      <xdr:rowOff>28575</xdr:rowOff>
    </xdr:to>
    <xdr:graphicFrame macro="">
      <xdr:nvGraphicFramePr>
        <xdr:cNvPr id="31348810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38</xdr:row>
      <xdr:rowOff>85725</xdr:rowOff>
    </xdr:from>
    <xdr:to>
      <xdr:col>1</xdr:col>
      <xdr:colOff>266700</xdr:colOff>
      <xdr:row>49</xdr:row>
      <xdr:rowOff>19050</xdr:rowOff>
    </xdr:to>
    <xdr:graphicFrame macro="">
      <xdr:nvGraphicFramePr>
        <xdr:cNvPr id="31348811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209550</xdr:colOff>
      <xdr:row>38</xdr:row>
      <xdr:rowOff>28575</xdr:rowOff>
    </xdr:from>
    <xdr:to>
      <xdr:col>5</xdr:col>
      <xdr:colOff>609600</xdr:colOff>
      <xdr:row>48</xdr:row>
      <xdr:rowOff>133350</xdr:rowOff>
    </xdr:to>
    <xdr:graphicFrame macro="">
      <xdr:nvGraphicFramePr>
        <xdr:cNvPr id="31348812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174625</xdr:colOff>
      <xdr:row>38</xdr:row>
      <xdr:rowOff>142879</xdr:rowOff>
    </xdr:from>
    <xdr:to>
      <xdr:col>0</xdr:col>
      <xdr:colOff>2770187</xdr:colOff>
      <xdr:row>39</xdr:row>
      <xdr:rowOff>150817</xdr:rowOff>
    </xdr:to>
    <xdr:sp macro="" textlink="">
      <xdr:nvSpPr>
        <xdr:cNvPr id="7" name="9 CuadroTexto"/>
        <xdr:cNvSpPr txBox="1"/>
      </xdr:nvSpPr>
      <xdr:spPr>
        <a:xfrm>
          <a:off x="174625" y="7172329"/>
          <a:ext cx="2595562" cy="1698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100"/>
            <a:t>    </a:t>
          </a:r>
        </a:p>
      </xdr:txBody>
    </xdr:sp>
    <xdr:clientData/>
  </xdr:twoCellAnchor>
  <xdr:twoCellAnchor>
    <xdr:from>
      <xdr:col>0</xdr:col>
      <xdr:colOff>552449</xdr:colOff>
      <xdr:row>37</xdr:row>
      <xdr:rowOff>17470</xdr:rowOff>
    </xdr:from>
    <xdr:to>
      <xdr:col>0</xdr:col>
      <xdr:colOff>1092200</xdr:colOff>
      <xdr:row>38</xdr:row>
      <xdr:rowOff>28575</xdr:rowOff>
    </xdr:to>
    <xdr:sp macro="" textlink="">
      <xdr:nvSpPr>
        <xdr:cNvPr id="8" name="10 Rectángulo redondeado"/>
        <xdr:cNvSpPr/>
      </xdr:nvSpPr>
      <xdr:spPr>
        <a:xfrm>
          <a:off x="552449" y="7027870"/>
          <a:ext cx="539751" cy="173030"/>
        </a:xfrm>
        <a:prstGeom prst="roundRect">
          <a:avLst/>
        </a:prstGeom>
        <a:solidFill>
          <a:srgbClr val="2033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000" b="1">
              <a:solidFill>
                <a:schemeClr val="bg1"/>
              </a:solidFill>
            </a:rPr>
            <a:t>PIB</a:t>
          </a:r>
        </a:p>
      </xdr:txBody>
    </xdr:sp>
    <xdr:clientData/>
  </xdr:twoCellAnchor>
  <xdr:twoCellAnchor>
    <xdr:from>
      <xdr:col>0</xdr:col>
      <xdr:colOff>1585905</xdr:colOff>
      <xdr:row>37</xdr:row>
      <xdr:rowOff>5</xdr:rowOff>
    </xdr:from>
    <xdr:to>
      <xdr:col>0</xdr:col>
      <xdr:colOff>2593967</xdr:colOff>
      <xdr:row>38</xdr:row>
      <xdr:rowOff>19057</xdr:rowOff>
    </xdr:to>
    <xdr:sp macro="" textlink="">
      <xdr:nvSpPr>
        <xdr:cNvPr id="9" name="11 Rectángulo redondeado"/>
        <xdr:cNvSpPr/>
      </xdr:nvSpPr>
      <xdr:spPr>
        <a:xfrm>
          <a:off x="1585905" y="7010405"/>
          <a:ext cx="1008062" cy="180977"/>
        </a:xfrm>
        <a:prstGeom prst="roundRect">
          <a:avLst/>
        </a:prstGeom>
        <a:solidFill>
          <a:srgbClr val="D39337">
            <a:alpha val="69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000" b="1">
              <a:solidFill>
                <a:sysClr val="windowText" lastClr="000000"/>
              </a:solidFill>
            </a:rPr>
            <a:t>Importaciones</a:t>
          </a:r>
        </a:p>
      </xdr:txBody>
    </xdr:sp>
    <xdr:clientData/>
  </xdr:twoCellAnchor>
  <xdr:twoCellAnchor>
    <xdr:from>
      <xdr:col>1</xdr:col>
      <xdr:colOff>619125</xdr:colOff>
      <xdr:row>30</xdr:row>
      <xdr:rowOff>66675</xdr:rowOff>
    </xdr:from>
    <xdr:to>
      <xdr:col>5</xdr:col>
      <xdr:colOff>150873</xdr:colOff>
      <xdr:row>31</xdr:row>
      <xdr:rowOff>152400</xdr:rowOff>
    </xdr:to>
    <xdr:sp macro="" textlink="">
      <xdr:nvSpPr>
        <xdr:cNvPr id="11" name="1 CuadroTexto"/>
        <xdr:cNvSpPr txBox="1"/>
      </xdr:nvSpPr>
      <xdr:spPr>
        <a:xfrm>
          <a:off x="3514725" y="5629275"/>
          <a:ext cx="2236848" cy="2952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5.2.2 Gráfico: Estructura % de la Demanda Global.    (Precios Corrientes)</a:t>
          </a:r>
        </a:p>
      </xdr:txBody>
    </xdr:sp>
    <xdr:clientData/>
  </xdr:twoCellAnchor>
  <xdr:twoCellAnchor>
    <xdr:from>
      <xdr:col>0</xdr:col>
      <xdr:colOff>342900</xdr:colOff>
      <xdr:row>38</xdr:row>
      <xdr:rowOff>123826</xdr:rowOff>
    </xdr:from>
    <xdr:to>
      <xdr:col>0</xdr:col>
      <xdr:colOff>2894073</xdr:colOff>
      <xdr:row>40</xdr:row>
      <xdr:rowOff>123825</xdr:rowOff>
    </xdr:to>
    <xdr:sp macro="" textlink="">
      <xdr:nvSpPr>
        <xdr:cNvPr id="13" name="1 CuadroTexto"/>
        <xdr:cNvSpPr txBox="1"/>
      </xdr:nvSpPr>
      <xdr:spPr>
        <a:xfrm>
          <a:off x="342900" y="7296151"/>
          <a:ext cx="2551173" cy="32384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5.2.3 Gráfico: Estructura % de la Oferta Global.    (Precios Constantes)</a:t>
          </a:r>
        </a:p>
      </xdr:txBody>
    </xdr:sp>
    <xdr:clientData/>
  </xdr:twoCellAnchor>
  <xdr:twoCellAnchor>
    <xdr:from>
      <xdr:col>2</xdr:col>
      <xdr:colOff>28575</xdr:colOff>
      <xdr:row>38</xdr:row>
      <xdr:rowOff>95250</xdr:rowOff>
    </xdr:from>
    <xdr:to>
      <xdr:col>5</xdr:col>
      <xdr:colOff>208023</xdr:colOff>
      <xdr:row>40</xdr:row>
      <xdr:rowOff>95250</xdr:rowOff>
    </xdr:to>
    <xdr:sp macro="" textlink="">
      <xdr:nvSpPr>
        <xdr:cNvPr id="14" name="1 CuadroTexto"/>
        <xdr:cNvSpPr txBox="1"/>
      </xdr:nvSpPr>
      <xdr:spPr>
        <a:xfrm>
          <a:off x="3600450" y="7267575"/>
          <a:ext cx="2208273" cy="3238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5.2.4 Gráfico: Estructura % de la Demanda Global.    (Precios Constantes)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0.97205</cdr:x>
      <cdr:y>0.125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0"/>
          <a:ext cx="2981326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5.8.2</a:t>
          </a:r>
          <a:r>
            <a:rPr lang="es-E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Gráfico: </a:t>
          </a:r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Tasa  de Apertura de la Economía.       Precios Corrientes</a:t>
          </a:r>
        </a:p>
      </cdr:txBody>
    </cdr:sp>
  </cdr:relSizeAnchor>
  <cdr:relSizeAnchor xmlns:cdr="http://schemas.openxmlformats.org/drawingml/2006/chartDrawing">
    <cdr:from>
      <cdr:x>0.21307</cdr:x>
      <cdr:y>0.85069</cdr:y>
    </cdr:from>
    <cdr:to>
      <cdr:x>0.98137</cdr:x>
      <cdr:y>0.92014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714375" y="2333614"/>
          <a:ext cx="2575962" cy="190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s-ES" sz="800" b="1"/>
            <a:t>2018         2019           2020           2021             2022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0</xdr:col>
      <xdr:colOff>2857500</xdr:colOff>
      <xdr:row>41</xdr:row>
      <xdr:rowOff>152400</xdr:rowOff>
    </xdr:to>
    <xdr:graphicFrame macro="">
      <xdr:nvGraphicFramePr>
        <xdr:cNvPr id="301477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3228975</xdr:colOff>
      <xdr:row>25</xdr:row>
      <xdr:rowOff>0</xdr:rowOff>
    </xdr:from>
    <xdr:to>
      <xdr:col>5</xdr:col>
      <xdr:colOff>514350</xdr:colOff>
      <xdr:row>42</xdr:row>
      <xdr:rowOff>0</xdr:rowOff>
    </xdr:to>
    <xdr:graphicFrame macro="">
      <xdr:nvGraphicFramePr>
        <xdr:cNvPr id="3014771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0.01775</cdr:x>
      <cdr:y>0.00694</cdr:y>
    </cdr:from>
    <cdr:to>
      <cdr:x>0.99358</cdr:x>
      <cdr:y>0.15972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7625" y="19050"/>
          <a:ext cx="33718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5.9.1 Gráfico: Estructura del Gasto del Gobierno a Precios Corrientes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0.01778</cdr:x>
      <cdr:y>0.01845</cdr:y>
    </cdr:from>
    <cdr:to>
      <cdr:x>0.99209</cdr:x>
      <cdr:y>0.17047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51" y="50788"/>
          <a:ext cx="2806398" cy="41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5.9.2 Gráfico: Estructura del Gasto del Gobierno a Precios Constantes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73</xdr:row>
      <xdr:rowOff>28575</xdr:rowOff>
    </xdr:from>
    <xdr:to>
      <xdr:col>5</xdr:col>
      <xdr:colOff>691299</xdr:colOff>
      <xdr:row>93</xdr:row>
      <xdr:rowOff>70701</xdr:rowOff>
    </xdr:to>
    <xdr:graphicFrame macro="">
      <xdr:nvGraphicFramePr>
        <xdr:cNvPr id="31505410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377823</xdr:colOff>
      <xdr:row>73</xdr:row>
      <xdr:rowOff>76200</xdr:rowOff>
    </xdr:from>
    <xdr:to>
      <xdr:col>5</xdr:col>
      <xdr:colOff>273049</xdr:colOff>
      <xdr:row>75</xdr:row>
      <xdr:rowOff>3254</xdr:rowOff>
    </xdr:to>
    <xdr:sp macro="" textlink="">
      <xdr:nvSpPr>
        <xdr:cNvPr id="9" name="8 CuadroTexto"/>
        <xdr:cNvSpPr txBox="1"/>
      </xdr:nvSpPr>
      <xdr:spPr>
        <a:xfrm>
          <a:off x="377823" y="14325600"/>
          <a:ext cx="5505451" cy="2509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900" b="1">
              <a:solidFill>
                <a:sysClr val="windowText" lastClr="000000"/>
              </a:solidFill>
            </a:rPr>
            <a:t>5.13 Gráfico: Intercambio y Saldo Comercial  de Mercancías, en el período</a:t>
          </a:r>
          <a:r>
            <a:rPr lang="es-ES" sz="900" b="1" baseline="0">
              <a:solidFill>
                <a:sysClr val="windowText" lastClr="000000"/>
              </a:solidFill>
            </a:rPr>
            <a:t> 2018 a 2022. Precios corrientes.</a:t>
          </a:r>
          <a:endParaRPr lang="es-E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2</xdr:col>
      <xdr:colOff>9819</xdr:colOff>
      <xdr:row>37</xdr:row>
      <xdr:rowOff>19050</xdr:rowOff>
    </xdr:to>
    <xdr:graphicFrame macro="">
      <xdr:nvGraphicFramePr>
        <xdr:cNvPr id="26739709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667732</xdr:colOff>
      <xdr:row>23</xdr:row>
      <xdr:rowOff>200025</xdr:rowOff>
    </xdr:from>
    <xdr:to>
      <xdr:col>5</xdr:col>
      <xdr:colOff>726649</xdr:colOff>
      <xdr:row>37</xdr:row>
      <xdr:rowOff>38100</xdr:rowOff>
    </xdr:to>
    <xdr:graphicFrame macro="">
      <xdr:nvGraphicFramePr>
        <xdr:cNvPr id="26739710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0.73125</cdr:x>
      <cdr:y>0.29861</cdr:y>
    </cdr:from>
    <cdr:to>
      <cdr:x>0.99792</cdr:x>
      <cdr:y>0.38194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343276" y="819150"/>
          <a:ext cx="12192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s-MX" sz="800">
              <a:latin typeface="Arial" pitchFamily="34" charset="0"/>
              <a:cs typeface="Arial" pitchFamily="34" charset="0"/>
            </a:rPr>
            <a:t>Intercambio Comercial</a:t>
          </a:r>
        </a:p>
      </cdr:txBody>
    </cdr:sp>
  </cdr:relSizeAnchor>
  <cdr:relSizeAnchor xmlns:cdr="http://schemas.openxmlformats.org/drawingml/2006/chartDrawing">
    <cdr:from>
      <cdr:x>0.73333</cdr:x>
      <cdr:y>0.60185</cdr:y>
    </cdr:from>
    <cdr:to>
      <cdr:x>1</cdr:x>
      <cdr:y>0.68519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352800" y="1651000"/>
          <a:ext cx="12192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8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Saldo Comercial</a:t>
          </a:r>
        </a:p>
      </cdr:txBody>
    </cdr:sp>
  </cdr:relSizeAnchor>
  <cdr:relSizeAnchor xmlns:cdr="http://schemas.openxmlformats.org/drawingml/2006/chartDrawing">
    <cdr:from>
      <cdr:x>0.73194</cdr:x>
      <cdr:y>0.49421</cdr:y>
    </cdr:from>
    <cdr:to>
      <cdr:x>0.99861</cdr:x>
      <cdr:y>0.57755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3346450" y="1355725"/>
          <a:ext cx="12192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75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8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Exportaciones</a:t>
          </a:r>
        </a:p>
      </cdr:txBody>
    </cdr:sp>
  </cdr:relSizeAnchor>
  <cdr:relSizeAnchor xmlns:cdr="http://schemas.openxmlformats.org/drawingml/2006/chartDrawing">
    <cdr:from>
      <cdr:x>0.73194</cdr:x>
      <cdr:y>0.39352</cdr:y>
    </cdr:from>
    <cdr:to>
      <cdr:x>0.99861</cdr:x>
      <cdr:y>0.47685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3346450" y="1079500"/>
          <a:ext cx="12192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40000"/>
            <a:lumOff val="60000"/>
          </a:schemeClr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800">
              <a:latin typeface="Arial" pitchFamily="34" charset="0"/>
              <a:cs typeface="Arial" pitchFamily="34" charset="0"/>
            </a:rPr>
            <a:t>Importaciones</a:t>
          </a:r>
        </a:p>
      </cdr:txBody>
    </cdr:sp>
  </cdr:relSizeAnchor>
  <cdr:relSizeAnchor xmlns:cdr="http://schemas.openxmlformats.org/drawingml/2006/chartDrawing">
    <cdr:from>
      <cdr:x>0.05625</cdr:x>
      <cdr:y>0.8125</cdr:y>
    </cdr:from>
    <cdr:to>
      <cdr:x>0.76458</cdr:x>
      <cdr:y>0.88889</cdr:y>
    </cdr:to>
    <cdr:sp macro="" textlink="">
      <cdr:nvSpPr>
        <cdr:cNvPr id="6" name="5 CuadroTexto"/>
        <cdr:cNvSpPr txBox="1"/>
      </cdr:nvSpPr>
      <cdr:spPr>
        <a:xfrm xmlns:a="http://schemas.openxmlformats.org/drawingml/2006/main">
          <a:off x="257175" y="2228850"/>
          <a:ext cx="32385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MX" sz="1100"/>
        </a:p>
      </cdr:txBody>
    </cdr:sp>
  </cdr:relSizeAnchor>
  <cdr:relSizeAnchor xmlns:cdr="http://schemas.openxmlformats.org/drawingml/2006/chartDrawing">
    <cdr:from>
      <cdr:x>0.05</cdr:x>
      <cdr:y>0.85827</cdr:y>
    </cdr:from>
    <cdr:to>
      <cdr:x>0.77885</cdr:x>
      <cdr:y>0.95102</cdr:y>
    </cdr:to>
    <cdr:sp macro="" textlink="">
      <cdr:nvSpPr>
        <cdr:cNvPr id="7" name="6 CuadroTexto"/>
        <cdr:cNvSpPr txBox="1"/>
      </cdr:nvSpPr>
      <cdr:spPr>
        <a:xfrm xmlns:a="http://schemas.openxmlformats.org/drawingml/2006/main">
          <a:off x="312641" y="2398826"/>
          <a:ext cx="4557383" cy="2592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800" b="1">
              <a:latin typeface="Arial" pitchFamily="34" charset="0"/>
              <a:cs typeface="Arial" pitchFamily="34" charset="0"/>
            </a:rPr>
            <a:t>2018                        2019                           2020                  2021</a:t>
          </a:r>
          <a:r>
            <a:rPr lang="es-MX" sz="800" b="1" baseline="0">
              <a:latin typeface="Arial" pitchFamily="34" charset="0"/>
              <a:cs typeface="Arial" pitchFamily="34" charset="0"/>
            </a:rPr>
            <a:t>                                 2022</a:t>
          </a:r>
          <a:endParaRPr lang="es-MX" sz="8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0.00592</cdr:x>
      <cdr:y>0.0067</cdr:y>
    </cdr:from>
    <cdr:to>
      <cdr:x>0.95858</cdr:x>
      <cdr:y>0.16191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50" y="18379"/>
          <a:ext cx="3067050" cy="425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5.12.1 Gráfico:  Formación</a:t>
          </a:r>
          <a:r>
            <a:rPr lang="es-E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bruta de capital fijo.           Precios corrientes.</a:t>
          </a:r>
          <a:endParaRPr lang="es-E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0.99107</cdr:x>
      <cdr:y>0.19449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35559" y="51242"/>
          <a:ext cx="3136265" cy="486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5.12.2 Gráfico:  Formación</a:t>
          </a:r>
          <a:r>
            <a:rPr lang="es-ES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bruta de capital fijo.           Precios constantes.</a:t>
          </a:r>
          <a:endParaRPr lang="es-ES" sz="9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0.14455</cdr:x>
      <cdr:y>0.74583</cdr:y>
    </cdr:from>
    <cdr:to>
      <cdr:x>0.6019</cdr:x>
      <cdr:y>0.84167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84188" y="1420812"/>
          <a:ext cx="1531937" cy="1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0.13677</cdr:x>
      <cdr:y>0.8</cdr:y>
    </cdr:from>
    <cdr:to>
      <cdr:x>0.92838</cdr:x>
      <cdr:y>0.90833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412528" y="1523997"/>
          <a:ext cx="2387704" cy="206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s-ES" sz="800"/>
            <a:t>  2018         2019          2020             2021          2022</a:t>
          </a:r>
          <a:endParaRPr lang="es-ES" sz="1100"/>
        </a:p>
      </cdr:txBody>
    </cdr:sp>
  </cdr:relSizeAnchor>
  <cdr:relSizeAnchor xmlns:cdr="http://schemas.openxmlformats.org/drawingml/2006/chartDrawing">
    <cdr:from>
      <cdr:x>0.07346</cdr:x>
      <cdr:y>0.025</cdr:y>
    </cdr:from>
    <cdr:to>
      <cdr:x>0.90526</cdr:x>
      <cdr:y>0.25417</cdr:y>
    </cdr:to>
    <cdr:sp macro="" textlink="">
      <cdr:nvSpPr>
        <cdr:cNvPr id="4" name="3 CuadroTexto"/>
        <cdr:cNvSpPr txBox="1"/>
      </cdr:nvSpPr>
      <cdr:spPr>
        <a:xfrm xmlns:a="http://schemas.openxmlformats.org/drawingml/2006/main">
          <a:off x="221572" y="47625"/>
          <a:ext cx="2508927" cy="436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ES" sz="9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5.2.1 Gráfico: Estructura % de la Oferta Global.    (Precios Corrientes)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0.14455</cdr:x>
      <cdr:y>0.74583</cdr:y>
    </cdr:from>
    <cdr:to>
      <cdr:x>0.6019</cdr:x>
      <cdr:y>0.84167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84188" y="1420812"/>
          <a:ext cx="1531937" cy="1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0.11554</cdr:x>
      <cdr:y>0.8</cdr:y>
    </cdr:from>
    <cdr:to>
      <cdr:x>0.93296</cdr:x>
      <cdr:y>0.89785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93986" y="1417320"/>
          <a:ext cx="2787364" cy="173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pPr algn="l"/>
          <a:r>
            <a:rPr lang="es-ES" sz="800"/>
            <a:t>    2018                 2019            2020             2021             2022</a:t>
          </a:r>
          <a:endParaRPr lang="es-ES" sz="1100"/>
        </a:p>
      </cdr:txBody>
    </cdr:sp>
  </cdr:relSizeAnchor>
  <cdr:relSizeAnchor xmlns:cdr="http://schemas.openxmlformats.org/drawingml/2006/chartDrawing">
    <cdr:from>
      <cdr:x>0.17506</cdr:x>
      <cdr:y>0.91667</cdr:y>
    </cdr:from>
    <cdr:to>
      <cdr:x>0.51458</cdr:x>
      <cdr:y>1</cdr:y>
    </cdr:to>
    <cdr:sp macro="" textlink="">
      <cdr:nvSpPr>
        <cdr:cNvPr id="5" name="10 Rectángulo redondeado"/>
        <cdr:cNvSpPr/>
      </cdr:nvSpPr>
      <cdr:spPr>
        <a:xfrm xmlns:a="http://schemas.openxmlformats.org/drawingml/2006/main">
          <a:off x="524141" y="1685137"/>
          <a:ext cx="1016531" cy="153188"/>
        </a:xfrm>
        <a:prstGeom xmlns:a="http://schemas.openxmlformats.org/drawingml/2006/main" prst="roundRect">
          <a:avLst/>
        </a:prstGeom>
        <a:solidFill xmlns:a="http://schemas.openxmlformats.org/drawingml/2006/main">
          <a:srgbClr val="9E4E16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S" sz="1000" b="1">
              <a:solidFill>
                <a:sysClr val="window" lastClr="FFFFFF"/>
              </a:solidFill>
            </a:rPr>
            <a:t>Demanda Int</a:t>
          </a:r>
        </a:p>
      </cdr:txBody>
    </cdr:sp>
  </cdr:relSizeAnchor>
  <cdr:relSizeAnchor xmlns:cdr="http://schemas.openxmlformats.org/drawingml/2006/chartDrawing">
    <cdr:from>
      <cdr:x>0.54376</cdr:x>
      <cdr:y>0.90833</cdr:y>
    </cdr:from>
    <cdr:to>
      <cdr:x>0.88063</cdr:x>
      <cdr:y>1</cdr:y>
    </cdr:to>
    <cdr:sp macro="" textlink="">
      <cdr:nvSpPr>
        <cdr:cNvPr id="6" name="11 Rectángulo redondeado"/>
        <cdr:cNvSpPr/>
      </cdr:nvSpPr>
      <cdr:spPr>
        <a:xfrm xmlns:a="http://schemas.openxmlformats.org/drawingml/2006/main">
          <a:off x="1628031" y="1669805"/>
          <a:ext cx="1008597" cy="16852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4B77A3">
            <a:alpha val="69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S" sz="1000" b="1">
              <a:solidFill>
                <a:sysClr val="windowText" lastClr="000000"/>
              </a:solidFill>
            </a:rPr>
            <a:t>Exportaciones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0.14455</cdr:x>
      <cdr:y>0.74583</cdr:y>
    </cdr:from>
    <cdr:to>
      <cdr:x>0.6019</cdr:x>
      <cdr:y>0.84167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84188" y="1420812"/>
          <a:ext cx="1531937" cy="1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0.137</cdr:x>
      <cdr:y>0.80095</cdr:y>
    </cdr:from>
    <cdr:to>
      <cdr:x>0.88329</cdr:x>
      <cdr:y>0.8963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411431" y="1523993"/>
          <a:ext cx="2245779" cy="182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s-ES" sz="800"/>
            <a:t>  2018          2019          2020           2021         2022</a:t>
          </a:r>
          <a:endParaRPr lang="es-ES" sz="1100"/>
        </a:p>
      </cdr:txBody>
    </cdr:sp>
  </cdr:relSizeAnchor>
  <cdr:relSizeAnchor xmlns:cdr="http://schemas.openxmlformats.org/drawingml/2006/chartDrawing">
    <cdr:from>
      <cdr:x>0.13984</cdr:x>
      <cdr:y>0.90417</cdr:y>
    </cdr:from>
    <cdr:to>
      <cdr:x>0.31926</cdr:x>
      <cdr:y>0.97917</cdr:y>
    </cdr:to>
    <cdr:sp macro="" textlink="">
      <cdr:nvSpPr>
        <cdr:cNvPr id="5" name="10 Rectángulo redondeado"/>
        <cdr:cNvSpPr/>
      </cdr:nvSpPr>
      <cdr:spPr>
        <a:xfrm xmlns:a="http://schemas.openxmlformats.org/drawingml/2006/main">
          <a:off x="420687" y="1722440"/>
          <a:ext cx="539751" cy="142874"/>
        </a:xfrm>
        <a:prstGeom xmlns:a="http://schemas.openxmlformats.org/drawingml/2006/main" prst="roundRect">
          <a:avLst/>
        </a:prstGeom>
        <a:solidFill xmlns:a="http://schemas.openxmlformats.org/drawingml/2006/main">
          <a:srgbClr val="20335D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S" sz="1000" b="1">
              <a:solidFill>
                <a:sysClr val="window" lastClr="FFFFFF"/>
              </a:solidFill>
            </a:rPr>
            <a:t>PIB</a:t>
          </a:r>
        </a:p>
      </cdr:txBody>
    </cdr:sp>
  </cdr:relSizeAnchor>
  <cdr:relSizeAnchor xmlns:cdr="http://schemas.openxmlformats.org/drawingml/2006/chartDrawing">
    <cdr:from>
      <cdr:x>0.51187</cdr:x>
      <cdr:y>0.9</cdr:y>
    </cdr:from>
    <cdr:to>
      <cdr:x>0.84696</cdr:x>
      <cdr:y>0.99167</cdr:y>
    </cdr:to>
    <cdr:sp macro="" textlink="">
      <cdr:nvSpPr>
        <cdr:cNvPr id="6" name="11 Rectángulo redondeado"/>
        <cdr:cNvSpPr/>
      </cdr:nvSpPr>
      <cdr:spPr>
        <a:xfrm xmlns:a="http://schemas.openxmlformats.org/drawingml/2006/main">
          <a:off x="1539868" y="1714500"/>
          <a:ext cx="1008062" cy="174627"/>
        </a:xfrm>
        <a:prstGeom xmlns:a="http://schemas.openxmlformats.org/drawingml/2006/main" prst="roundRect">
          <a:avLst/>
        </a:prstGeom>
        <a:solidFill xmlns:a="http://schemas.openxmlformats.org/drawingml/2006/main">
          <a:srgbClr val="D39337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s-ES" sz="1000" b="1">
              <a:solidFill>
                <a:sysClr val="windowText" lastClr="000000"/>
              </a:solidFill>
            </a:rPr>
            <a:t>Importaciones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0.14455</cdr:x>
      <cdr:y>0.74583</cdr:y>
    </cdr:from>
    <cdr:to>
      <cdr:x>0.6019</cdr:x>
      <cdr:y>0.84167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84188" y="1420812"/>
          <a:ext cx="1531937" cy="1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0.13672</cdr:x>
      <cdr:y>0.80095</cdr:y>
    </cdr:from>
    <cdr:to>
      <cdr:x>0.89153</cdr:x>
      <cdr:y>0.91297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410219" y="1523993"/>
          <a:ext cx="2264719" cy="21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es-ES" sz="800"/>
            <a:t>  2018           2019             2020               2021           2021</a:t>
          </a:r>
          <a:endParaRPr lang="es-ES" sz="1100"/>
        </a:p>
      </cdr:txBody>
    </cdr:sp>
  </cdr:relSizeAnchor>
  <cdr:relSizeAnchor xmlns:cdr="http://schemas.openxmlformats.org/drawingml/2006/chartDrawing">
    <cdr:from>
      <cdr:x>0.14815</cdr:x>
      <cdr:y>0.90417</cdr:y>
    </cdr:from>
    <cdr:to>
      <cdr:x>0.48677</cdr:x>
      <cdr:y>0.9875</cdr:y>
    </cdr:to>
    <cdr:sp macro="" textlink="">
      <cdr:nvSpPr>
        <cdr:cNvPr id="8" name="10 Rectángulo redondeado"/>
        <cdr:cNvSpPr/>
      </cdr:nvSpPr>
      <cdr:spPr>
        <a:xfrm xmlns:a="http://schemas.openxmlformats.org/drawingml/2006/main">
          <a:off x="444500" y="1722440"/>
          <a:ext cx="1016000" cy="15875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9E4E16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000" b="1">
              <a:solidFill>
                <a:sysClr val="window" lastClr="FFFFFF"/>
              </a:solidFill>
            </a:rPr>
            <a:t>Demanda Int</a:t>
          </a:r>
        </a:p>
      </cdr:txBody>
    </cdr:sp>
  </cdr:relSizeAnchor>
  <cdr:relSizeAnchor xmlns:cdr="http://schemas.openxmlformats.org/drawingml/2006/chartDrawing">
    <cdr:from>
      <cdr:x>0.53174</cdr:x>
      <cdr:y>0.89583</cdr:y>
    </cdr:from>
    <cdr:to>
      <cdr:x>0.86772</cdr:x>
      <cdr:y>0.9875</cdr:y>
    </cdr:to>
    <cdr:sp macro="" textlink="">
      <cdr:nvSpPr>
        <cdr:cNvPr id="9" name="11 Rectángulo redondeado"/>
        <cdr:cNvSpPr/>
      </cdr:nvSpPr>
      <cdr:spPr>
        <a:xfrm xmlns:a="http://schemas.openxmlformats.org/drawingml/2006/main">
          <a:off x="1595431" y="1706562"/>
          <a:ext cx="1008062" cy="174627"/>
        </a:xfrm>
        <a:prstGeom xmlns:a="http://schemas.openxmlformats.org/drawingml/2006/main" prst="roundRect">
          <a:avLst/>
        </a:prstGeom>
        <a:solidFill xmlns:a="http://schemas.openxmlformats.org/drawingml/2006/main">
          <a:srgbClr val="4F81BD">
            <a:alpha val="69000"/>
          </a:srgb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000" b="1">
              <a:solidFill>
                <a:sysClr val="windowText" lastClr="000000"/>
              </a:solidFill>
            </a:rPr>
            <a:t>Exportaciones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57564</xdr:colOff>
      <xdr:row>15</xdr:row>
      <xdr:rowOff>99391</xdr:rowOff>
    </xdr:from>
    <xdr:ext cx="184731" cy="264560"/>
    <xdr:sp macro="" textlink="">
      <xdr:nvSpPr>
        <xdr:cNvPr id="4" name="3 CuadroTexto"/>
        <xdr:cNvSpPr txBox="1"/>
      </xdr:nvSpPr>
      <xdr:spPr>
        <a:xfrm>
          <a:off x="7153689" y="278544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twoCellAnchor>
    <xdr:from>
      <xdr:col>10</xdr:col>
      <xdr:colOff>485775</xdr:colOff>
      <xdr:row>91</xdr:row>
      <xdr:rowOff>19050</xdr:rowOff>
    </xdr:from>
    <xdr:to>
      <xdr:col>12</xdr:col>
      <xdr:colOff>323850</xdr:colOff>
      <xdr:row>100</xdr:row>
      <xdr:rowOff>38100</xdr:rowOff>
    </xdr:to>
    <xdr:graphicFrame macro="">
      <xdr:nvGraphicFramePr>
        <xdr:cNvPr id="30915981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90</xdr:row>
      <xdr:rowOff>123825</xdr:rowOff>
    </xdr:from>
    <xdr:to>
      <xdr:col>16</xdr:col>
      <xdr:colOff>47625</xdr:colOff>
      <xdr:row>99</xdr:row>
      <xdr:rowOff>152400</xdr:rowOff>
    </xdr:to>
    <xdr:graphicFrame macro="">
      <xdr:nvGraphicFramePr>
        <xdr:cNvPr id="30915982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84</xdr:row>
      <xdr:rowOff>38100</xdr:rowOff>
    </xdr:from>
    <xdr:to>
      <xdr:col>12</xdr:col>
      <xdr:colOff>365138</xdr:colOff>
      <xdr:row>86</xdr:row>
      <xdr:rowOff>117528</xdr:rowOff>
    </xdr:to>
    <xdr:sp macro="" textlink="$I$67">
      <xdr:nvSpPr>
        <xdr:cNvPr id="24" name="Rectángulo 23"/>
        <xdr:cNvSpPr/>
      </xdr:nvSpPr>
      <xdr:spPr>
        <a:xfrm>
          <a:off x="9820275" y="14192250"/>
          <a:ext cx="1457325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20DDA69-E544-4244-A415-74251D0C6F58}" type="TxLink">
            <a:rPr lang="en-US" sz="1400" b="1" i="0" u="none" strike="noStrike">
              <a:solidFill>
                <a:schemeClr val="accent3">
                  <a:lumMod val="50000"/>
                </a:schemeClr>
              </a:solidFill>
              <a:latin typeface="Arial"/>
              <a:cs typeface="Arial"/>
            </a:rPr>
            <a:pPr algn="ctr"/>
            <a:t>22,6%</a:t>
          </a:fld>
          <a:endParaRPr lang="es-ES" sz="14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104775</xdr:colOff>
      <xdr:row>84</xdr:row>
      <xdr:rowOff>98425</xdr:rowOff>
    </xdr:from>
    <xdr:to>
      <xdr:col>16</xdr:col>
      <xdr:colOff>104775</xdr:colOff>
      <xdr:row>87</xdr:row>
      <xdr:rowOff>136701</xdr:rowOff>
    </xdr:to>
    <xdr:sp macro="" textlink="$I$68">
      <xdr:nvSpPr>
        <xdr:cNvPr id="25" name="Rectángulo 24"/>
        <xdr:cNvSpPr/>
      </xdr:nvSpPr>
      <xdr:spPr>
        <a:xfrm>
          <a:off x="12534900" y="14249400"/>
          <a:ext cx="1457325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D871B4F8-3B7F-4FAF-9F76-6F2F5CC155AF}" type="TxLink">
            <a:rPr lang="en-US" sz="1400" b="1" i="0" u="none" strike="noStrike">
              <a:solidFill>
                <a:srgbClr val="000099"/>
              </a:solidFill>
              <a:latin typeface="Arial"/>
              <a:cs typeface="Arial"/>
            </a:rPr>
            <a:pPr algn="ctr"/>
            <a:t>73,4%</a:t>
          </a:fld>
          <a:endParaRPr lang="es-ES" sz="1400" b="1">
            <a:solidFill>
              <a:srgbClr val="000099"/>
            </a:solidFill>
          </a:endParaRPr>
        </a:p>
      </xdr:txBody>
    </xdr:sp>
    <xdr:clientData/>
  </xdr:twoCellAnchor>
  <xdr:twoCellAnchor>
    <xdr:from>
      <xdr:col>7</xdr:col>
      <xdr:colOff>361951</xdr:colOff>
      <xdr:row>100</xdr:row>
      <xdr:rowOff>44450</xdr:rowOff>
    </xdr:from>
    <xdr:to>
      <xdr:col>9</xdr:col>
      <xdr:colOff>168253</xdr:colOff>
      <xdr:row>102</xdr:row>
      <xdr:rowOff>92075</xdr:rowOff>
    </xdr:to>
    <xdr:sp macro="" textlink="$H$62">
      <xdr:nvSpPr>
        <xdr:cNvPr id="9" name="Rectángulo 8"/>
        <xdr:cNvSpPr/>
      </xdr:nvSpPr>
      <xdr:spPr>
        <a:xfrm>
          <a:off x="7458076" y="16521113"/>
          <a:ext cx="1333500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45422AD-AE6D-4F37-BDCC-F13BAF2E17EB}" type="TxLink">
            <a:rPr lang="en-US" sz="2000" b="1" i="0" u="none" strike="noStrike">
              <a:solidFill>
                <a:srgbClr val="F6750A"/>
              </a:solidFill>
              <a:latin typeface="Arial"/>
              <a:cs typeface="Arial"/>
            </a:rPr>
            <a:pPr algn="ctr"/>
            <a:t>Primario</a:t>
          </a:fld>
          <a:endParaRPr lang="es-ES" sz="2000" b="1">
            <a:solidFill>
              <a:srgbClr val="F6750A"/>
            </a:solidFill>
          </a:endParaRPr>
        </a:p>
      </xdr:txBody>
    </xdr:sp>
    <xdr:clientData/>
  </xdr:twoCellAnchor>
  <xdr:twoCellAnchor>
    <xdr:from>
      <xdr:col>10</xdr:col>
      <xdr:colOff>342899</xdr:colOff>
      <xdr:row>100</xdr:row>
      <xdr:rowOff>25400</xdr:rowOff>
    </xdr:from>
    <xdr:to>
      <xdr:col>12</xdr:col>
      <xdr:colOff>476249</xdr:colOff>
      <xdr:row>102</xdr:row>
      <xdr:rowOff>79435</xdr:rowOff>
    </xdr:to>
    <xdr:sp macro="" textlink="$H$67">
      <xdr:nvSpPr>
        <xdr:cNvPr id="28" name="Rectángulo 27"/>
        <xdr:cNvSpPr/>
      </xdr:nvSpPr>
      <xdr:spPr>
        <a:xfrm>
          <a:off x="9725024" y="16502063"/>
          <a:ext cx="1666875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284D9363-9425-45A2-8557-7B4DA2526B74}" type="TxLink">
            <a:rPr lang="en-US" sz="2000" b="1" i="0" u="none" strike="noStrike">
              <a:solidFill>
                <a:schemeClr val="accent3">
                  <a:lumMod val="75000"/>
                </a:schemeClr>
              </a:solidFill>
              <a:latin typeface="Arial"/>
              <a:ea typeface="+mn-ea"/>
              <a:cs typeface="Arial"/>
            </a:rPr>
            <a:pPr marL="0" indent="0" algn="ctr"/>
            <a:t>Secundario</a:t>
          </a:fld>
          <a:endParaRPr lang="es-ES" sz="2000" b="1" i="0" u="none" strike="noStrike">
            <a:solidFill>
              <a:schemeClr val="accent3">
                <a:lumMod val="75000"/>
              </a:schemeClr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149225</xdr:colOff>
      <xdr:row>99</xdr:row>
      <xdr:rowOff>138113</xdr:rowOff>
    </xdr:from>
    <xdr:to>
      <xdr:col>16</xdr:col>
      <xdr:colOff>28612</xdr:colOff>
      <xdr:row>102</xdr:row>
      <xdr:rowOff>41367</xdr:rowOff>
    </xdr:to>
    <xdr:sp macro="" textlink="$H$68">
      <xdr:nvSpPr>
        <xdr:cNvPr id="30" name="Rectángulo 29"/>
        <xdr:cNvSpPr/>
      </xdr:nvSpPr>
      <xdr:spPr>
        <a:xfrm>
          <a:off x="12582525" y="16463963"/>
          <a:ext cx="1336675" cy="349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412926FC-7EC8-461C-BF57-7F0AE2041A75}" type="TxLink">
            <a:rPr lang="en-US" sz="2000" b="1" i="0" u="none" strike="noStrike">
              <a:solidFill>
                <a:srgbClr val="000099"/>
              </a:solidFill>
              <a:latin typeface="Arial"/>
              <a:ea typeface="+mn-ea"/>
              <a:cs typeface="Arial"/>
            </a:rPr>
            <a:pPr marL="0" indent="0" algn="ctr"/>
            <a:t>Terciario</a:t>
          </a:fld>
          <a:endParaRPr lang="es-ES" sz="2000" b="1" i="0" u="none" strike="noStrike">
            <a:solidFill>
              <a:srgbClr val="000099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285750</xdr:colOff>
      <xdr:row>91</xdr:row>
      <xdr:rowOff>28575</xdr:rowOff>
    </xdr:from>
    <xdr:to>
      <xdr:col>9</xdr:col>
      <xdr:colOff>219075</xdr:colOff>
      <xdr:row>100</xdr:row>
      <xdr:rowOff>57150</xdr:rowOff>
    </xdr:to>
    <xdr:graphicFrame macro="">
      <xdr:nvGraphicFramePr>
        <xdr:cNvPr id="30915988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327025</xdr:colOff>
      <xdr:row>84</xdr:row>
      <xdr:rowOff>41275</xdr:rowOff>
    </xdr:from>
    <xdr:to>
      <xdr:col>9</xdr:col>
      <xdr:colOff>269938</xdr:colOff>
      <xdr:row>86</xdr:row>
      <xdr:rowOff>79375</xdr:rowOff>
    </xdr:to>
    <xdr:sp macro="" textlink="$I$66">
      <xdr:nvSpPr>
        <xdr:cNvPr id="8" name="Rectángulo 7"/>
        <xdr:cNvSpPr/>
      </xdr:nvSpPr>
      <xdr:spPr>
        <a:xfrm>
          <a:off x="7429500" y="14201775"/>
          <a:ext cx="14573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265AD53-F4D7-43A8-AEF6-D1702CCA8E33}" type="TxLink">
            <a:rPr lang="en-US" sz="1400" b="1" i="0" u="none" strike="noStrike">
              <a:solidFill>
                <a:schemeClr val="accent6">
                  <a:lumMod val="75000"/>
                </a:schemeClr>
              </a:solidFill>
              <a:latin typeface="Arial"/>
              <a:cs typeface="Arial"/>
            </a:rPr>
            <a:pPr algn="ctr"/>
            <a:t>4,0%</a:t>
          </a:fld>
          <a:endParaRPr lang="es-ES" sz="14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85</xdr:row>
      <xdr:rowOff>76200</xdr:rowOff>
    </xdr:from>
    <xdr:to>
      <xdr:col>13</xdr:col>
      <xdr:colOff>95250</xdr:colOff>
      <xdr:row>94</xdr:row>
      <xdr:rowOff>95250</xdr:rowOff>
    </xdr:to>
    <xdr:graphicFrame macro="">
      <xdr:nvGraphicFramePr>
        <xdr:cNvPr id="26703717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149225</xdr:colOff>
      <xdr:row>88</xdr:row>
      <xdr:rowOff>117475</xdr:rowOff>
    </xdr:from>
    <xdr:to>
      <xdr:col>13</xdr:col>
      <xdr:colOff>38122</xdr:colOff>
      <xdr:row>91</xdr:row>
      <xdr:rowOff>79375</xdr:rowOff>
    </xdr:to>
    <xdr:sp macro="" textlink="$J$60">
      <xdr:nvSpPr>
        <xdr:cNvPr id="12" name="Rectángulo 11"/>
        <xdr:cNvSpPr/>
      </xdr:nvSpPr>
      <xdr:spPr>
        <a:xfrm>
          <a:off x="10296525" y="15192375"/>
          <a:ext cx="14097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46FB6708-FBB2-4B9C-8255-045718251244}" type="TxLink">
            <a:rPr lang="en-US" sz="1600" b="1" i="0" u="none" strike="noStrike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pPr algn="ctr"/>
            <a:t>18,0%</a:t>
          </a:fld>
          <a:endParaRPr lang="es-ES" sz="16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76200</xdr:rowOff>
    </xdr:from>
    <xdr:to>
      <xdr:col>4</xdr:col>
      <xdr:colOff>514350</xdr:colOff>
      <xdr:row>44</xdr:row>
      <xdr:rowOff>28575</xdr:rowOff>
    </xdr:to>
    <xdr:graphicFrame macro="">
      <xdr:nvGraphicFramePr>
        <xdr:cNvPr id="26729918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24</xdr:row>
      <xdr:rowOff>66675</xdr:rowOff>
    </xdr:from>
    <xdr:to>
      <xdr:col>8</xdr:col>
      <xdr:colOff>609600</xdr:colOff>
      <xdr:row>43</xdr:row>
      <xdr:rowOff>95250</xdr:rowOff>
    </xdr:to>
    <xdr:graphicFrame macro="">
      <xdr:nvGraphicFramePr>
        <xdr:cNvPr id="26729919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0.03021</cdr:x>
      <cdr:y>0.00347</cdr:y>
    </cdr:from>
    <cdr:to>
      <cdr:x>0.97583</cdr:x>
      <cdr:y>0.13542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95245" y="9519"/>
          <a:ext cx="2981327" cy="3619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E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5.8.1 Gráfico: Tasa Formación Bruta de Capital.          Precios Corrientes</a:t>
          </a:r>
        </a:p>
      </cdr:txBody>
    </cdr:sp>
  </cdr:relSizeAnchor>
  <cdr:relSizeAnchor xmlns:cdr="http://schemas.openxmlformats.org/drawingml/2006/chartDrawing">
    <cdr:from>
      <cdr:x>0.16012</cdr:x>
      <cdr:y>0.84375</cdr:y>
    </cdr:from>
    <cdr:to>
      <cdr:x>0.98792</cdr:x>
      <cdr:y>0.92014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504825" y="2314576"/>
          <a:ext cx="26098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ES" sz="800" b="1"/>
            <a:t>2018          2019            2020          2021               2022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uentas%20Anuario\05%20Cuentas%20Nacionales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Gráficos"/>
      <sheetName val="5.4"/>
      <sheetName val="Gráficos2"/>
      <sheetName val="5.5"/>
      <sheetName val="5.6-7"/>
      <sheetName val="5.8"/>
      <sheetName val="5.9"/>
      <sheetName val="5.10-11"/>
      <sheetName val="5.12-13"/>
      <sheetName val="5.14-15 "/>
    </sheetNames>
    <sheetDataSet>
      <sheetData sheetId="0"/>
      <sheetData sheetId="1">
        <row r="9">
          <cell r="I9" t="str">
            <v>PIB</v>
          </cell>
        </row>
        <row r="10">
          <cell r="I10" t="str">
            <v>Importaciones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9">
          <cell r="A9" t="str">
            <v xml:space="preserve">  Servicios públicos generales, económicos y otros</v>
          </cell>
        </row>
        <row r="10">
          <cell r="A10" t="str">
            <v xml:space="preserve">  Educación</v>
          </cell>
        </row>
        <row r="11">
          <cell r="A11" t="str">
            <v xml:space="preserve">  Sanidad</v>
          </cell>
        </row>
        <row r="12">
          <cell r="A12" t="str">
            <v xml:space="preserve">  Asistencia social</v>
          </cell>
        </row>
        <row r="13">
          <cell r="A13" t="str">
            <v xml:space="preserve">  Viviendas y ordenamiento urbano y rural</v>
          </cell>
        </row>
        <row r="14">
          <cell r="A14" t="str">
            <v xml:space="preserve">  Cultura, Deporte y Recreación</v>
          </cell>
        </row>
        <row r="18">
          <cell r="A18" t="str">
            <v xml:space="preserve">  Servicios públicos generales, económicos y otros</v>
          </cell>
        </row>
        <row r="19">
          <cell r="A19" t="str">
            <v xml:space="preserve">  Educación</v>
          </cell>
        </row>
        <row r="20">
          <cell r="A20" t="str">
            <v xml:space="preserve">  Sanidad</v>
          </cell>
        </row>
        <row r="21">
          <cell r="A21" t="str">
            <v xml:space="preserve">  Asistencia social</v>
          </cell>
        </row>
        <row r="22">
          <cell r="A22" t="str">
            <v xml:space="preserve">  Viviendas y ordenamiento urbano y rural</v>
          </cell>
        </row>
        <row r="23">
          <cell r="A23" t="str">
            <v xml:space="preserve">  Cultura, Deporte y Recreación</v>
          </cell>
        </row>
      </sheetData>
      <sheetData sheetId="10"/>
      <sheetData sheetId="11">
        <row r="9">
          <cell r="A9" t="str">
            <v xml:space="preserve">     Construcción</v>
          </cell>
        </row>
        <row r="10">
          <cell r="A10" t="str">
            <v xml:space="preserve">     Maquinarias y equipos</v>
          </cell>
        </row>
        <row r="11">
          <cell r="A11" t="str">
            <v xml:space="preserve">     Otras inversiones</v>
          </cell>
        </row>
        <row r="12">
          <cell r="A12" t="str">
            <v xml:space="preserve">     Reparaciones capitalizables</v>
          </cell>
        </row>
        <row r="18">
          <cell r="A18" t="str">
            <v xml:space="preserve">     Construcción</v>
          </cell>
        </row>
        <row r="19">
          <cell r="A19" t="str">
            <v xml:space="preserve">     Maquinarias y equipos</v>
          </cell>
        </row>
        <row r="20">
          <cell r="A20" t="str">
            <v xml:space="preserve">     Otras inversiones</v>
          </cell>
        </row>
        <row r="21">
          <cell r="A21" t="str">
            <v xml:space="preserve">     Reparaciones capitalizables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55"/>
  <sheetViews>
    <sheetView showGridLines="0" tabSelected="1" zoomScaleNormal="100" workbookViewId="0">
      <selection activeCell="M22" sqref="M22"/>
    </sheetView>
  </sheetViews>
  <sheetFormatPr baseColWidth="10" defaultColWidth="11.44140625" defaultRowHeight="10.199999999999999"/>
  <cols>
    <col min="1" max="1" width="50.5546875" style="34" customWidth="1"/>
    <col min="2" max="6" width="8.5546875" style="34" customWidth="1"/>
    <col min="7" max="16384" width="11.44140625" style="34"/>
  </cols>
  <sheetData>
    <row r="1" spans="1:11" ht="15" customHeight="1">
      <c r="A1" s="80" t="s">
        <v>237</v>
      </c>
    </row>
    <row r="2" spans="1:11" ht="15" customHeight="1">
      <c r="A2" s="81"/>
    </row>
    <row r="3" spans="1:11" ht="15" customHeight="1">
      <c r="A3" s="82"/>
      <c r="C3" s="83"/>
      <c r="D3" s="83"/>
      <c r="E3" s="83"/>
    </row>
    <row r="4" spans="1:11" ht="15" customHeight="1">
      <c r="A4" s="149" t="s">
        <v>27</v>
      </c>
      <c r="B4" s="150">
        <v>2018</v>
      </c>
      <c r="C4" s="150">
        <v>2019</v>
      </c>
      <c r="D4" s="150">
        <v>2020</v>
      </c>
      <c r="E4" s="150">
        <v>2021</v>
      </c>
      <c r="F4" s="150">
        <v>2022</v>
      </c>
    </row>
    <row r="5" spans="1:11" ht="5.0999999999999996" customHeight="1">
      <c r="A5" s="35"/>
      <c r="B5" s="345"/>
      <c r="C5" s="345"/>
      <c r="D5" s="345"/>
      <c r="E5" s="345"/>
    </row>
    <row r="6" spans="1:11" ht="15" customHeight="1">
      <c r="A6" s="149"/>
      <c r="B6" s="348" t="s">
        <v>238</v>
      </c>
      <c r="C6" s="348"/>
      <c r="D6" s="348"/>
      <c r="E6" s="348"/>
      <c r="F6" s="348"/>
      <c r="G6" s="343"/>
    </row>
    <row r="7" spans="1:11" ht="5.0999999999999996" customHeight="1">
      <c r="A7" s="35"/>
      <c r="B7" s="342"/>
      <c r="C7" s="342"/>
      <c r="D7" s="342"/>
      <c r="E7" s="342"/>
    </row>
    <row r="8" spans="1:11" ht="15" customHeight="1">
      <c r="A8" s="170" t="s">
        <v>96</v>
      </c>
      <c r="B8" s="307">
        <v>2.2000000000000002</v>
      </c>
      <c r="C8" s="307">
        <f>'5.4'!C8/'5.4'!B8*100-100</f>
        <v>-0.16308722360663808</v>
      </c>
      <c r="D8" s="307">
        <f>'5.4'!D8/'5.4'!C8*100-100</f>
        <v>-10.94908460488621</v>
      </c>
      <c r="E8" s="307">
        <f>'5.4'!E8/'5.4'!D8*100-100</f>
        <v>1.2536934250131395</v>
      </c>
      <c r="F8" s="307">
        <f>'5.4'!F8/'5.4'!E8*100-100</f>
        <v>1.7748539948338191</v>
      </c>
      <c r="G8" s="306"/>
      <c r="H8" s="306"/>
      <c r="I8" s="306"/>
      <c r="J8" s="306"/>
      <c r="K8" s="306"/>
    </row>
    <row r="9" spans="1:11" ht="5.0999999999999996" customHeight="1">
      <c r="A9" s="2"/>
      <c r="B9" s="308"/>
      <c r="C9" s="308"/>
      <c r="D9" s="308"/>
      <c r="E9" s="308"/>
      <c r="F9" s="308"/>
      <c r="G9" s="306"/>
      <c r="H9" s="306"/>
      <c r="I9" s="306"/>
      <c r="J9" s="306"/>
      <c r="K9" s="306"/>
    </row>
    <row r="10" spans="1:11" ht="15" customHeight="1">
      <c r="A10" s="170" t="s">
        <v>135</v>
      </c>
      <c r="B10" s="307">
        <v>2.4</v>
      </c>
      <c r="C10" s="309">
        <f>'5.8'!C17/'5.8'!C16*100-100</f>
        <v>-4.0135459368471516E-2</v>
      </c>
      <c r="D10" s="309">
        <f>'5.8'!C18/'5.8'!C17*100-100</f>
        <v>-10.790169712530144</v>
      </c>
      <c r="E10" s="309">
        <f>'5.8'!C19/'5.8'!C18*100-100</f>
        <v>1.8767109367235264</v>
      </c>
      <c r="F10" s="309">
        <f>'5.8'!C20/'5.8'!C19*100-100</f>
        <v>1.9923993076157274</v>
      </c>
      <c r="G10" s="306"/>
      <c r="H10" s="306"/>
      <c r="I10" s="306"/>
      <c r="J10" s="306"/>
      <c r="K10" s="306"/>
    </row>
    <row r="11" spans="1:11" ht="5.0999999999999996" customHeight="1">
      <c r="A11" s="2"/>
      <c r="B11" s="6"/>
      <c r="C11" s="6"/>
      <c r="D11" s="6"/>
      <c r="E11" s="6"/>
      <c r="F11" s="6"/>
    </row>
    <row r="12" spans="1:11" ht="15" customHeight="1">
      <c r="A12" s="171" t="s">
        <v>97</v>
      </c>
      <c r="B12" s="172"/>
      <c r="C12" s="173"/>
      <c r="D12" s="173"/>
      <c r="E12" s="173"/>
      <c r="F12" s="173"/>
      <c r="H12" s="324"/>
      <c r="I12" s="324"/>
    </row>
    <row r="13" spans="1:11" ht="15" customHeight="1">
      <c r="A13" s="3" t="s">
        <v>136</v>
      </c>
      <c r="B13" s="36">
        <v>1.9761345066545744</v>
      </c>
      <c r="C13" s="36">
        <f>'5.10-11'!C40/'5.10-11'!B40*100-100</f>
        <v>0.48858406598091619</v>
      </c>
      <c r="D13" s="36">
        <f>'5.10-11'!D40/'5.10-11'!C40*100-100</f>
        <v>-9.0918393887323248</v>
      </c>
      <c r="E13" s="36">
        <f>'5.10-11'!E40/'5.10-11'!D40*100-100</f>
        <v>2.4117520144836533</v>
      </c>
      <c r="F13" s="36">
        <f>'5.10-11'!F40/'5.10-11'!E40*100-100</f>
        <v>1.8770494806455815</v>
      </c>
      <c r="H13" s="324"/>
      <c r="I13" s="324"/>
    </row>
    <row r="14" spans="1:11" ht="15" customHeight="1">
      <c r="A14" s="3" t="s">
        <v>88</v>
      </c>
      <c r="B14" s="36">
        <v>1.2992620808241355</v>
      </c>
      <c r="C14" s="36">
        <f>'5.2'!C27/'5.2'!B27*100-100</f>
        <v>3.9216283282841289</v>
      </c>
      <c r="D14" s="36">
        <f>'5.2'!D27/'5.2'!C27*100-100</f>
        <v>-10.077201412185218</v>
      </c>
      <c r="E14" s="36">
        <f>'5.2'!E27/'5.2'!D27*100-100</f>
        <v>14.963997132803314</v>
      </c>
      <c r="F14" s="36">
        <f>'5.2'!F27/'5.2'!E27*100-100</f>
        <v>1.4822267410141734</v>
      </c>
      <c r="H14" s="324"/>
      <c r="I14" s="324"/>
    </row>
    <row r="15" spans="1:11" ht="15" customHeight="1">
      <c r="A15" s="3" t="s">
        <v>89</v>
      </c>
      <c r="B15" s="36">
        <v>2.2451598742832459</v>
      </c>
      <c r="C15" s="36">
        <f>'5.2'!C28/'5.2'!B28*100-100</f>
        <v>-0.85687707958163628</v>
      </c>
      <c r="D15" s="36">
        <f>'5.2'!D28/'5.2'!C28*100-100</f>
        <v>-8.6867350314257408</v>
      </c>
      <c r="E15" s="36">
        <f>'5.2'!E28/'5.2'!D28*100-100</f>
        <v>-2.6633162519265881</v>
      </c>
      <c r="F15" s="36">
        <f>'5.2'!F28/'5.2'!E28*100-100</f>
        <v>2.0655914087637939</v>
      </c>
      <c r="H15" s="324"/>
      <c r="I15" s="324"/>
    </row>
    <row r="16" spans="1:11" ht="15" customHeight="1">
      <c r="A16" s="3" t="s">
        <v>90</v>
      </c>
      <c r="B16" s="36">
        <v>4.8231361449852415</v>
      </c>
      <c r="C16" s="36">
        <f>'5.12-13'!C16/'5.12-13'!B16*100-100</f>
        <v>-1.023356074579425</v>
      </c>
      <c r="D16" s="36">
        <f>'5.12-13'!D16/'5.12-13'!C16*100-100</f>
        <v>-5.9240881484558372</v>
      </c>
      <c r="E16" s="36">
        <f>'5.12-13'!E16/'5.12-13'!D16*100-100</f>
        <v>-0.43914081145584305</v>
      </c>
      <c r="F16" s="36">
        <f>'5.12-13'!F16/'5.12-13'!E16*100-100</f>
        <v>-5.7735641001054887</v>
      </c>
      <c r="H16" s="324"/>
      <c r="I16" s="324"/>
    </row>
    <row r="17" spans="1:15" ht="15" customHeight="1">
      <c r="A17" s="3" t="s">
        <v>86</v>
      </c>
      <c r="B17" s="36">
        <v>-2.3533072546230471</v>
      </c>
      <c r="C17" s="36">
        <f>'5.12-13'!C64/'5.12-13'!B64*100-100</f>
        <v>-4.6033523622226369</v>
      </c>
      <c r="D17" s="36">
        <f>'5.12-13'!D64/'5.12-13'!C64*100-100</f>
        <v>-20.547448390391025</v>
      </c>
      <c r="E17" s="36">
        <f>'5.12-13'!E64/'5.12-13'!D64*100-100</f>
        <v>-9.110128771862378</v>
      </c>
      <c r="F17" s="36">
        <f>'5.12-13'!F64/'5.12-13'!E64*100-100</f>
        <v>-2.4370902939310497</v>
      </c>
      <c r="H17" s="324"/>
      <c r="I17" s="324"/>
    </row>
    <row r="18" spans="1:15" ht="15" customHeight="1">
      <c r="A18" s="3" t="s">
        <v>87</v>
      </c>
      <c r="B18" s="6">
        <v>-2.0282635217568128</v>
      </c>
      <c r="C18" s="6">
        <f>'5.12-13'!C67/'5.12-13'!B67*100-100</f>
        <v>-2.8713744616821373</v>
      </c>
      <c r="D18" s="6">
        <f>'5.12-13'!D67/'5.12-13'!C67*100-100</f>
        <v>-7.6102053462680885</v>
      </c>
      <c r="E18" s="6">
        <f>'5.12-13'!E67/'5.12-13'!D67*100-100</f>
        <v>-4.6464296039317645</v>
      </c>
      <c r="F18" s="6">
        <f>'5.12-13'!F67/'5.12-13'!E67*100-100</f>
        <v>-9.1926701189711082</v>
      </c>
      <c r="H18" s="324"/>
      <c r="I18" s="324"/>
    </row>
    <row r="19" spans="1:15" ht="5.0999999999999996" customHeight="1">
      <c r="A19" s="120"/>
      <c r="B19" s="121"/>
      <c r="C19" s="121"/>
      <c r="D19" s="121"/>
      <c r="E19" s="121"/>
      <c r="F19" s="121"/>
      <c r="H19" s="324"/>
      <c r="I19" s="324"/>
    </row>
    <row r="20" spans="1:15" ht="15" customHeight="1">
      <c r="A20" s="151" t="s">
        <v>27</v>
      </c>
      <c r="B20" s="150">
        <v>2018</v>
      </c>
      <c r="C20" s="150">
        <v>2019</v>
      </c>
      <c r="D20" s="150">
        <v>2020</v>
      </c>
      <c r="E20" s="150">
        <v>2021</v>
      </c>
      <c r="F20" s="150">
        <v>2022</v>
      </c>
      <c r="H20" s="324"/>
      <c r="I20" s="324"/>
    </row>
    <row r="21" spans="1:15" ht="5.0999999999999996" customHeight="1">
      <c r="A21" s="120"/>
      <c r="B21" s="122"/>
      <c r="C21" s="121"/>
      <c r="D21" s="122"/>
      <c r="E21" s="121"/>
      <c r="F21" s="122"/>
      <c r="H21" s="324"/>
      <c r="I21" s="324"/>
    </row>
    <row r="22" spans="1:15" ht="15" customHeight="1">
      <c r="A22" s="171" t="s">
        <v>84</v>
      </c>
      <c r="B22" s="346"/>
      <c r="C22" s="346"/>
      <c r="D22" s="346"/>
      <c r="E22" s="346"/>
      <c r="F22" s="174"/>
      <c r="H22" s="324"/>
      <c r="I22" s="324"/>
    </row>
    <row r="23" spans="1:15" ht="15" customHeight="1">
      <c r="A23" s="3" t="s">
        <v>133</v>
      </c>
      <c r="B23" s="33">
        <v>1</v>
      </c>
      <c r="C23" s="33">
        <v>1</v>
      </c>
      <c r="D23" s="33">
        <v>1</v>
      </c>
      <c r="E23" s="33">
        <v>24</v>
      </c>
      <c r="F23" s="33">
        <v>24</v>
      </c>
      <c r="H23" s="324"/>
      <c r="I23" s="324"/>
    </row>
    <row r="24" spans="1:15" ht="15" customHeight="1">
      <c r="A24" s="3" t="s">
        <v>236</v>
      </c>
      <c r="B24" s="6">
        <v>24</v>
      </c>
      <c r="C24" s="6">
        <v>24</v>
      </c>
      <c r="D24" s="6">
        <v>24</v>
      </c>
      <c r="E24" s="6">
        <v>24</v>
      </c>
      <c r="F24" s="33">
        <v>24</v>
      </c>
      <c r="H24" s="324"/>
      <c r="I24" s="324"/>
    </row>
    <row r="25" spans="1:15" ht="15" customHeight="1">
      <c r="A25" s="123" t="s">
        <v>95</v>
      </c>
      <c r="B25" s="346" t="s">
        <v>182</v>
      </c>
      <c r="C25" s="346"/>
      <c r="D25" s="346"/>
      <c r="E25" s="346"/>
      <c r="F25" s="346"/>
      <c r="H25" s="237"/>
      <c r="I25" s="237"/>
      <c r="J25" s="237"/>
      <c r="K25" s="237"/>
      <c r="L25" s="237"/>
      <c r="M25" s="237"/>
      <c r="N25" s="237"/>
      <c r="O25" s="237"/>
    </row>
    <row r="26" spans="1:15" ht="15" customHeight="1">
      <c r="A26" s="3" t="s">
        <v>85</v>
      </c>
      <c r="B26" s="44">
        <v>1200</v>
      </c>
      <c r="C26" s="44">
        <v>1657.4</v>
      </c>
      <c r="D26" s="44">
        <v>-528.79999999999995</v>
      </c>
      <c r="E26" s="44" t="s">
        <v>49</v>
      </c>
      <c r="F26" s="44" t="s">
        <v>49</v>
      </c>
      <c r="H26" s="237"/>
      <c r="I26" s="237"/>
      <c r="J26" s="237"/>
      <c r="K26" s="237"/>
      <c r="L26" s="237"/>
      <c r="M26" s="237"/>
      <c r="N26" s="237"/>
      <c r="O26" s="237"/>
    </row>
    <row r="27" spans="1:15" ht="15" customHeight="1">
      <c r="A27" s="3" t="s">
        <v>132</v>
      </c>
      <c r="B27" s="33">
        <v>1953.7</v>
      </c>
      <c r="C27" s="33">
        <v>1684.6</v>
      </c>
      <c r="D27" s="33">
        <v>819.3</v>
      </c>
      <c r="E27" s="33" t="s">
        <v>49</v>
      </c>
      <c r="F27" s="33" t="s">
        <v>49</v>
      </c>
      <c r="H27" s="237"/>
      <c r="I27" s="237"/>
      <c r="J27" s="237"/>
      <c r="K27" s="237"/>
      <c r="L27" s="237"/>
      <c r="M27" s="237"/>
      <c r="N27" s="237"/>
      <c r="O27" s="237"/>
    </row>
    <row r="28" spans="1:15" ht="15" customHeight="1">
      <c r="A28" s="4"/>
      <c r="B28" s="346" t="s">
        <v>183</v>
      </c>
      <c r="C28" s="346"/>
      <c r="D28" s="346"/>
      <c r="E28" s="346"/>
      <c r="F28" s="346"/>
      <c r="H28" s="237"/>
      <c r="I28" s="237"/>
      <c r="J28" s="237">
        <v>2016</v>
      </c>
      <c r="K28" s="237">
        <v>2017</v>
      </c>
      <c r="L28" s="237">
        <v>2018</v>
      </c>
      <c r="M28" s="237">
        <v>2019</v>
      </c>
      <c r="N28" s="237">
        <v>2020</v>
      </c>
      <c r="O28" s="237"/>
    </row>
    <row r="29" spans="1:15" ht="15" customHeight="1">
      <c r="A29" s="3" t="s">
        <v>85</v>
      </c>
      <c r="B29" s="6">
        <f>B26/'5.2'!B9*100</f>
        <v>1.1993998671295816</v>
      </c>
      <c r="C29" s="42">
        <f>C26/'5.2'!C9*100</f>
        <v>1.6024736143930634</v>
      </c>
      <c r="D29" s="42">
        <f>D26/'5.2'!D9*100</f>
        <v>-0.49258605817508427</v>
      </c>
      <c r="E29" s="42" t="s">
        <v>49</v>
      </c>
      <c r="F29" s="42" t="s">
        <v>49</v>
      </c>
      <c r="H29" s="237"/>
      <c r="I29" s="237" t="s">
        <v>207</v>
      </c>
      <c r="J29" s="237">
        <v>18218</v>
      </c>
      <c r="K29" s="237">
        <v>17764</v>
      </c>
      <c r="L29" s="237">
        <v>18442</v>
      </c>
      <c r="M29" s="237" t="s">
        <v>49</v>
      </c>
      <c r="N29" s="237" t="s">
        <v>49</v>
      </c>
      <c r="O29" s="237"/>
    </row>
    <row r="30" spans="1:15" ht="15" customHeight="1">
      <c r="A30" s="3" t="s">
        <v>132</v>
      </c>
      <c r="B30" s="42">
        <f>B27/'5.2'!B9*100</f>
        <v>1.9527229336758865</v>
      </c>
      <c r="C30" s="42">
        <f>C27/'5.2'!C9*100</f>
        <v>1.628772203937827</v>
      </c>
      <c r="D30" s="42">
        <f>D27/'5.2'!D9*100</f>
        <v>0.76319167447588221</v>
      </c>
      <c r="E30" s="42" t="s">
        <v>49</v>
      </c>
      <c r="F30" s="42" t="s">
        <v>49</v>
      </c>
      <c r="H30" s="237"/>
      <c r="I30" s="237" t="s">
        <v>195</v>
      </c>
      <c r="J30" s="237">
        <v>51116.9</v>
      </c>
      <c r="K30" s="237">
        <v>55618.8</v>
      </c>
      <c r="L30" s="237">
        <v>57390.8</v>
      </c>
      <c r="M30" s="237">
        <v>59332.800000000003</v>
      </c>
      <c r="N30" s="237"/>
      <c r="O30" s="237"/>
    </row>
    <row r="31" spans="1:15" ht="15" customHeight="1">
      <c r="A31" s="3" t="s">
        <v>130</v>
      </c>
      <c r="B31" s="42">
        <v>18.399999999999999</v>
      </c>
      <c r="C31" s="42">
        <v>19</v>
      </c>
      <c r="D31" s="42">
        <v>20</v>
      </c>
      <c r="E31" s="42" t="s">
        <v>49</v>
      </c>
      <c r="F31" s="42" t="s">
        <v>49</v>
      </c>
      <c r="G31" s="133"/>
      <c r="H31" s="237"/>
      <c r="I31" s="237" t="s">
        <v>196</v>
      </c>
      <c r="J31" s="237">
        <v>57812.6</v>
      </c>
      <c r="K31" s="237">
        <v>63905.7</v>
      </c>
      <c r="L31" s="237">
        <v>65497.5</v>
      </c>
      <c r="M31" s="237">
        <v>65774.899999999994</v>
      </c>
      <c r="N31" s="237"/>
      <c r="O31" s="237"/>
    </row>
    <row r="32" spans="1:15" ht="15" customHeight="1">
      <c r="A32" s="120"/>
      <c r="B32" s="121"/>
      <c r="C32" s="121"/>
      <c r="D32" s="121"/>
      <c r="E32" s="121"/>
      <c r="F32" s="121"/>
      <c r="H32" s="237"/>
      <c r="I32" s="237" t="s">
        <v>193</v>
      </c>
      <c r="J32" s="237">
        <v>-7269</v>
      </c>
      <c r="K32" s="237">
        <v>-4755</v>
      </c>
      <c r="L32" s="237">
        <v>-2501</v>
      </c>
      <c r="M32" s="237">
        <v>-5268</v>
      </c>
      <c r="N32" s="237">
        <v>-19129</v>
      </c>
      <c r="O32" s="237"/>
    </row>
    <row r="33" spans="1:15" ht="15" customHeight="1">
      <c r="A33" s="151" t="s">
        <v>27</v>
      </c>
      <c r="B33" s="150">
        <v>2018</v>
      </c>
      <c r="C33" s="150">
        <v>2019</v>
      </c>
      <c r="D33" s="150">
        <v>2020</v>
      </c>
      <c r="E33" s="150">
        <v>2021</v>
      </c>
      <c r="F33" s="150">
        <v>2022</v>
      </c>
      <c r="H33" s="237"/>
      <c r="I33" s="237" t="s">
        <v>197</v>
      </c>
      <c r="J33" s="238">
        <f>J30/J42*100</f>
        <v>55.944699378219511</v>
      </c>
      <c r="K33" s="238">
        <f>K30/K42*100</f>
        <v>57.427389673714458</v>
      </c>
      <c r="L33" s="238">
        <f>L30/L42*100</f>
        <v>57.362098245383663</v>
      </c>
      <c r="M33" s="238">
        <f>M30/M42*100</f>
        <v>57.366505652263037</v>
      </c>
      <c r="N33" s="238">
        <f>N30/N42*100</f>
        <v>0</v>
      </c>
      <c r="O33" s="237"/>
    </row>
    <row r="34" spans="1:15" ht="4.5" customHeight="1">
      <c r="A34" s="130"/>
      <c r="B34" s="132"/>
      <c r="C34" s="132"/>
      <c r="D34" s="132"/>
      <c r="E34" s="132"/>
      <c r="F34" s="132"/>
      <c r="H34" s="237"/>
      <c r="I34" s="237"/>
      <c r="J34" s="238"/>
      <c r="K34" s="238"/>
      <c r="L34" s="238"/>
      <c r="M34" s="238"/>
      <c r="N34" s="238"/>
      <c r="O34" s="237"/>
    </row>
    <row r="35" spans="1:15" ht="15" customHeight="1">
      <c r="A35" s="347" t="s">
        <v>232</v>
      </c>
      <c r="B35" s="347"/>
      <c r="C35" s="347"/>
      <c r="D35" s="347"/>
      <c r="E35" s="347"/>
      <c r="F35" s="347"/>
      <c r="H35" s="237"/>
      <c r="I35" s="237" t="s">
        <v>198</v>
      </c>
      <c r="J35" s="238">
        <f>J31/J42*100</f>
        <v>63.272783116215045</v>
      </c>
      <c r="K35" s="238">
        <f>K31/K42*100</f>
        <v>65.98375974079795</v>
      </c>
      <c r="L35" s="238">
        <f>L31/L42*100</f>
        <v>65.464743997766476</v>
      </c>
      <c r="M35" s="238">
        <f>M31/M42*100</f>
        <v>63.595113876760159</v>
      </c>
      <c r="N35" s="238">
        <f>N31/N42*100</f>
        <v>0</v>
      </c>
      <c r="O35" s="237"/>
    </row>
    <row r="36" spans="1:15" ht="4.5" customHeight="1">
      <c r="A36" s="5"/>
      <c r="B36" s="266"/>
      <c r="C36" s="266"/>
      <c r="D36" s="266"/>
      <c r="E36" s="266"/>
      <c r="F36" s="266"/>
      <c r="H36" s="237"/>
      <c r="I36" s="237"/>
      <c r="J36" s="238"/>
      <c r="K36" s="238"/>
      <c r="L36" s="238"/>
      <c r="M36" s="238"/>
      <c r="N36" s="238"/>
      <c r="O36" s="237"/>
    </row>
    <row r="37" spans="1:15" ht="15" customHeight="1">
      <c r="A37" s="171" t="s">
        <v>91</v>
      </c>
      <c r="B37" s="344"/>
      <c r="C37" s="344"/>
      <c r="D37" s="344"/>
      <c r="E37" s="344"/>
      <c r="F37" s="344"/>
      <c r="G37" s="96"/>
      <c r="H37" s="237"/>
      <c r="I37" s="237" t="s">
        <v>208</v>
      </c>
      <c r="J37" s="238">
        <f>J29/J42*100</f>
        <v>19.938621733172454</v>
      </c>
      <c r="K37" s="238">
        <f>K29/K42*100</f>
        <v>18.341642577039842</v>
      </c>
      <c r="L37" s="238">
        <f>L29/L42*100</f>
        <v>18.432776958003121</v>
      </c>
      <c r="M37" s="238"/>
      <c r="N37" s="238"/>
      <c r="O37" s="237"/>
    </row>
    <row r="38" spans="1:15" ht="15" customHeight="1">
      <c r="A38" s="3" t="s">
        <v>147</v>
      </c>
      <c r="B38" s="36">
        <v>57.4</v>
      </c>
      <c r="C38" s="36">
        <v>57.7</v>
      </c>
      <c r="D38" s="36">
        <v>51.5</v>
      </c>
      <c r="E38" s="36">
        <v>47.1</v>
      </c>
      <c r="F38" s="42">
        <v>38.204600482159151</v>
      </c>
      <c r="G38" s="133"/>
      <c r="H38" s="238"/>
      <c r="I38" s="238" t="s">
        <v>194</v>
      </c>
      <c r="J38" s="238">
        <v>-6125.9</v>
      </c>
      <c r="K38" s="238">
        <v>-8283.7000000000007</v>
      </c>
      <c r="L38" s="238">
        <v>-8091.3</v>
      </c>
      <c r="M38" s="238">
        <v>-6435.3</v>
      </c>
      <c r="N38" s="238"/>
      <c r="O38" s="237"/>
    </row>
    <row r="39" spans="1:15" ht="15" customHeight="1">
      <c r="A39" s="3" t="s">
        <v>93</v>
      </c>
      <c r="B39" s="36">
        <v>65.5</v>
      </c>
      <c r="C39" s="36">
        <v>63.6</v>
      </c>
      <c r="D39" s="36">
        <v>69.2</v>
      </c>
      <c r="E39" s="36">
        <v>58.8</v>
      </c>
      <c r="F39" s="42">
        <v>49.769347579092845</v>
      </c>
      <c r="G39" s="96"/>
      <c r="H39" s="237"/>
      <c r="I39" s="237"/>
      <c r="J39" s="238">
        <f>J38/J42*100</f>
        <v>-6.7044682662883481</v>
      </c>
      <c r="K39" s="238">
        <f>K38/K42*100</f>
        <v>-8.5530660107760053</v>
      </c>
      <c r="L39" s="238">
        <f>L38/L42*100</f>
        <v>-8.0872534540879872</v>
      </c>
      <c r="M39" s="238">
        <f>M38/M42*100</f>
        <v>-6.2220335771109445</v>
      </c>
      <c r="N39" s="238">
        <f>N38/N42*100</f>
        <v>0</v>
      </c>
      <c r="O39" s="237"/>
    </row>
    <row r="40" spans="1:15" ht="15" customHeight="1">
      <c r="A40" s="161" t="s">
        <v>235</v>
      </c>
      <c r="B40" s="36">
        <v>-8.1</v>
      </c>
      <c r="C40" s="36">
        <v>-6.2</v>
      </c>
      <c r="D40" s="36">
        <v>-17.7</v>
      </c>
      <c r="E40" s="36">
        <v>-11.7</v>
      </c>
      <c r="F40" s="42">
        <v>-11.110135840312525</v>
      </c>
      <c r="G40" s="97"/>
      <c r="H40" s="238"/>
      <c r="I40" s="238"/>
      <c r="J40" s="238">
        <v>21923</v>
      </c>
      <c r="K40" s="238">
        <v>23809</v>
      </c>
      <c r="L40" s="238">
        <v>27071.4</v>
      </c>
      <c r="M40" s="238">
        <v>30709.7</v>
      </c>
      <c r="N40" s="237">
        <v>56606</v>
      </c>
      <c r="O40" s="237"/>
    </row>
    <row r="41" spans="1:15" ht="15" customHeight="1">
      <c r="A41" s="171" t="s">
        <v>94</v>
      </c>
      <c r="B41" s="344"/>
      <c r="C41" s="344"/>
      <c r="D41" s="344"/>
      <c r="E41" s="344"/>
      <c r="F41" s="344"/>
      <c r="G41" s="96"/>
      <c r="H41" s="237"/>
      <c r="I41" s="237"/>
      <c r="J41" s="239">
        <v>48186.6</v>
      </c>
      <c r="K41" s="238">
        <v>52101</v>
      </c>
      <c r="L41" s="237">
        <v>58942.6</v>
      </c>
      <c r="M41" s="237">
        <v>65027.3</v>
      </c>
      <c r="N41" s="237">
        <v>98161</v>
      </c>
      <c r="O41" s="237"/>
    </row>
    <row r="42" spans="1:15" ht="15" customHeight="1">
      <c r="A42" s="31" t="s">
        <v>145</v>
      </c>
      <c r="B42" s="36">
        <v>58.9</v>
      </c>
      <c r="C42" s="36">
        <v>62.9</v>
      </c>
      <c r="D42" s="36">
        <v>91.4</v>
      </c>
      <c r="E42" s="36">
        <v>35</v>
      </c>
      <c r="F42" s="42">
        <v>45.358322297074253</v>
      </c>
      <c r="G42" s="97"/>
      <c r="H42" s="238"/>
      <c r="I42" s="238"/>
      <c r="J42" s="238">
        <v>91370.407863699991</v>
      </c>
      <c r="K42" s="238">
        <v>96850.649691740604</v>
      </c>
      <c r="L42" s="238">
        <v>100050.03609612319</v>
      </c>
      <c r="M42" s="238">
        <v>103427.6</v>
      </c>
      <c r="N42" s="237">
        <v>107351.79999999997</v>
      </c>
      <c r="O42" s="237"/>
    </row>
    <row r="43" spans="1:15" ht="15" customHeight="1">
      <c r="A43" s="161" t="s">
        <v>92</v>
      </c>
      <c r="B43" s="36">
        <v>27.1</v>
      </c>
      <c r="C43" s="42">
        <v>29.7</v>
      </c>
      <c r="D43" s="42">
        <v>52.7</v>
      </c>
      <c r="E43" s="42">
        <v>22.8</v>
      </c>
      <c r="F43" s="42">
        <v>31.228905931921503</v>
      </c>
      <c r="G43" s="96"/>
      <c r="H43" s="237"/>
      <c r="I43" s="237"/>
      <c r="J43" s="238">
        <f>J41/J42*100</f>
        <v>52.737643539778666</v>
      </c>
      <c r="K43" s="238">
        <f>K41/K42*100</f>
        <v>53.795199274169825</v>
      </c>
      <c r="L43" s="238">
        <f>L41/L42*100</f>
        <v>58.913122173560062</v>
      </c>
      <c r="M43" s="238">
        <f>M41/M42*100</f>
        <v>62.872289408243063</v>
      </c>
      <c r="N43" s="238">
        <f>N41/N42*100</f>
        <v>91.438615840628685</v>
      </c>
      <c r="O43" s="237"/>
    </row>
    <row r="44" spans="1:15" ht="15" customHeight="1">
      <c r="A44" s="3" t="s">
        <v>146</v>
      </c>
      <c r="B44" s="36">
        <v>31.9</v>
      </c>
      <c r="C44" s="42">
        <v>33.200000000000003</v>
      </c>
      <c r="D44" s="42">
        <v>38.700000000000003</v>
      </c>
      <c r="E44" s="320">
        <v>12.338589763835706</v>
      </c>
      <c r="F44" s="42">
        <v>14.129416365152753</v>
      </c>
      <c r="G44" s="96"/>
      <c r="H44" s="237"/>
      <c r="I44" s="237"/>
      <c r="J44" s="238">
        <f>J40/J41*100</f>
        <v>45.496050769301007</v>
      </c>
      <c r="K44" s="238">
        <f>K40/K41*100</f>
        <v>45.697779313256945</v>
      </c>
      <c r="L44" s="238">
        <f>L40/L41*100</f>
        <v>45.928411709018604</v>
      </c>
      <c r="M44" s="238">
        <f>M40/M41*100</f>
        <v>47.22585744756433</v>
      </c>
      <c r="N44" s="238">
        <f>N40/N41*100</f>
        <v>57.666486690233384</v>
      </c>
      <c r="O44" s="237"/>
    </row>
    <row r="45" spans="1:15" ht="5.0999999999999996" customHeight="1">
      <c r="A45" s="3"/>
      <c r="B45" s="36"/>
      <c r="C45" s="36"/>
      <c r="D45" s="36"/>
      <c r="E45" s="175"/>
      <c r="F45" s="175"/>
      <c r="G45" s="96"/>
      <c r="H45" s="237"/>
      <c r="I45" s="237"/>
      <c r="J45" s="238"/>
      <c r="K45" s="238"/>
      <c r="L45" s="238"/>
      <c r="M45" s="238"/>
      <c r="N45" s="238"/>
      <c r="O45" s="237"/>
    </row>
    <row r="46" spans="1:15" ht="15" customHeight="1">
      <c r="A46" s="151" t="s">
        <v>27</v>
      </c>
      <c r="B46" s="150">
        <v>2018</v>
      </c>
      <c r="C46" s="150">
        <v>2019</v>
      </c>
      <c r="D46" s="150">
        <v>2020</v>
      </c>
      <c r="E46" s="150">
        <v>2021</v>
      </c>
      <c r="F46" s="150">
        <v>2022</v>
      </c>
      <c r="G46" s="97"/>
      <c r="H46" s="238"/>
      <c r="I46" s="238"/>
      <c r="J46" s="238"/>
      <c r="K46" s="238"/>
      <c r="L46" s="238"/>
      <c r="M46" s="238"/>
      <c r="N46" s="237"/>
      <c r="O46" s="237"/>
    </row>
    <row r="47" spans="1:15" ht="5.0999999999999996" customHeight="1">
      <c r="A47" s="130"/>
      <c r="B47" s="132"/>
      <c r="C47" s="132"/>
      <c r="D47" s="132"/>
      <c r="E47" s="132"/>
      <c r="F47" s="132"/>
      <c r="G47" s="97"/>
      <c r="H47" s="238"/>
      <c r="I47" s="238"/>
      <c r="J47" s="238"/>
      <c r="K47" s="238"/>
      <c r="L47" s="238"/>
      <c r="M47" s="238"/>
      <c r="N47" s="237"/>
      <c r="O47" s="237"/>
    </row>
    <row r="48" spans="1:15" ht="25.5" customHeight="1">
      <c r="A48" s="272" t="s">
        <v>227</v>
      </c>
      <c r="B48" s="102">
        <v>2.4</v>
      </c>
      <c r="C48" s="102">
        <v>-1.3</v>
      </c>
      <c r="D48" s="319">
        <v>18.5</v>
      </c>
      <c r="E48" s="319">
        <v>77.3</v>
      </c>
      <c r="F48" s="320">
        <v>39.07</v>
      </c>
      <c r="G48" s="134"/>
      <c r="H48" s="238"/>
      <c r="I48" s="238"/>
      <c r="J48" s="238"/>
      <c r="K48" s="238"/>
      <c r="L48" s="238"/>
      <c r="M48" s="238"/>
      <c r="N48" s="237"/>
      <c r="O48" s="237"/>
    </row>
    <row r="49" spans="1:15" ht="15" customHeight="1" thickBot="1">
      <c r="A49" s="252" t="s">
        <v>223</v>
      </c>
      <c r="B49" s="321">
        <v>1.7</v>
      </c>
      <c r="C49" s="321">
        <v>1.2</v>
      </c>
      <c r="D49" s="322">
        <v>1.4</v>
      </c>
      <c r="E49" s="323" t="s">
        <v>49</v>
      </c>
      <c r="F49" s="323">
        <v>1.8</v>
      </c>
      <c r="G49" s="133"/>
      <c r="H49" s="237"/>
      <c r="I49" s="237"/>
      <c r="J49" s="237"/>
      <c r="K49" s="237"/>
      <c r="L49" s="237"/>
      <c r="M49" s="237"/>
      <c r="N49" s="237"/>
      <c r="O49" s="237"/>
    </row>
    <row r="50" spans="1:15" ht="12.9" customHeight="1">
      <c r="A50" s="31" t="s">
        <v>105</v>
      </c>
      <c r="B50" s="78"/>
      <c r="C50" s="78"/>
      <c r="G50" s="96"/>
      <c r="H50" s="96"/>
      <c r="I50" s="96"/>
      <c r="J50" s="96"/>
      <c r="K50" s="96"/>
      <c r="L50" s="96"/>
      <c r="M50" s="96"/>
    </row>
    <row r="51" spans="1:15" ht="12.9" customHeight="1">
      <c r="A51" s="31" t="s">
        <v>106</v>
      </c>
      <c r="B51" s="78"/>
      <c r="C51" s="78"/>
      <c r="D51" s="78"/>
      <c r="F51" s="97"/>
      <c r="G51" s="97"/>
      <c r="H51" s="97"/>
      <c r="I51" s="97"/>
      <c r="J51" s="97"/>
      <c r="K51" s="97"/>
      <c r="L51" s="97"/>
      <c r="M51" s="97"/>
    </row>
    <row r="52" spans="1:15" ht="12.9" customHeight="1">
      <c r="A52" s="31" t="s">
        <v>131</v>
      </c>
      <c r="B52" s="78"/>
      <c r="C52" s="78"/>
    </row>
    <row r="53" spans="1:15" ht="14.1" customHeight="1">
      <c r="A53" s="31" t="s">
        <v>233</v>
      </c>
      <c r="B53" s="78"/>
      <c r="C53" s="78"/>
    </row>
    <row r="54" spans="1:15" ht="11.4">
      <c r="A54" s="31" t="s">
        <v>234</v>
      </c>
      <c r="B54" s="78"/>
      <c r="C54" s="78"/>
    </row>
    <row r="55" spans="1:15">
      <c r="B55" s="78"/>
      <c r="C55" s="78"/>
    </row>
  </sheetData>
  <mergeCells count="8">
    <mergeCell ref="B41:F41"/>
    <mergeCell ref="B5:E5"/>
    <mergeCell ref="B22:E22"/>
    <mergeCell ref="B25:F25"/>
    <mergeCell ref="B28:F28"/>
    <mergeCell ref="B37:F37"/>
    <mergeCell ref="A35:F35"/>
    <mergeCell ref="B6:F6"/>
  </mergeCells>
  <phoneticPr fontId="12" type="noConversion"/>
  <pageMargins left="0.59055118110236227" right="0.59055118110236227" top="0.59055118110236227" bottom="0.59055118110236227" header="0.59055118110236227" footer="0.59055118110236227"/>
  <pageSetup paperSize="11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86"/>
  <sheetViews>
    <sheetView showGridLines="0" zoomScale="97" zoomScaleNormal="97" workbookViewId="0">
      <selection activeCell="J66" sqref="J66"/>
    </sheetView>
  </sheetViews>
  <sheetFormatPr baseColWidth="10" defaultColWidth="9.109375" defaultRowHeight="13.2"/>
  <cols>
    <col min="1" max="1" width="34.109375" style="72" customWidth="1"/>
    <col min="2" max="3" width="12.109375" style="85" customWidth="1"/>
    <col min="4" max="6" width="12.109375" style="72" customWidth="1"/>
    <col min="7" max="7" width="11.44140625" style="228" customWidth="1"/>
    <col min="8" max="26" width="9.109375" style="228"/>
    <col min="27" max="16384" width="9.109375" style="72"/>
  </cols>
  <sheetData>
    <row r="1" spans="1:26" ht="15.75" customHeight="1">
      <c r="A1" s="65" t="s">
        <v>204</v>
      </c>
    </row>
    <row r="2" spans="1:26" ht="15" customHeight="1">
      <c r="A2" s="29"/>
      <c r="F2" s="43" t="s">
        <v>54</v>
      </c>
    </row>
    <row r="3" spans="1:26" ht="15" customHeight="1">
      <c r="A3" s="151" t="s">
        <v>27</v>
      </c>
      <c r="B3" s="152">
        <v>2018</v>
      </c>
      <c r="C3" s="152">
        <v>2019</v>
      </c>
      <c r="D3" s="152">
        <v>2020</v>
      </c>
      <c r="E3" s="152">
        <v>2021</v>
      </c>
      <c r="F3" s="152">
        <v>2022</v>
      </c>
    </row>
    <row r="4" spans="1:26" ht="5.0999999999999996" customHeight="1">
      <c r="A4" s="130"/>
      <c r="B4" s="131"/>
      <c r="C4" s="131"/>
      <c r="D4" s="131"/>
      <c r="E4" s="131"/>
      <c r="F4" s="131"/>
    </row>
    <row r="5" spans="1:26" ht="20.100000000000001" customHeight="1">
      <c r="A5" s="67"/>
      <c r="B5" s="365" t="s">
        <v>187</v>
      </c>
      <c r="C5" s="365"/>
      <c r="D5" s="365"/>
      <c r="E5" s="365"/>
      <c r="F5" s="365"/>
    </row>
    <row r="6" spans="1:26" s="85" customFormat="1" ht="5.0999999999999996" customHeight="1">
      <c r="A6" s="196"/>
      <c r="B6" s="202"/>
      <c r="C6" s="202"/>
      <c r="D6" s="202"/>
      <c r="E6" s="202"/>
      <c r="F6" s="202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 spans="1:26" ht="17.100000000000001" customHeight="1">
      <c r="A7" s="205" t="s">
        <v>9</v>
      </c>
      <c r="B7" s="206">
        <f>+B8+B13</f>
        <v>12039.599999999999</v>
      </c>
      <c r="C7" s="206">
        <f>+C8+C13</f>
        <v>11888.999999999998</v>
      </c>
      <c r="D7" s="206">
        <f>+D8+D13</f>
        <v>10601.3</v>
      </c>
      <c r="E7" s="206">
        <f>+E8+E13</f>
        <v>129821.6</v>
      </c>
      <c r="F7" s="206">
        <f>+F8+F13</f>
        <v>105104.24921507569</v>
      </c>
      <c r="G7" s="325"/>
      <c r="H7" s="326"/>
      <c r="I7" s="327"/>
      <c r="J7" s="229"/>
      <c r="K7" s="229"/>
    </row>
    <row r="8" spans="1:26" ht="17.100000000000001" customHeight="1">
      <c r="A8" s="207" t="s">
        <v>39</v>
      </c>
      <c r="B8" s="57">
        <f>SUM(B9:B12)</f>
        <v>11452.8</v>
      </c>
      <c r="C8" s="57">
        <f>SUM(C9:C12)</f>
        <v>11596.199999999999</v>
      </c>
      <c r="D8" s="57">
        <f>SUM(D9:D12)</f>
        <v>10536.3</v>
      </c>
      <c r="E8" s="57">
        <v>57243.9</v>
      </c>
      <c r="F8" s="57">
        <v>72713.299999999988</v>
      </c>
      <c r="G8" s="325"/>
      <c r="H8" s="328"/>
      <c r="I8" s="329"/>
      <c r="J8" s="330"/>
      <c r="K8" s="229"/>
    </row>
    <row r="9" spans="1:26" ht="17.100000000000001" customHeight="1">
      <c r="A9" s="70" t="s">
        <v>40</v>
      </c>
      <c r="B9" s="57">
        <v>7496.3</v>
      </c>
      <c r="C9" s="57">
        <v>7456.4</v>
      </c>
      <c r="D9" s="57">
        <v>7498.4</v>
      </c>
      <c r="E9" s="57">
        <v>33774.199999999997</v>
      </c>
      <c r="F9" s="57">
        <v>44204.1</v>
      </c>
      <c r="G9" s="331"/>
      <c r="H9" s="332"/>
      <c r="I9" s="332"/>
      <c r="J9" s="231"/>
      <c r="K9" s="229"/>
    </row>
    <row r="10" spans="1:26" ht="17.100000000000001" customHeight="1">
      <c r="A10" s="70" t="s">
        <v>41</v>
      </c>
      <c r="B10" s="57">
        <v>2457.6</v>
      </c>
      <c r="C10" s="57">
        <v>2589.4</v>
      </c>
      <c r="D10" s="57">
        <v>1417.4</v>
      </c>
      <c r="E10" s="57">
        <v>16312.4</v>
      </c>
      <c r="F10" s="57">
        <v>20389.3</v>
      </c>
      <c r="G10" s="325"/>
      <c r="H10" s="326"/>
      <c r="I10" s="326"/>
      <c r="J10" s="231"/>
      <c r="K10" s="229"/>
    </row>
    <row r="11" spans="1:26" ht="17.100000000000001" customHeight="1">
      <c r="A11" s="70" t="s">
        <v>42</v>
      </c>
      <c r="B11" s="57">
        <v>1180.8</v>
      </c>
      <c r="C11" s="57">
        <v>1233.9000000000001</v>
      </c>
      <c r="D11" s="57">
        <v>1302.3</v>
      </c>
      <c r="E11" s="57">
        <v>5723.8</v>
      </c>
      <c r="F11" s="57">
        <v>6685.4</v>
      </c>
      <c r="G11" s="325"/>
      <c r="H11" s="333"/>
      <c r="I11" s="333"/>
      <c r="J11" s="231"/>
      <c r="K11" s="229"/>
    </row>
    <row r="12" spans="1:26" ht="17.100000000000001" customHeight="1">
      <c r="A12" s="70" t="s">
        <v>43</v>
      </c>
      <c r="B12" s="57">
        <v>318.10000000000002</v>
      </c>
      <c r="C12" s="57">
        <v>316.5</v>
      </c>
      <c r="D12" s="57">
        <v>318.2</v>
      </c>
      <c r="E12" s="57">
        <v>1433.5</v>
      </c>
      <c r="F12" s="57">
        <v>1434.5</v>
      </c>
      <c r="G12" s="325"/>
      <c r="H12" s="333"/>
      <c r="I12" s="333"/>
      <c r="J12" s="231"/>
      <c r="K12" s="229"/>
    </row>
    <row r="13" spans="1:26" ht="17.100000000000001" customHeight="1">
      <c r="A13" s="68" t="s">
        <v>44</v>
      </c>
      <c r="B13" s="57">
        <v>586.79999999999995</v>
      </c>
      <c r="C13" s="57">
        <v>292.8</v>
      </c>
      <c r="D13" s="57">
        <v>65</v>
      </c>
      <c r="E13" s="57">
        <v>72577.7</v>
      </c>
      <c r="F13" s="57">
        <v>32390.9492150757</v>
      </c>
      <c r="G13" s="325"/>
      <c r="H13" s="333"/>
      <c r="I13" s="333"/>
      <c r="J13" s="231"/>
      <c r="K13" s="229"/>
    </row>
    <row r="14" spans="1:26" ht="20.100000000000001" customHeight="1">
      <c r="A14" s="71"/>
      <c r="B14" s="363" t="s">
        <v>220</v>
      </c>
      <c r="C14" s="363"/>
      <c r="D14" s="363"/>
      <c r="E14" s="363"/>
      <c r="F14" s="363"/>
      <c r="G14" s="334"/>
      <c r="H14" s="335"/>
      <c r="I14" s="335"/>
      <c r="J14" s="231"/>
      <c r="K14" s="229"/>
    </row>
    <row r="15" spans="1:26" s="85" customFormat="1" ht="5.0999999999999996" customHeight="1">
      <c r="A15" s="198"/>
      <c r="B15" s="199"/>
      <c r="C15" s="199"/>
      <c r="D15" s="199"/>
      <c r="E15" s="199"/>
      <c r="F15" s="199"/>
      <c r="G15" s="334"/>
      <c r="H15" s="335"/>
      <c r="I15" s="335"/>
      <c r="J15" s="231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 spans="1:26" ht="17.100000000000001" customHeight="1">
      <c r="A16" s="205" t="s">
        <v>9</v>
      </c>
      <c r="B16" s="206">
        <f>+B17+B22</f>
        <v>8999.7999999999993</v>
      </c>
      <c r="C16" s="206">
        <f>+C17+C22</f>
        <v>8907.7000000000007</v>
      </c>
      <c r="D16" s="206">
        <f>+D17+D22</f>
        <v>8380</v>
      </c>
      <c r="E16" s="206">
        <f>E17+E22</f>
        <v>8343.2000000000007</v>
      </c>
      <c r="F16" s="206">
        <f>F17+F22</f>
        <v>7861.5</v>
      </c>
      <c r="G16" s="326"/>
      <c r="H16" s="326"/>
      <c r="I16" s="326"/>
      <c r="J16" s="229"/>
      <c r="K16" s="229"/>
    </row>
    <row r="17" spans="1:26" ht="17.100000000000001" customHeight="1">
      <c r="A17" s="207" t="s">
        <v>39</v>
      </c>
      <c r="B17" s="57">
        <f>SUM(B18:B21)</f>
        <v>8626.7999999999993</v>
      </c>
      <c r="C17" s="57">
        <f>SUM(C18:C21)</f>
        <v>8591.5</v>
      </c>
      <c r="D17" s="57">
        <f>SUM(D18:D21)</f>
        <v>8260</v>
      </c>
      <c r="E17" s="57">
        <v>8268</v>
      </c>
      <c r="F17" s="57">
        <v>7791.5</v>
      </c>
      <c r="G17" s="336"/>
      <c r="H17" s="336"/>
      <c r="I17" s="232"/>
    </row>
    <row r="18" spans="1:26" ht="17.100000000000001" customHeight="1">
      <c r="A18" s="70" t="s">
        <v>40</v>
      </c>
      <c r="B18" s="41">
        <v>6044.4</v>
      </c>
      <c r="C18" s="57">
        <v>6068.6</v>
      </c>
      <c r="D18" s="57">
        <v>6099</v>
      </c>
      <c r="E18" s="57">
        <v>6349</v>
      </c>
      <c r="F18" s="57">
        <v>6017.1</v>
      </c>
      <c r="G18" s="232"/>
      <c r="H18" s="232"/>
      <c r="I18" s="232"/>
    </row>
    <row r="19" spans="1:26" ht="17.100000000000001" customHeight="1">
      <c r="A19" s="70" t="s">
        <v>41</v>
      </c>
      <c r="B19" s="41">
        <v>1683.7</v>
      </c>
      <c r="C19" s="57">
        <v>1608</v>
      </c>
      <c r="D19" s="57">
        <v>1209.2</v>
      </c>
      <c r="E19" s="57">
        <v>917.8</v>
      </c>
      <c r="F19" s="57">
        <v>822.9</v>
      </c>
      <c r="G19" s="331"/>
      <c r="H19" s="331"/>
      <c r="I19" s="232"/>
    </row>
    <row r="20" spans="1:26" ht="17.100000000000001" customHeight="1">
      <c r="A20" s="70" t="s">
        <v>42</v>
      </c>
      <c r="B20" s="41">
        <v>596.29999999999995</v>
      </c>
      <c r="C20" s="57">
        <v>611.29999999999995</v>
      </c>
      <c r="D20" s="57">
        <v>635.70000000000005</v>
      </c>
      <c r="E20" s="57">
        <v>661.1</v>
      </c>
      <c r="F20" s="57">
        <v>626.6</v>
      </c>
      <c r="G20" s="331"/>
      <c r="H20" s="325"/>
      <c r="I20" s="232"/>
    </row>
    <row r="21" spans="1:26" ht="17.100000000000001" customHeight="1">
      <c r="A21" s="70" t="s">
        <v>43</v>
      </c>
      <c r="B21" s="41">
        <v>302.39999999999998</v>
      </c>
      <c r="C21" s="57">
        <v>303.60000000000002</v>
      </c>
      <c r="D21" s="57">
        <v>316.10000000000002</v>
      </c>
      <c r="E21" s="57">
        <v>340.1</v>
      </c>
      <c r="F21" s="57">
        <v>324.89999999999998</v>
      </c>
      <c r="G21" s="232"/>
      <c r="H21" s="232"/>
      <c r="I21" s="232"/>
    </row>
    <row r="22" spans="1:26" ht="17.100000000000001" customHeight="1" thickBot="1">
      <c r="A22" s="68" t="s">
        <v>44</v>
      </c>
      <c r="B22" s="41">
        <v>373</v>
      </c>
      <c r="C22" s="57">
        <v>316.2</v>
      </c>
      <c r="D22" s="57">
        <v>120</v>
      </c>
      <c r="E22" s="57">
        <v>75.2</v>
      </c>
      <c r="F22" s="57">
        <v>70</v>
      </c>
      <c r="G22" s="232"/>
      <c r="H22" s="232"/>
      <c r="I22" s="232"/>
    </row>
    <row r="23" spans="1:26">
      <c r="A23" s="305"/>
      <c r="B23" s="258"/>
      <c r="C23" s="258"/>
      <c r="D23" s="258"/>
      <c r="E23" s="258"/>
      <c r="F23" s="258"/>
    </row>
    <row r="24" spans="1:26" s="90" customFormat="1" ht="17.100000000000001" customHeight="1">
      <c r="A24" s="260"/>
      <c r="B24" s="103"/>
      <c r="C24" s="103"/>
      <c r="D24" s="103"/>
      <c r="E24" s="261"/>
      <c r="F24" s="262"/>
      <c r="G24" s="337"/>
      <c r="H24" s="337"/>
      <c r="I24" s="337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</row>
    <row r="25" spans="1:26" ht="17.100000000000001" customHeight="1">
      <c r="A25" s="68"/>
      <c r="B25" s="41"/>
      <c r="C25" s="41"/>
      <c r="D25" s="41"/>
      <c r="E25" s="117"/>
      <c r="F25" s="56"/>
      <c r="G25" s="232"/>
      <c r="H25" s="232"/>
      <c r="I25" s="232"/>
    </row>
    <row r="26" spans="1:26" ht="17.100000000000001" customHeight="1">
      <c r="A26" s="68"/>
      <c r="B26" s="41"/>
      <c r="C26" s="41"/>
      <c r="D26" s="41"/>
      <c r="E26" s="117"/>
      <c r="F26" s="56"/>
      <c r="G26" s="232"/>
      <c r="H26" s="232"/>
      <c r="I26" s="232"/>
    </row>
    <row r="27" spans="1:26" ht="17.100000000000001" customHeight="1">
      <c r="A27" s="68"/>
      <c r="B27" s="41"/>
      <c r="C27" s="41"/>
      <c r="D27" s="41"/>
      <c r="E27" s="117"/>
      <c r="F27" s="56"/>
      <c r="G27" s="232"/>
      <c r="H27" s="232"/>
      <c r="I27" s="232"/>
    </row>
    <row r="28" spans="1:26" ht="17.100000000000001" customHeight="1">
      <c r="A28" s="68"/>
      <c r="B28" s="41"/>
      <c r="C28" s="41"/>
      <c r="D28" s="41"/>
      <c r="E28" s="117"/>
      <c r="F28" s="56"/>
      <c r="G28" s="232"/>
      <c r="H28" s="232"/>
      <c r="I28" s="232"/>
    </row>
    <row r="29" spans="1:26" ht="17.100000000000001" customHeight="1">
      <c r="A29" s="68"/>
      <c r="B29" s="41"/>
      <c r="C29" s="41"/>
      <c r="D29" s="41"/>
      <c r="E29" s="117"/>
      <c r="F29" s="56"/>
      <c r="G29" s="232"/>
      <c r="H29" s="232"/>
      <c r="I29" s="232"/>
    </row>
    <row r="30" spans="1:26" ht="17.100000000000001" customHeight="1">
      <c r="A30" s="68"/>
      <c r="B30" s="41"/>
      <c r="C30" s="41"/>
      <c r="D30" s="41"/>
      <c r="E30" s="117"/>
      <c r="F30" s="56"/>
      <c r="G30" s="232"/>
      <c r="H30" s="232"/>
      <c r="I30" s="232"/>
    </row>
    <row r="31" spans="1:26" ht="17.100000000000001" customHeight="1">
      <c r="A31" s="68"/>
      <c r="B31" s="41"/>
      <c r="C31" s="41"/>
      <c r="D31" s="41"/>
      <c r="E31" s="117"/>
      <c r="F31" s="56"/>
      <c r="G31" s="232"/>
      <c r="H31" s="232"/>
      <c r="I31" s="232"/>
    </row>
    <row r="32" spans="1:26" ht="17.100000000000001" customHeight="1">
      <c r="A32" s="68"/>
      <c r="B32" s="41"/>
      <c r="C32" s="41"/>
      <c r="D32" s="41"/>
      <c r="E32" s="117"/>
      <c r="F32" s="56"/>
      <c r="G32" s="232"/>
      <c r="H32" s="232"/>
      <c r="I32" s="232"/>
    </row>
    <row r="33" spans="1:9" ht="17.100000000000001" customHeight="1">
      <c r="A33" s="68"/>
      <c r="B33" s="41"/>
      <c r="C33" s="41"/>
      <c r="D33" s="41"/>
      <c r="E33" s="117"/>
      <c r="F33" s="56"/>
      <c r="G33" s="232"/>
      <c r="H33" s="232"/>
      <c r="I33" s="232"/>
    </row>
    <row r="34" spans="1:9" ht="17.100000000000001" customHeight="1">
      <c r="A34" s="68"/>
      <c r="B34" s="41"/>
      <c r="C34" s="41"/>
      <c r="D34" s="41"/>
      <c r="E34" s="117"/>
      <c r="F34" s="56"/>
      <c r="G34" s="232"/>
      <c r="H34" s="232"/>
      <c r="I34" s="232"/>
    </row>
    <row r="35" spans="1:9" ht="17.100000000000001" customHeight="1">
      <c r="A35" s="68"/>
      <c r="B35" s="41"/>
      <c r="C35" s="41"/>
      <c r="D35" s="41"/>
      <c r="E35" s="117"/>
      <c r="F35" s="56"/>
      <c r="G35" s="232"/>
      <c r="H35" s="232"/>
      <c r="I35" s="232"/>
    </row>
    <row r="36" spans="1:9" ht="17.100000000000001" customHeight="1">
      <c r="A36" s="68"/>
      <c r="B36" s="41"/>
      <c r="C36" s="41"/>
      <c r="D36" s="41"/>
      <c r="E36" s="117"/>
      <c r="F36" s="56"/>
      <c r="G36" s="232"/>
      <c r="H36" s="232"/>
      <c r="I36" s="232"/>
    </row>
    <row r="37" spans="1:9" ht="17.100000000000001" customHeight="1">
      <c r="A37" s="68"/>
      <c r="B37" s="41"/>
      <c r="C37" s="41"/>
      <c r="D37" s="41"/>
      <c r="E37" s="117"/>
      <c r="F37" s="56"/>
      <c r="G37" s="232"/>
      <c r="H37" s="232"/>
      <c r="I37" s="232"/>
    </row>
    <row r="38" spans="1:9" ht="17.100000000000001" customHeight="1">
      <c r="A38" s="68"/>
      <c r="B38" s="41"/>
      <c r="C38" s="41"/>
      <c r="D38" s="41"/>
      <c r="E38" s="117"/>
      <c r="F38" s="56"/>
      <c r="G38" s="232"/>
      <c r="H38" s="232"/>
      <c r="I38" s="232"/>
    </row>
    <row r="39" spans="1:9" ht="17.100000000000001" customHeight="1">
      <c r="A39" s="68"/>
      <c r="B39" s="41"/>
      <c r="C39" s="41"/>
      <c r="D39" s="41"/>
      <c r="E39" s="117"/>
      <c r="F39" s="56"/>
      <c r="G39" s="232"/>
      <c r="H39" s="232"/>
      <c r="I39" s="232"/>
    </row>
    <row r="40" spans="1:9" ht="17.100000000000001" customHeight="1">
      <c r="A40" s="68"/>
      <c r="B40" s="41"/>
      <c r="C40" s="41"/>
      <c r="D40" s="41"/>
      <c r="E40" s="117"/>
      <c r="F40" s="56"/>
      <c r="G40" s="232"/>
      <c r="H40" s="232"/>
      <c r="I40" s="232"/>
    </row>
    <row r="41" spans="1:9" ht="17.100000000000001" customHeight="1">
      <c r="A41" s="68"/>
      <c r="B41" s="41"/>
      <c r="C41" s="41"/>
      <c r="D41" s="41"/>
      <c r="E41" s="117"/>
      <c r="F41" s="56"/>
      <c r="G41" s="232"/>
      <c r="H41" s="232"/>
      <c r="I41" s="232"/>
    </row>
    <row r="42" spans="1:9" ht="17.100000000000001" customHeight="1">
      <c r="A42" s="68"/>
      <c r="B42" s="41"/>
      <c r="C42" s="41"/>
      <c r="D42" s="41"/>
      <c r="E42" s="117"/>
      <c r="F42" s="56"/>
      <c r="G42" s="232"/>
      <c r="H42" s="232"/>
      <c r="I42" s="232"/>
    </row>
    <row r="43" spans="1:9" ht="17.100000000000001" customHeight="1">
      <c r="A43" s="68"/>
      <c r="B43" s="41"/>
      <c r="C43" s="41"/>
      <c r="D43" s="41"/>
      <c r="E43" s="117"/>
      <c r="F43" s="56"/>
      <c r="G43" s="232"/>
      <c r="H43" s="232"/>
      <c r="I43" s="232"/>
    </row>
    <row r="44" spans="1:9" ht="17.100000000000001" customHeight="1">
      <c r="A44" s="68"/>
      <c r="B44" s="41"/>
      <c r="C44" s="41"/>
      <c r="D44" s="41"/>
      <c r="E44" s="117"/>
      <c r="F44" s="167"/>
      <c r="G44" s="232"/>
      <c r="H44" s="232"/>
      <c r="I44" s="232"/>
    </row>
    <row r="45" spans="1:9" ht="17.100000000000001" customHeight="1">
      <c r="A45" s="68"/>
      <c r="B45" s="41"/>
      <c r="C45" s="41"/>
      <c r="D45" s="41"/>
      <c r="E45" s="117"/>
      <c r="F45" s="56"/>
      <c r="G45" s="232"/>
      <c r="H45" s="232"/>
      <c r="I45" s="232"/>
    </row>
    <row r="46" spans="1:9" ht="17.100000000000001" customHeight="1">
      <c r="A46" s="68"/>
      <c r="B46" s="41"/>
      <c r="C46" s="41"/>
      <c r="D46" s="41"/>
      <c r="E46" s="117"/>
      <c r="F46" s="56"/>
      <c r="G46" s="232"/>
      <c r="H46" s="232"/>
      <c r="I46" s="232"/>
    </row>
    <row r="47" spans="1:9" ht="17.100000000000001" customHeight="1">
      <c r="A47" s="68"/>
      <c r="B47" s="41"/>
      <c r="C47" s="41"/>
      <c r="D47" s="41"/>
      <c r="E47" s="117"/>
      <c r="F47" s="56"/>
      <c r="G47" s="232"/>
      <c r="H47" s="232"/>
      <c r="I47" s="232"/>
    </row>
    <row r="48" spans="1:9" ht="15" customHeight="1">
      <c r="A48" s="65" t="s">
        <v>205</v>
      </c>
      <c r="B48" s="72"/>
      <c r="C48" s="72"/>
    </row>
    <row r="49" spans="1:26" ht="15" customHeight="1">
      <c r="A49" s="29"/>
      <c r="B49" s="72"/>
      <c r="C49" s="72"/>
      <c r="F49" s="7" t="s">
        <v>75</v>
      </c>
    </row>
    <row r="50" spans="1:26" ht="15" customHeight="1">
      <c r="A50" s="156" t="s">
        <v>27</v>
      </c>
      <c r="B50" s="157">
        <v>2018</v>
      </c>
      <c r="C50" s="157">
        <v>2019</v>
      </c>
      <c r="D50" s="157">
        <v>2020</v>
      </c>
      <c r="E50" s="157">
        <v>2021</v>
      </c>
      <c r="F50" s="157">
        <v>2022</v>
      </c>
      <c r="I50" s="338">
        <f>SUM(B50)</f>
        <v>2018</v>
      </c>
      <c r="J50" s="338">
        <f t="shared" ref="J50:M50" si="0">SUM(C50)</f>
        <v>2019</v>
      </c>
      <c r="K50" s="338">
        <f t="shared" si="0"/>
        <v>2020</v>
      </c>
      <c r="L50" s="338">
        <f t="shared" si="0"/>
        <v>2021</v>
      </c>
      <c r="M50" s="338">
        <f t="shared" si="0"/>
        <v>2022</v>
      </c>
    </row>
    <row r="51" spans="1:26" ht="5.0999999999999996" customHeight="1">
      <c r="A51" s="146"/>
      <c r="B51" s="273"/>
      <c r="C51" s="273"/>
      <c r="D51" s="273"/>
      <c r="E51" s="273"/>
      <c r="F51" s="273"/>
    </row>
    <row r="52" spans="1:26" ht="17.100000000000001" customHeight="1">
      <c r="A52" s="107"/>
      <c r="B52" s="365" t="s">
        <v>187</v>
      </c>
      <c r="C52" s="365"/>
      <c r="D52" s="365"/>
      <c r="E52" s="365"/>
      <c r="F52" s="365"/>
      <c r="I52" s="233">
        <f>SUM(I54:I55)</f>
        <v>14268.6</v>
      </c>
      <c r="J52" s="233">
        <f>SUM(J54:J55)</f>
        <v>12329</v>
      </c>
      <c r="K52" s="233">
        <f>SUM(K54:K55)</f>
        <v>9038</v>
      </c>
      <c r="L52" s="233">
        <f>SUM(L54:L55)</f>
        <v>277406.09999999998</v>
      </c>
      <c r="M52" s="233">
        <f>SUM(M54:M55)</f>
        <v>349274.587</v>
      </c>
    </row>
    <row r="53" spans="1:26" s="85" customFormat="1" ht="5.0999999999999996" customHeight="1">
      <c r="A53" s="208"/>
      <c r="B53" s="202"/>
      <c r="C53" s="202"/>
      <c r="D53" s="202"/>
      <c r="E53" s="202"/>
      <c r="F53" s="202"/>
      <c r="G53" s="229"/>
      <c r="H53" s="229"/>
      <c r="I53" s="339"/>
      <c r="J53" s="339"/>
      <c r="K53" s="339"/>
      <c r="L53" s="339"/>
      <c r="M53" s="33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 spans="1:26" ht="17.100000000000001" customHeight="1">
      <c r="A54" s="205" t="s">
        <v>142</v>
      </c>
      <c r="B54" s="195">
        <f>B55-B58</f>
        <v>1963.2999999999993</v>
      </c>
      <c r="C54" s="195">
        <f>C55-C58</f>
        <v>1660.8999999999996</v>
      </c>
      <c r="D54" s="195">
        <f>D55-D58</f>
        <v>701.5</v>
      </c>
      <c r="E54" s="195">
        <f>E55-E58</f>
        <v>-55812.044300000009</v>
      </c>
      <c r="F54" s="195">
        <f>F55-F58</f>
        <v>-55585.997656380001</v>
      </c>
      <c r="I54" s="340">
        <f>B56</f>
        <v>2741.5</v>
      </c>
      <c r="J54" s="341">
        <f>C56</f>
        <v>2392</v>
      </c>
      <c r="K54" s="341">
        <f>D56</f>
        <v>1783.3</v>
      </c>
      <c r="L54" s="341">
        <f>E56</f>
        <v>49026.5</v>
      </c>
      <c r="M54" s="340">
        <f>F56</f>
        <v>59313.587</v>
      </c>
    </row>
    <row r="55" spans="1:26" ht="17.100000000000001" customHeight="1">
      <c r="A55" s="68" t="s">
        <v>46</v>
      </c>
      <c r="B55" s="59">
        <f>SUM(B56:B57)</f>
        <v>14530.4</v>
      </c>
      <c r="C55" s="59">
        <f>SUM(C56:C57)</f>
        <v>12632</v>
      </c>
      <c r="D55" s="59">
        <f>D56+D57</f>
        <v>8768.5</v>
      </c>
      <c r="E55" s="59">
        <f>E56+E57</f>
        <v>190246.3</v>
      </c>
      <c r="F55" s="59">
        <f>F56+F57</f>
        <v>253465.28184362</v>
      </c>
      <c r="I55" s="233">
        <f>B59</f>
        <v>11527.1</v>
      </c>
      <c r="J55" s="233">
        <f>C59</f>
        <v>9937</v>
      </c>
      <c r="K55" s="233">
        <f>D59</f>
        <v>7254.7</v>
      </c>
      <c r="L55" s="233">
        <f>E59</f>
        <v>228379.6</v>
      </c>
      <c r="M55" s="233">
        <f>F59</f>
        <v>289961</v>
      </c>
    </row>
    <row r="56" spans="1:26" ht="17.100000000000001" customHeight="1">
      <c r="A56" s="70" t="s">
        <v>55</v>
      </c>
      <c r="B56" s="59">
        <v>2741.5</v>
      </c>
      <c r="C56" s="59">
        <v>2392</v>
      </c>
      <c r="D56" s="59">
        <v>1783.3</v>
      </c>
      <c r="E56" s="60">
        <v>49026.5</v>
      </c>
      <c r="F56" s="60">
        <v>59313.587</v>
      </c>
      <c r="G56" s="233"/>
      <c r="I56" s="233">
        <f>B56-B59</f>
        <v>-8785.6</v>
      </c>
      <c r="J56" s="233">
        <f>C56-C59</f>
        <v>-7545</v>
      </c>
      <c r="K56" s="233">
        <f>D56-D59</f>
        <v>-5471.4</v>
      </c>
      <c r="L56" s="233">
        <f>E56-E59</f>
        <v>-179353.1</v>
      </c>
      <c r="M56" s="233">
        <f>F56-F59</f>
        <v>-230647.413</v>
      </c>
      <c r="P56" s="233"/>
    </row>
    <row r="57" spans="1:26" ht="17.100000000000001" customHeight="1">
      <c r="A57" s="70" t="s">
        <v>56</v>
      </c>
      <c r="B57" s="59">
        <v>11788.9</v>
      </c>
      <c r="C57" s="59">
        <v>10240</v>
      </c>
      <c r="D57" s="59">
        <v>6985.2</v>
      </c>
      <c r="E57" s="60">
        <v>141219.79999999999</v>
      </c>
      <c r="F57" s="60">
        <v>194151.69484362</v>
      </c>
      <c r="G57" s="341"/>
      <c r="I57" s="233"/>
      <c r="J57" s="233"/>
      <c r="K57" s="233"/>
      <c r="L57" s="233"/>
      <c r="M57" s="233"/>
    </row>
    <row r="58" spans="1:26" ht="17.100000000000001" customHeight="1">
      <c r="A58" s="68" t="s">
        <v>47</v>
      </c>
      <c r="B58" s="59">
        <f>B59+B60</f>
        <v>12567.1</v>
      </c>
      <c r="C58" s="59">
        <f>C59+C60</f>
        <v>10971.1</v>
      </c>
      <c r="D58" s="59">
        <f>D59+D60</f>
        <v>8067</v>
      </c>
      <c r="E58" s="59">
        <f>E59+E60</f>
        <v>246058.3443</v>
      </c>
      <c r="F58" s="59">
        <f>F59+F60</f>
        <v>309051.2795</v>
      </c>
      <c r="G58" s="341"/>
    </row>
    <row r="59" spans="1:26" ht="17.100000000000001" customHeight="1">
      <c r="A59" s="70" t="s">
        <v>55</v>
      </c>
      <c r="B59" s="59">
        <v>11527.1</v>
      </c>
      <c r="C59" s="59">
        <v>9937</v>
      </c>
      <c r="D59" s="60">
        <v>7254.7</v>
      </c>
      <c r="E59" s="60">
        <v>228379.6</v>
      </c>
      <c r="F59" s="60">
        <v>289961</v>
      </c>
      <c r="G59" s="341"/>
    </row>
    <row r="60" spans="1:26" ht="17.100000000000001" customHeight="1">
      <c r="A60" s="70" t="s">
        <v>56</v>
      </c>
      <c r="B60" s="59">
        <v>1040</v>
      </c>
      <c r="C60" s="59">
        <v>1034.0999999999999</v>
      </c>
      <c r="D60" s="60">
        <v>812.3</v>
      </c>
      <c r="E60" s="60">
        <v>17678.744300000002</v>
      </c>
      <c r="F60" s="60">
        <v>19090.279500000001</v>
      </c>
      <c r="G60" s="341"/>
      <c r="I60" s="233">
        <f>I61+I63</f>
        <v>27097.5</v>
      </c>
      <c r="J60" s="233">
        <f>J61+J63</f>
        <v>23603.1</v>
      </c>
      <c r="K60" s="233">
        <f>K61+K63</f>
        <v>16835.5</v>
      </c>
      <c r="L60" s="233">
        <f>L61+L63</f>
        <v>436304.64429999999</v>
      </c>
      <c r="M60" s="233">
        <f>M61+M63</f>
        <v>562516.56134362007</v>
      </c>
    </row>
    <row r="61" spans="1:26" ht="17.100000000000001" customHeight="1">
      <c r="A61" s="70"/>
      <c r="B61" s="363" t="s">
        <v>220</v>
      </c>
      <c r="C61" s="363"/>
      <c r="D61" s="363"/>
      <c r="E61" s="363"/>
      <c r="F61" s="363"/>
      <c r="I61" s="233">
        <f>B58</f>
        <v>12567.1</v>
      </c>
      <c r="J61" s="233">
        <f>C58</f>
        <v>10971.1</v>
      </c>
      <c r="K61" s="233">
        <f>D58</f>
        <v>8067</v>
      </c>
      <c r="L61" s="233">
        <f>E58</f>
        <v>246058.3443</v>
      </c>
      <c r="M61" s="233">
        <f>F58</f>
        <v>309051.2795</v>
      </c>
    </row>
    <row r="62" spans="1:26" s="85" customFormat="1" ht="5.0999999999999996" customHeight="1">
      <c r="A62" s="209"/>
      <c r="B62" s="199"/>
      <c r="C62" s="199"/>
      <c r="D62" s="199"/>
      <c r="E62" s="199"/>
      <c r="F62" s="199"/>
      <c r="G62" s="229"/>
      <c r="H62" s="229"/>
      <c r="I62" s="339"/>
      <c r="J62" s="339"/>
      <c r="K62" s="339"/>
      <c r="L62" s="339"/>
      <c r="M62" s="33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 spans="1:26" ht="17.100000000000001" customHeight="1">
      <c r="A63" s="205" t="s">
        <v>45</v>
      </c>
      <c r="B63" s="195">
        <f>B64-B67</f>
        <v>1346.7999999999993</v>
      </c>
      <c r="C63" s="195">
        <f>C64-C67</f>
        <v>1117.8999999999996</v>
      </c>
      <c r="D63" s="195">
        <f>D64-D67</f>
        <v>-322.70000000000073</v>
      </c>
      <c r="E63" s="195">
        <f>E64-E67</f>
        <v>-679.30000000000109</v>
      </c>
      <c r="F63" s="195">
        <f>F64-F67</f>
        <v>-105.69999999999982</v>
      </c>
      <c r="I63" s="233">
        <f>B55</f>
        <v>14530.4</v>
      </c>
      <c r="J63" s="233">
        <f>C55</f>
        <v>12632</v>
      </c>
      <c r="K63" s="233">
        <f>D55</f>
        <v>8768.5</v>
      </c>
      <c r="L63" s="233">
        <f>E55</f>
        <v>190246.3</v>
      </c>
      <c r="M63" s="233">
        <f>F55</f>
        <v>253465.28184362</v>
      </c>
    </row>
    <row r="64" spans="1:26" ht="17.100000000000001" customHeight="1">
      <c r="A64" s="68" t="s">
        <v>46</v>
      </c>
      <c r="B64" s="58">
        <f>B65+B66</f>
        <v>10983.3</v>
      </c>
      <c r="C64" s="58">
        <f>C65+C66</f>
        <v>10477.700000000001</v>
      </c>
      <c r="D64" s="58">
        <f>D65+D66</f>
        <v>8324.7999999999993</v>
      </c>
      <c r="E64" s="58">
        <f>E65+E66</f>
        <v>7566.4</v>
      </c>
      <c r="F64" s="58">
        <f>F65+F66</f>
        <v>7382</v>
      </c>
      <c r="I64" s="233">
        <f>I63-I61</f>
        <v>1963.2999999999993</v>
      </c>
      <c r="J64" s="233">
        <f>J63-J61</f>
        <v>1660.8999999999996</v>
      </c>
      <c r="K64" s="233">
        <f>K63-K61</f>
        <v>701.5</v>
      </c>
      <c r="L64" s="233">
        <f>L63-L61</f>
        <v>-55812.044300000009</v>
      </c>
      <c r="M64" s="233">
        <f>M63-M61</f>
        <v>-55585.997656380001</v>
      </c>
    </row>
    <row r="65" spans="1:6" ht="17.100000000000001" customHeight="1">
      <c r="A65" s="70" t="s">
        <v>55</v>
      </c>
      <c r="B65" s="58">
        <v>2084.4</v>
      </c>
      <c r="C65" s="58">
        <v>2127.8000000000002</v>
      </c>
      <c r="D65" s="58">
        <v>1812.8</v>
      </c>
      <c r="E65" s="60">
        <v>1385</v>
      </c>
      <c r="F65" s="60">
        <v>1080.3</v>
      </c>
    </row>
    <row r="66" spans="1:6" ht="17.100000000000001" customHeight="1">
      <c r="A66" s="70" t="s">
        <v>56</v>
      </c>
      <c r="B66" s="58">
        <v>8898.9</v>
      </c>
      <c r="C66" s="58">
        <v>8349.9</v>
      </c>
      <c r="D66" s="58">
        <v>6512</v>
      </c>
      <c r="E66" s="60">
        <v>6181.4</v>
      </c>
      <c r="F66" s="60">
        <v>6301.7</v>
      </c>
    </row>
    <row r="67" spans="1:6" ht="17.100000000000001" customHeight="1">
      <c r="A67" s="68" t="s">
        <v>47</v>
      </c>
      <c r="B67" s="59">
        <f>B68+B69</f>
        <v>9636.5</v>
      </c>
      <c r="C67" s="59">
        <f>C68+C69</f>
        <v>9359.8000000000011</v>
      </c>
      <c r="D67" s="59">
        <f>D68+D69</f>
        <v>8647.5</v>
      </c>
      <c r="E67" s="59">
        <f>E68+E69</f>
        <v>8245.7000000000007</v>
      </c>
      <c r="F67" s="59">
        <f>F68+F69</f>
        <v>7487.7</v>
      </c>
    </row>
    <row r="68" spans="1:6" ht="17.100000000000001" customHeight="1">
      <c r="A68" s="70" t="s">
        <v>55</v>
      </c>
      <c r="B68" s="60">
        <v>8750.9</v>
      </c>
      <c r="C68" s="60">
        <v>8479.6</v>
      </c>
      <c r="D68" s="60">
        <v>8047.1</v>
      </c>
      <c r="E68" s="60">
        <v>7733.3</v>
      </c>
      <c r="F68" s="60">
        <v>6936.8</v>
      </c>
    </row>
    <row r="69" spans="1:6" ht="17.100000000000001" customHeight="1" thickBot="1">
      <c r="A69" s="70" t="s">
        <v>56</v>
      </c>
      <c r="B69" s="60">
        <v>885.6</v>
      </c>
      <c r="C69" s="60">
        <v>880.2</v>
      </c>
      <c r="D69" s="60">
        <v>600.4</v>
      </c>
      <c r="E69" s="60">
        <v>512.4</v>
      </c>
      <c r="F69" s="60">
        <v>550.9</v>
      </c>
    </row>
    <row r="70" spans="1:6">
      <c r="A70" s="305" t="s">
        <v>224</v>
      </c>
      <c r="B70" s="258"/>
      <c r="C70" s="258"/>
      <c r="D70" s="258"/>
      <c r="E70" s="258"/>
      <c r="F70" s="258"/>
    </row>
    <row r="71" spans="1:6" ht="15" customHeight="1">
      <c r="A71" s="65"/>
      <c r="B71" s="90"/>
      <c r="C71" s="90"/>
      <c r="D71" s="90"/>
      <c r="E71" s="90"/>
      <c r="F71" s="90"/>
    </row>
    <row r="72" spans="1:6" ht="15" customHeight="1">
      <c r="A72" s="90"/>
      <c r="B72" s="90"/>
      <c r="C72" s="90"/>
      <c r="D72" s="90"/>
      <c r="E72" s="90"/>
      <c r="F72" s="90"/>
    </row>
    <row r="73" spans="1:6">
      <c r="A73" s="65" t="s">
        <v>221</v>
      </c>
      <c r="B73" s="72"/>
      <c r="C73" s="72"/>
    </row>
    <row r="86" spans="10:14">
      <c r="J86" s="228">
        <v>-8173</v>
      </c>
      <c r="K86" s="228">
        <v>-7756</v>
      </c>
      <c r="L86" s="228">
        <v>-7507.6</v>
      </c>
      <c r="M86" s="228">
        <v>-8785.6</v>
      </c>
      <c r="N86" s="228">
        <v>-7495.4</v>
      </c>
    </row>
  </sheetData>
  <mergeCells count="4">
    <mergeCell ref="B5:F5"/>
    <mergeCell ref="B14:F14"/>
    <mergeCell ref="B52:F52"/>
    <mergeCell ref="B61:F61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rowBreaks count="1" manualBreakCount="1">
    <brk id="47" max="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50"/>
  <sheetViews>
    <sheetView showGridLines="0" zoomScaleNormal="100" zoomScaleSheetLayoutView="150" workbookViewId="0">
      <selection activeCell="I22" sqref="I22"/>
    </sheetView>
  </sheetViews>
  <sheetFormatPr baseColWidth="10" defaultColWidth="11.44140625" defaultRowHeight="10.199999999999999"/>
  <cols>
    <col min="1" max="1" width="44.5546875" style="135" customWidth="1"/>
    <col min="2" max="6" width="9.6640625" style="135" customWidth="1"/>
    <col min="7" max="8" width="11.44140625" style="135"/>
    <col min="9" max="11" width="11.44140625" style="234"/>
    <col min="12" max="16384" width="11.44140625" style="135"/>
  </cols>
  <sheetData>
    <row r="1" spans="1:11" ht="15" customHeight="1">
      <c r="A1" s="210" t="s">
        <v>218</v>
      </c>
    </row>
    <row r="2" spans="1:11" ht="15" customHeight="1">
      <c r="A2" s="211" t="s">
        <v>217</v>
      </c>
    </row>
    <row r="3" spans="1:11" ht="13.5" customHeight="1">
      <c r="A3" s="136"/>
      <c r="F3" s="137" t="s">
        <v>78</v>
      </c>
    </row>
    <row r="4" spans="1:11" ht="15" customHeight="1">
      <c r="A4" s="156" t="s">
        <v>27</v>
      </c>
      <c r="B4" s="157">
        <v>2018</v>
      </c>
      <c r="C4" s="157">
        <v>2019</v>
      </c>
      <c r="D4" s="157">
        <v>2020</v>
      </c>
      <c r="E4" s="157">
        <v>2021</v>
      </c>
      <c r="F4" s="157">
        <v>2022</v>
      </c>
    </row>
    <row r="5" spans="1:11" ht="15" customHeight="1">
      <c r="A5" s="138" t="s">
        <v>3</v>
      </c>
      <c r="B5" s="118">
        <v>34812.199999999997</v>
      </c>
      <c r="C5" s="118">
        <v>38564.9</v>
      </c>
      <c r="D5" s="118">
        <v>49754.1</v>
      </c>
      <c r="E5" s="160">
        <v>148530.79999999999</v>
      </c>
      <c r="F5" s="160">
        <v>153926.20000000001</v>
      </c>
    </row>
    <row r="6" spans="1:11" ht="15" customHeight="1">
      <c r="A6" s="138" t="s">
        <v>10</v>
      </c>
      <c r="B6" s="118">
        <v>41652</v>
      </c>
      <c r="C6" s="118">
        <v>41796</v>
      </c>
      <c r="D6" s="118">
        <v>37098.800000000003</v>
      </c>
      <c r="E6" s="160">
        <v>418704.2</v>
      </c>
      <c r="F6" s="160">
        <v>525446</v>
      </c>
    </row>
    <row r="7" spans="1:11" ht="15" customHeight="1">
      <c r="A7" s="139" t="s">
        <v>11</v>
      </c>
      <c r="B7" s="118">
        <v>23586.3</v>
      </c>
      <c r="C7" s="118">
        <v>23067</v>
      </c>
      <c r="D7" s="118">
        <v>20498.8</v>
      </c>
      <c r="E7" s="160">
        <v>-13677.6</v>
      </c>
      <c r="F7" s="160">
        <v>-45930</v>
      </c>
    </row>
    <row r="8" spans="1:11" ht="15" customHeight="1">
      <c r="A8" s="139" t="s">
        <v>103</v>
      </c>
      <c r="B8" s="118">
        <v>19485.800000000003</v>
      </c>
      <c r="C8" s="118">
        <v>19048.3</v>
      </c>
      <c r="D8" s="118">
        <v>16986.400000000001</v>
      </c>
      <c r="E8" s="160">
        <v>-36097.699999999997</v>
      </c>
      <c r="F8" s="160">
        <v>-65096.3</v>
      </c>
    </row>
    <row r="9" spans="1:11" ht="15" customHeight="1">
      <c r="A9" s="138" t="s">
        <v>12</v>
      </c>
      <c r="B9" s="278">
        <f>B10-B8</f>
        <v>80564.23609612319</v>
      </c>
      <c r="C9" s="278">
        <f>C10-C8</f>
        <v>84379.3</v>
      </c>
      <c r="D9" s="278">
        <f>D10-D8</f>
        <v>90365.399999999965</v>
      </c>
      <c r="E9" s="279">
        <f>E10-E8</f>
        <v>581315.6</v>
      </c>
      <c r="F9" s="279">
        <f>F10-F8</f>
        <v>698538.60000000009</v>
      </c>
    </row>
    <row r="10" spans="1:11" ht="15" customHeight="1">
      <c r="A10" s="138" t="s">
        <v>4</v>
      </c>
      <c r="B10" s="278">
        <v>100050.03609612319</v>
      </c>
      <c r="C10" s="278">
        <v>103427.6</v>
      </c>
      <c r="D10" s="278">
        <v>107351.79999999997</v>
      </c>
      <c r="E10" s="279">
        <v>545217.9</v>
      </c>
      <c r="F10" s="279">
        <v>633442.30000000005</v>
      </c>
    </row>
    <row r="11" spans="1:11" ht="15" customHeight="1">
      <c r="A11" s="138" t="s">
        <v>140</v>
      </c>
      <c r="B11" s="141">
        <v>-1475</v>
      </c>
      <c r="C11" s="141">
        <v>-1554</v>
      </c>
      <c r="D11" s="141" t="s">
        <v>49</v>
      </c>
      <c r="E11" s="141" t="s">
        <v>49</v>
      </c>
      <c r="F11" s="141" t="s">
        <v>49</v>
      </c>
    </row>
    <row r="12" spans="1:11" ht="15" customHeight="1">
      <c r="A12" s="138" t="s">
        <v>5</v>
      </c>
      <c r="B12" s="141">
        <f>B10+B11</f>
        <v>98575.036096123193</v>
      </c>
      <c r="C12" s="141">
        <f>C10+C11</f>
        <v>101873.60000000001</v>
      </c>
      <c r="D12" s="141" t="s">
        <v>49</v>
      </c>
      <c r="E12" s="274" t="s">
        <v>49</v>
      </c>
      <c r="F12" s="274" t="s">
        <v>49</v>
      </c>
      <c r="I12" s="234" t="s">
        <v>153</v>
      </c>
      <c r="J12" s="245">
        <f>F10</f>
        <v>633442.30000000005</v>
      </c>
      <c r="K12" s="166"/>
    </row>
    <row r="13" spans="1:11" ht="15" customHeight="1">
      <c r="A13" s="138" t="s">
        <v>141</v>
      </c>
      <c r="B13" s="141">
        <v>758</v>
      </c>
      <c r="C13" s="141">
        <v>1886</v>
      </c>
      <c r="D13" s="141" t="s">
        <v>49</v>
      </c>
      <c r="E13" s="141" t="s">
        <v>49</v>
      </c>
      <c r="F13" s="141" t="s">
        <v>49</v>
      </c>
      <c r="I13" s="235" t="s">
        <v>154</v>
      </c>
      <c r="J13" s="246"/>
      <c r="K13" s="166"/>
    </row>
    <row r="14" spans="1:11" ht="15" customHeight="1">
      <c r="A14" s="138" t="s">
        <v>6</v>
      </c>
      <c r="B14" s="141">
        <f>B12+B13</f>
        <v>99333.036096123193</v>
      </c>
      <c r="C14" s="141">
        <f>C12+C13</f>
        <v>103759.6</v>
      </c>
      <c r="D14" s="141" t="s">
        <v>49</v>
      </c>
      <c r="E14" s="141" t="s">
        <v>49</v>
      </c>
      <c r="F14" s="141" t="s">
        <v>49</v>
      </c>
      <c r="G14" s="135" t="s">
        <v>230</v>
      </c>
      <c r="I14" s="235" t="s">
        <v>156</v>
      </c>
      <c r="J14" s="247">
        <f>('5.12-13'!F54)+65</f>
        <v>-55520.997656380001</v>
      </c>
      <c r="K14" s="166"/>
    </row>
    <row r="15" spans="1:11" ht="15" customHeight="1">
      <c r="A15" s="138" t="s">
        <v>228</v>
      </c>
      <c r="B15" s="142">
        <v>86047.319859007504</v>
      </c>
      <c r="C15" s="118">
        <v>89877.183823639323</v>
      </c>
      <c r="D15" s="118">
        <v>96048.700000000012</v>
      </c>
      <c r="E15" s="160">
        <v>471208.4</v>
      </c>
      <c r="F15" s="160">
        <v>583924</v>
      </c>
      <c r="I15" s="235" t="s">
        <v>139</v>
      </c>
      <c r="J15" s="248">
        <f>F15</f>
        <v>583924</v>
      </c>
      <c r="K15" s="166"/>
    </row>
    <row r="16" spans="1:11" ht="15" customHeight="1">
      <c r="A16" s="138" t="s">
        <v>7</v>
      </c>
      <c r="B16" s="141">
        <f>B14-B15</f>
        <v>13285.716237115688</v>
      </c>
      <c r="C16" s="141">
        <f>C14-C15</f>
        <v>13882.416176360683</v>
      </c>
      <c r="D16" s="141" t="s">
        <v>49</v>
      </c>
      <c r="E16" s="274" t="s">
        <v>49</v>
      </c>
      <c r="F16" s="274" t="s">
        <v>49</v>
      </c>
      <c r="I16" s="235" t="s">
        <v>155</v>
      </c>
      <c r="J16" s="248">
        <v>10536</v>
      </c>
      <c r="K16" s="166"/>
    </row>
    <row r="17" spans="1:11" ht="15" customHeight="1">
      <c r="A17" s="143" t="s">
        <v>229</v>
      </c>
      <c r="B17" s="141">
        <v>1236</v>
      </c>
      <c r="C17" s="141">
        <v>2016</v>
      </c>
      <c r="D17" s="141" t="s">
        <v>49</v>
      </c>
      <c r="E17" s="141" t="s">
        <v>49</v>
      </c>
      <c r="F17" s="141" t="s">
        <v>49</v>
      </c>
      <c r="K17" s="166"/>
    </row>
    <row r="18" spans="1:11" ht="15" customHeight="1" thickBot="1">
      <c r="A18" s="275" t="s">
        <v>8</v>
      </c>
      <c r="B18" s="276">
        <v>12039.599999999999</v>
      </c>
      <c r="C18" s="276">
        <v>11888.999999999998</v>
      </c>
      <c r="D18" s="276">
        <v>10601.3</v>
      </c>
      <c r="E18" s="277">
        <v>129821.6</v>
      </c>
      <c r="F18" s="277">
        <v>105104.24921507569</v>
      </c>
      <c r="J18" s="249">
        <f>SUM(J13:J16)</f>
        <v>538939.00234361994</v>
      </c>
      <c r="K18" s="166"/>
    </row>
    <row r="19" spans="1:11" s="72" customFormat="1" ht="13.2">
      <c r="A19" s="305"/>
      <c r="B19" s="258"/>
      <c r="C19" s="258"/>
      <c r="D19" s="258"/>
      <c r="E19" s="258"/>
      <c r="F19" s="258"/>
    </row>
    <row r="20" spans="1:11" ht="15" customHeight="1">
      <c r="A20" s="140"/>
      <c r="B20" s="144"/>
      <c r="C20" s="144"/>
      <c r="D20" s="144"/>
      <c r="E20" s="144"/>
      <c r="F20" s="144"/>
      <c r="J20" s="249"/>
      <c r="K20" s="166"/>
    </row>
    <row r="21" spans="1:11" s="145" customFormat="1" ht="15" customHeight="1">
      <c r="A21" s="155" t="s">
        <v>206</v>
      </c>
      <c r="I21" s="236"/>
      <c r="J21" s="244"/>
      <c r="K21" s="244"/>
    </row>
    <row r="22" spans="1:11" ht="13.5" customHeight="1">
      <c r="F22" s="137" t="s">
        <v>78</v>
      </c>
    </row>
    <row r="23" spans="1:11" ht="15" customHeight="1">
      <c r="A23" s="156" t="s">
        <v>27</v>
      </c>
      <c r="B23" s="157">
        <v>2018</v>
      </c>
      <c r="C23" s="157">
        <v>2019</v>
      </c>
      <c r="D23" s="157">
        <v>2020</v>
      </c>
      <c r="E23" s="157">
        <v>2021</v>
      </c>
      <c r="F23" s="157">
        <v>2022</v>
      </c>
      <c r="H23" s="146"/>
    </row>
    <row r="24" spans="1:11" ht="15" customHeight="1">
      <c r="A24" s="147" t="s">
        <v>79</v>
      </c>
      <c r="B24" s="141">
        <f>B27-B26-B25</f>
        <v>14003</v>
      </c>
      <c r="C24" s="141">
        <f>C27-C26-C25</f>
        <v>13550</v>
      </c>
      <c r="D24" s="141" t="s">
        <v>49</v>
      </c>
      <c r="E24" s="141" t="s">
        <v>49</v>
      </c>
      <c r="F24" s="141" t="s">
        <v>49</v>
      </c>
    </row>
    <row r="25" spans="1:11" ht="15" customHeight="1">
      <c r="A25" s="147" t="s">
        <v>80</v>
      </c>
      <c r="B25" s="141">
        <f>B11</f>
        <v>-1475</v>
      </c>
      <c r="C25" s="141">
        <f>C11</f>
        <v>-1554</v>
      </c>
      <c r="D25" s="141" t="s">
        <v>49</v>
      </c>
      <c r="E25" s="141" t="s">
        <v>49</v>
      </c>
      <c r="F25" s="141" t="s">
        <v>49</v>
      </c>
    </row>
    <row r="26" spans="1:11" ht="15" customHeight="1">
      <c r="A26" s="147" t="s">
        <v>81</v>
      </c>
      <c r="B26" s="141">
        <v>758</v>
      </c>
      <c r="C26" s="141">
        <f>C13</f>
        <v>1886</v>
      </c>
      <c r="D26" s="141" t="s">
        <v>49</v>
      </c>
      <c r="E26" s="141" t="s">
        <v>49</v>
      </c>
      <c r="F26" s="141" t="s">
        <v>49</v>
      </c>
    </row>
    <row r="27" spans="1:11" ht="15" customHeight="1">
      <c r="A27" s="147" t="s">
        <v>82</v>
      </c>
      <c r="B27" s="141">
        <v>13286</v>
      </c>
      <c r="C27" s="141">
        <v>13882</v>
      </c>
      <c r="D27" s="141" t="s">
        <v>49</v>
      </c>
      <c r="E27" s="141" t="s">
        <v>49</v>
      </c>
      <c r="F27" s="141" t="s">
        <v>49</v>
      </c>
    </row>
    <row r="28" spans="1:11" ht="15" customHeight="1">
      <c r="A28" s="147" t="s">
        <v>83</v>
      </c>
      <c r="B28" s="141">
        <v>1236</v>
      </c>
      <c r="C28" s="141">
        <v>2016</v>
      </c>
      <c r="D28" s="141" t="s">
        <v>49</v>
      </c>
      <c r="E28" s="141" t="s">
        <v>49</v>
      </c>
      <c r="F28" s="141" t="s">
        <v>49</v>
      </c>
      <c r="G28" s="242"/>
      <c r="H28" s="242"/>
      <c r="I28" s="243"/>
      <c r="J28" s="243"/>
    </row>
    <row r="29" spans="1:11" ht="15" customHeight="1" thickBot="1">
      <c r="A29" s="158" t="s">
        <v>9</v>
      </c>
      <c r="B29" s="159">
        <v>12039.599999999999</v>
      </c>
      <c r="C29" s="159">
        <v>11888.999999999998</v>
      </c>
      <c r="D29" s="159">
        <v>10601.3</v>
      </c>
      <c r="E29" s="159">
        <v>129821.6</v>
      </c>
      <c r="F29" s="159">
        <v>105104.24921507569</v>
      </c>
    </row>
    <row r="30" spans="1:11" s="72" customFormat="1" ht="13.2">
      <c r="A30" s="305"/>
      <c r="B30" s="258"/>
      <c r="C30" s="258"/>
      <c r="D30" s="258"/>
      <c r="E30" s="258"/>
      <c r="F30" s="258"/>
    </row>
    <row r="31" spans="1:11">
      <c r="A31" s="148"/>
      <c r="B31" s="148"/>
    </row>
    <row r="32" spans="1:11">
      <c r="A32" s="148"/>
      <c r="B32" s="148"/>
    </row>
    <row r="33" spans="1:6">
      <c r="A33" s="148"/>
      <c r="B33" s="148"/>
    </row>
    <row r="34" spans="1:6">
      <c r="A34" s="148"/>
      <c r="B34" s="148"/>
    </row>
    <row r="35" spans="1:6">
      <c r="A35" s="148"/>
      <c r="B35" s="148"/>
    </row>
    <row r="36" spans="1:6">
      <c r="A36" s="148"/>
      <c r="B36" s="148"/>
    </row>
    <row r="43" spans="1:6">
      <c r="F43" s="166"/>
    </row>
    <row r="50" spans="2:2">
      <c r="B50" s="135" t="s">
        <v>219</v>
      </c>
    </row>
  </sheetData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B9:F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U49"/>
  <sheetViews>
    <sheetView showGridLines="0" zoomScaleNormal="100" workbookViewId="0">
      <selection activeCell="A30" sqref="A30"/>
    </sheetView>
  </sheetViews>
  <sheetFormatPr baseColWidth="10" defaultColWidth="11.44140625" defaultRowHeight="13.2"/>
  <cols>
    <col min="1" max="1" width="43.44140625" style="72" customWidth="1"/>
    <col min="2" max="6" width="10.109375" style="72" customWidth="1"/>
    <col min="7" max="7" width="11" style="72" customWidth="1"/>
    <col min="8" max="8" width="11.44140625" style="72" hidden="1" customWidth="1"/>
    <col min="9" max="9" width="1.6640625" style="72" customWidth="1"/>
    <col min="10" max="29" width="11.44140625" style="228"/>
    <col min="30" max="16384" width="11.44140625" style="72"/>
  </cols>
  <sheetData>
    <row r="1" spans="1:73" ht="15" customHeight="1">
      <c r="A1" s="80" t="s">
        <v>192</v>
      </c>
      <c r="B1" s="80"/>
      <c r="C1" s="80"/>
    </row>
    <row r="2" spans="1:73" ht="15" customHeight="1">
      <c r="A2" s="62"/>
      <c r="B2" s="62"/>
      <c r="C2" s="95"/>
      <c r="D2" s="310"/>
      <c r="E2" s="310"/>
      <c r="F2" s="310"/>
    </row>
    <row r="3" spans="1:73" ht="15" customHeight="1">
      <c r="A3" s="63"/>
      <c r="D3" s="7"/>
      <c r="F3" s="7" t="s">
        <v>102</v>
      </c>
    </row>
    <row r="4" spans="1:73" ht="15" customHeight="1">
      <c r="A4" s="151" t="s">
        <v>27</v>
      </c>
      <c r="B4" s="152">
        <v>2018</v>
      </c>
      <c r="C4" s="152">
        <v>2019</v>
      </c>
      <c r="D4" s="152">
        <v>2020</v>
      </c>
      <c r="E4" s="152">
        <v>2021</v>
      </c>
      <c r="F4" s="152">
        <v>2022</v>
      </c>
    </row>
    <row r="5" spans="1:73" ht="3.75" customHeight="1">
      <c r="A5" s="130"/>
      <c r="B5" s="131"/>
      <c r="C5" s="131"/>
      <c r="D5" s="131"/>
      <c r="E5" s="131"/>
      <c r="F5" s="131"/>
    </row>
    <row r="6" spans="1:73" ht="18" customHeight="1">
      <c r="A6" s="1"/>
      <c r="B6" s="349" t="s">
        <v>184</v>
      </c>
      <c r="C6" s="349"/>
      <c r="D6" s="349"/>
      <c r="E6" s="349"/>
      <c r="F6" s="349"/>
      <c r="G6" s="77"/>
      <c r="H6" s="77"/>
      <c r="I6" s="77"/>
      <c r="J6" s="267"/>
      <c r="K6" s="267"/>
      <c r="L6" s="267"/>
    </row>
    <row r="7" spans="1:73" s="85" customFormat="1" ht="5.0999999999999996" customHeight="1">
      <c r="A7" s="178"/>
      <c r="B7" s="179"/>
      <c r="C7" s="179"/>
      <c r="D7" s="179"/>
      <c r="E7" s="179"/>
      <c r="F7" s="17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</row>
    <row r="8" spans="1:73" ht="15" customHeight="1">
      <c r="A8" s="176" t="s">
        <v>66</v>
      </c>
      <c r="B8" s="177">
        <f>B9+B10</f>
        <v>112617.1360961232</v>
      </c>
      <c r="C8" s="177">
        <f>C9+C10</f>
        <v>114398.70000000001</v>
      </c>
      <c r="D8" s="177">
        <f>D9+D10</f>
        <v>115418.79999999997</v>
      </c>
      <c r="E8" s="177">
        <f>E9+E10</f>
        <v>791276.24430000002</v>
      </c>
      <c r="F8" s="177">
        <f>F9+F10</f>
        <v>942493.57949999999</v>
      </c>
      <c r="G8" s="311"/>
      <c r="J8" s="268"/>
      <c r="K8" s="268"/>
      <c r="L8" s="268" t="s">
        <v>176</v>
      </c>
    </row>
    <row r="9" spans="1:73" ht="15" customHeight="1">
      <c r="A9" s="9" t="s">
        <v>67</v>
      </c>
      <c r="B9" s="11">
        <f>'5.3'!B8</f>
        <v>100050.03609612319</v>
      </c>
      <c r="C9" s="11">
        <f>'5.3'!C8</f>
        <v>103427.6</v>
      </c>
      <c r="D9" s="11">
        <f>'5.3'!D8</f>
        <v>107351.79999999997</v>
      </c>
      <c r="E9" s="11">
        <f>'5.3'!E8</f>
        <v>545217.9</v>
      </c>
      <c r="F9" s="11">
        <f>'5.3'!F8</f>
        <v>633442.30000000005</v>
      </c>
      <c r="G9" s="311"/>
      <c r="K9" s="228" t="s">
        <v>153</v>
      </c>
      <c r="L9" s="269">
        <f>B9/B8*100</f>
        <v>88.840863446151317</v>
      </c>
      <c r="M9" s="269">
        <f>C9/C8*100</f>
        <v>90.409768642475825</v>
      </c>
      <c r="N9" s="269">
        <f>D9/D8*100</f>
        <v>93.01067070529237</v>
      </c>
      <c r="O9" s="269">
        <f>E9/E8*100</f>
        <v>68.903610329199921</v>
      </c>
      <c r="P9" s="269">
        <f>F9/F8*100</f>
        <v>67.209189938041376</v>
      </c>
    </row>
    <row r="10" spans="1:73" ht="15" customHeight="1">
      <c r="A10" s="9" t="s">
        <v>0</v>
      </c>
      <c r="B10" s="11">
        <f>'5.12-13'!B58</f>
        <v>12567.1</v>
      </c>
      <c r="C10" s="11">
        <f>'5.12-13'!C58</f>
        <v>10971.1</v>
      </c>
      <c r="D10" s="11">
        <f>'5.12-13'!D58</f>
        <v>8067</v>
      </c>
      <c r="E10" s="11">
        <f>'5.12-13'!E58</f>
        <v>246058.3443</v>
      </c>
      <c r="F10" s="11">
        <f>'5.12-13'!F58</f>
        <v>309051.2795</v>
      </c>
      <c r="G10" s="311"/>
      <c r="H10" s="77"/>
      <c r="I10" s="77"/>
      <c r="K10" s="228" t="s">
        <v>175</v>
      </c>
      <c r="L10" s="269">
        <f>B10/B8*100</f>
        <v>11.159136553848681</v>
      </c>
      <c r="M10" s="269">
        <f>C10/C8*100</f>
        <v>9.5902313575241678</v>
      </c>
      <c r="N10" s="269">
        <f>D10/D8*100</f>
        <v>6.9893292947076233</v>
      </c>
      <c r="O10" s="269">
        <f>E10/E8*100</f>
        <v>31.096389670800079</v>
      </c>
      <c r="P10" s="269">
        <f>F10/F8*100</f>
        <v>32.790810061958624</v>
      </c>
    </row>
    <row r="11" spans="1:73" ht="15" customHeight="1">
      <c r="A11" s="176" t="s">
        <v>68</v>
      </c>
      <c r="B11" s="177">
        <f>B12+B17</f>
        <v>112616.6</v>
      </c>
      <c r="C11" s="177">
        <f>C12+C17</f>
        <v>114397.8</v>
      </c>
      <c r="D11" s="177">
        <f>D12+D17</f>
        <v>115418.8</v>
      </c>
      <c r="E11" s="177">
        <f>E12+E17</f>
        <v>791276.3</v>
      </c>
      <c r="F11" s="177">
        <f>F12+F17</f>
        <v>942493.53105869575</v>
      </c>
      <c r="G11" s="311"/>
      <c r="H11" s="85"/>
      <c r="I11" s="85"/>
      <c r="K11" s="270"/>
      <c r="L11" s="270"/>
      <c r="M11" s="270"/>
      <c r="N11" s="231"/>
      <c r="O11" s="231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</row>
    <row r="12" spans="1:73" ht="15" customHeight="1">
      <c r="A12" s="212" t="s">
        <v>69</v>
      </c>
      <c r="B12" s="41">
        <f>B13+B14</f>
        <v>98086.6</v>
      </c>
      <c r="C12" s="41">
        <f>C13+C14</f>
        <v>101765.8</v>
      </c>
      <c r="D12" s="41">
        <f>D13+D14</f>
        <v>106650.3</v>
      </c>
      <c r="E12" s="41">
        <f>E13+E14</f>
        <v>601030</v>
      </c>
      <c r="F12" s="41">
        <f>F13+F14</f>
        <v>689028.24921507575</v>
      </c>
      <c r="G12" s="311"/>
      <c r="H12" s="311"/>
      <c r="I12" s="311"/>
      <c r="K12" s="270"/>
      <c r="L12" s="268" t="s">
        <v>177</v>
      </c>
      <c r="M12" s="270"/>
      <c r="N12" s="231"/>
      <c r="O12" s="231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</row>
    <row r="13" spans="1:73" ht="15" customHeight="1">
      <c r="A13" s="9" t="s">
        <v>70</v>
      </c>
      <c r="B13" s="41">
        <f>'5.12-13'!B7</f>
        <v>12039.599999999999</v>
      </c>
      <c r="C13" s="41">
        <f>'5.12-13'!C7</f>
        <v>11888.999999999998</v>
      </c>
      <c r="D13" s="41">
        <f>'5.12-13'!D7</f>
        <v>10601.3</v>
      </c>
      <c r="E13" s="41">
        <f>'5.12-13'!E7</f>
        <v>129821.6</v>
      </c>
      <c r="F13" s="41">
        <f>'5.12-13'!F7</f>
        <v>105104.24921507569</v>
      </c>
      <c r="G13" s="311"/>
      <c r="K13" s="270" t="s">
        <v>178</v>
      </c>
      <c r="L13" s="270">
        <f>B12/B11*100</f>
        <v>87.097816840501309</v>
      </c>
      <c r="M13" s="270">
        <f>C12/C11*100</f>
        <v>88.957829608611348</v>
      </c>
      <c r="N13" s="270">
        <f>D12/D11*100</f>
        <v>92.402884105535662</v>
      </c>
      <c r="O13" s="270">
        <f>E12/E11*100</f>
        <v>75.957032960547394</v>
      </c>
      <c r="P13" s="270">
        <f>F12/F11*100</f>
        <v>73.106947316773159</v>
      </c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</row>
    <row r="14" spans="1:73" ht="15" customHeight="1">
      <c r="A14" s="9" t="s">
        <v>137</v>
      </c>
      <c r="B14" s="41">
        <f>B15+B16</f>
        <v>86047</v>
      </c>
      <c r="C14" s="41">
        <f>C15+C16</f>
        <v>89876.800000000003</v>
      </c>
      <c r="D14" s="41">
        <f>D15+D16</f>
        <v>96049</v>
      </c>
      <c r="E14" s="41">
        <f>E15+E16</f>
        <v>471208.4</v>
      </c>
      <c r="F14" s="41">
        <f>F15+F16</f>
        <v>583924</v>
      </c>
      <c r="G14" s="311"/>
      <c r="J14" s="268"/>
      <c r="K14" s="268" t="s">
        <v>179</v>
      </c>
      <c r="L14" s="271">
        <f>B17/B11*100</f>
        <v>12.902183159498687</v>
      </c>
      <c r="M14" s="271">
        <f>C17/C11*100</f>
        <v>11.042170391388645</v>
      </c>
      <c r="N14" s="271">
        <f>D17/D11*100</f>
        <v>7.5971158944643333</v>
      </c>
      <c r="O14" s="271">
        <f>E17/E11*100</f>
        <v>24.042967039452588</v>
      </c>
      <c r="P14" s="271">
        <f>F17/F11*100</f>
        <v>26.893052683226841</v>
      </c>
    </row>
    <row r="15" spans="1:73" ht="15" customHeight="1">
      <c r="A15" s="9" t="s">
        <v>71</v>
      </c>
      <c r="B15" s="75">
        <v>30060</v>
      </c>
      <c r="C15" s="75">
        <v>33336.800000000003</v>
      </c>
      <c r="D15" s="75">
        <v>41704</v>
      </c>
      <c r="E15" s="75">
        <v>184427.6</v>
      </c>
      <c r="F15" s="75">
        <v>206078.2</v>
      </c>
      <c r="G15" s="311"/>
      <c r="I15" s="312"/>
      <c r="J15" s="268"/>
      <c r="K15" s="268"/>
      <c r="L15" s="268"/>
    </row>
    <row r="16" spans="1:73" ht="15" customHeight="1">
      <c r="A16" s="9" t="s">
        <v>72</v>
      </c>
      <c r="B16" s="76">
        <v>55987</v>
      </c>
      <c r="C16" s="76">
        <v>56540</v>
      </c>
      <c r="D16" s="76">
        <v>54345</v>
      </c>
      <c r="E16" s="76">
        <v>286780.79999999999</v>
      </c>
      <c r="F16" s="75">
        <v>377845.80000000005</v>
      </c>
      <c r="G16" s="311"/>
      <c r="I16" s="312"/>
      <c r="J16" s="268"/>
      <c r="K16" s="268"/>
      <c r="L16" s="268" t="s">
        <v>180</v>
      </c>
    </row>
    <row r="17" spans="1:29" ht="15" customHeight="1">
      <c r="A17" s="9" t="s">
        <v>1</v>
      </c>
      <c r="B17" s="10">
        <v>14530</v>
      </c>
      <c r="C17" s="11">
        <f>'5.12-13'!C55</f>
        <v>12632</v>
      </c>
      <c r="D17" s="11">
        <f>'5.12-13'!D55</f>
        <v>8768.5</v>
      </c>
      <c r="E17" s="11">
        <v>190246.3</v>
      </c>
      <c r="F17" s="11">
        <v>253465.28184362</v>
      </c>
      <c r="G17" s="311"/>
      <c r="I17" s="312"/>
      <c r="J17" s="268"/>
      <c r="K17" s="228" t="s">
        <v>153</v>
      </c>
      <c r="L17" s="271">
        <f>B21/B20*100</f>
        <v>85.544771305560971</v>
      </c>
      <c r="M17" s="271">
        <f>C21/C20*100</f>
        <v>85.880695360442175</v>
      </c>
      <c r="N17" s="271">
        <f>D21/D20*100</f>
        <v>85.428549763672052</v>
      </c>
      <c r="O17" s="271">
        <f>E21/E20*100</f>
        <v>86.160172542569171</v>
      </c>
      <c r="P17" s="271">
        <f>F21/F20*100</f>
        <v>87.464634052426987</v>
      </c>
    </row>
    <row r="18" spans="1:29" ht="18" customHeight="1">
      <c r="A18" s="1"/>
      <c r="B18" s="349" t="s">
        <v>26</v>
      </c>
      <c r="C18" s="349"/>
      <c r="D18" s="349"/>
      <c r="E18" s="349"/>
      <c r="F18" s="349"/>
      <c r="G18" s="77"/>
      <c r="H18" s="311"/>
      <c r="I18" s="311"/>
      <c r="J18" s="267"/>
      <c r="K18" s="228" t="s">
        <v>175</v>
      </c>
      <c r="L18" s="270">
        <f>B22/B20*100</f>
        <v>14.455228694439025</v>
      </c>
      <c r="M18" s="270">
        <f>C22/C20*100</f>
        <v>14.119304639557825</v>
      </c>
      <c r="N18" s="270">
        <f>D22/D20*100</f>
        <v>14.571450236327943</v>
      </c>
      <c r="O18" s="270">
        <f>E22/E20*100</f>
        <v>13.839827457430825</v>
      </c>
      <c r="P18" s="270">
        <f>F22/F20*100</f>
        <v>12.535365947573016</v>
      </c>
    </row>
    <row r="19" spans="1:29" ht="5.0999999999999996" customHeight="1">
      <c r="A19" s="1"/>
      <c r="B19" s="179"/>
      <c r="C19" s="179"/>
      <c r="D19" s="179"/>
      <c r="E19" s="179"/>
      <c r="F19" s="179"/>
      <c r="G19" s="77"/>
      <c r="H19" s="311"/>
      <c r="I19" s="311"/>
      <c r="J19" s="267"/>
      <c r="L19" s="270"/>
      <c r="M19" s="270"/>
      <c r="N19" s="270"/>
      <c r="O19" s="270"/>
      <c r="P19" s="270"/>
    </row>
    <row r="20" spans="1:29" ht="15" customHeight="1">
      <c r="A20" s="176" t="s">
        <v>66</v>
      </c>
      <c r="B20" s="177">
        <f>B21+B22</f>
        <v>66661</v>
      </c>
      <c r="C20" s="177">
        <f>C21+C22</f>
        <v>66290.8</v>
      </c>
      <c r="D20" s="177">
        <f>D21+D22</f>
        <v>59345.5</v>
      </c>
      <c r="E20" s="177">
        <f>E21+E22</f>
        <v>59579.500000000015</v>
      </c>
      <c r="F20" s="177">
        <f>F21+F22</f>
        <v>59732.600000000006</v>
      </c>
      <c r="G20" s="74"/>
      <c r="H20" s="311"/>
      <c r="I20" s="311"/>
      <c r="J20" s="232"/>
      <c r="K20" s="270"/>
      <c r="L20" s="232"/>
    </row>
    <row r="21" spans="1:29" ht="15" customHeight="1">
      <c r="A21" s="212" t="s">
        <v>67</v>
      </c>
      <c r="B21" s="119">
        <v>57025</v>
      </c>
      <c r="C21" s="41">
        <v>56931</v>
      </c>
      <c r="D21" s="41">
        <v>50698</v>
      </c>
      <c r="E21" s="41">
        <f>SUM('5.4'!E8)</f>
        <v>51333.80000000001</v>
      </c>
      <c r="F21" s="41">
        <f>SUM('5.4'!F8)</f>
        <v>52244.900000000009</v>
      </c>
      <c r="G21" s="46"/>
      <c r="H21" s="311"/>
      <c r="J21" s="232"/>
      <c r="K21" s="270"/>
      <c r="L21" s="268" t="s">
        <v>181</v>
      </c>
      <c r="M21" s="232"/>
      <c r="N21" s="232"/>
      <c r="O21" s="232"/>
    </row>
    <row r="22" spans="1:29" ht="15" customHeight="1">
      <c r="A22" s="9" t="s">
        <v>0</v>
      </c>
      <c r="B22" s="119">
        <v>9636</v>
      </c>
      <c r="C22" s="11">
        <v>9359.7999999999993</v>
      </c>
      <c r="D22" s="11">
        <f>SUM('5.12-13'!D67)</f>
        <v>8647.5</v>
      </c>
      <c r="E22" s="11">
        <f>SUM('5.12-13'!E67)</f>
        <v>8245.7000000000007</v>
      </c>
      <c r="F22" s="11">
        <f>SUM('5.12-13'!F67)</f>
        <v>7487.7</v>
      </c>
      <c r="G22" s="74"/>
      <c r="H22" s="77"/>
      <c r="J22" s="232"/>
      <c r="K22" s="270" t="s">
        <v>178</v>
      </c>
      <c r="L22" s="232">
        <f>B24/B23*100</f>
        <v>83.52369637362996</v>
      </c>
      <c r="M22" s="232">
        <f>C24/C23*100</f>
        <v>84.194456889516417</v>
      </c>
      <c r="N22" s="232">
        <f>D24/D23*100</f>
        <v>85.972432851413743</v>
      </c>
      <c r="O22" s="232">
        <f>E24/E23*100</f>
        <v>87.299826282530049</v>
      </c>
      <c r="P22" s="232">
        <f>F24/F23*100</f>
        <v>87.641630728845797</v>
      </c>
    </row>
    <row r="23" spans="1:29" ht="15" customHeight="1">
      <c r="A23" s="176" t="s">
        <v>68</v>
      </c>
      <c r="B23" s="177">
        <f>B24+B29</f>
        <v>66661.082324391187</v>
      </c>
      <c r="C23" s="180">
        <f>C24+C29</f>
        <v>66291.3</v>
      </c>
      <c r="D23" s="177">
        <f>D24+D29</f>
        <v>59346</v>
      </c>
      <c r="E23" s="177">
        <v>59579.500000000015</v>
      </c>
      <c r="F23" s="177">
        <f>F24+F29</f>
        <v>59732.800000000003</v>
      </c>
      <c r="G23" s="74"/>
      <c r="H23" s="77"/>
      <c r="J23" s="232"/>
      <c r="K23" s="268" t="s">
        <v>179</v>
      </c>
      <c r="L23" s="232">
        <f>B29/B23*100</f>
        <v>16.476303626370033</v>
      </c>
      <c r="M23" s="232">
        <f>C29/C23*100</f>
        <v>15.805543110483578</v>
      </c>
      <c r="N23" s="232">
        <f>D29/D23*100</f>
        <v>14.027567148586256</v>
      </c>
      <c r="O23" s="232">
        <f>E29/E23*100</f>
        <v>12.699670188571568</v>
      </c>
      <c r="P23" s="232">
        <f>F29/F23*100</f>
        <v>12.358369271154206</v>
      </c>
    </row>
    <row r="24" spans="1:29" ht="15" customHeight="1">
      <c r="A24" s="9" t="s">
        <v>69</v>
      </c>
      <c r="B24" s="293">
        <f>B25+B26</f>
        <v>55677.8</v>
      </c>
      <c r="C24" s="11">
        <f>C25+C26</f>
        <v>55813.599999999999</v>
      </c>
      <c r="D24" s="11">
        <f>D25+D26</f>
        <v>51021.2</v>
      </c>
      <c r="E24" s="11">
        <f>E25+E26</f>
        <v>52012.800000000003</v>
      </c>
      <c r="F24" s="11">
        <f>F25+F26</f>
        <v>52350.8</v>
      </c>
      <c r="G24" s="46"/>
      <c r="H24" s="74"/>
      <c r="I24" s="312"/>
      <c r="J24" s="232"/>
      <c r="K24" s="232"/>
      <c r="L24" s="233">
        <v>2016</v>
      </c>
      <c r="M24" s="233">
        <v>2017</v>
      </c>
      <c r="N24" s="233">
        <v>2018</v>
      </c>
      <c r="O24" s="233">
        <v>2019</v>
      </c>
      <c r="P24" s="233">
        <v>2020</v>
      </c>
    </row>
    <row r="25" spans="1:29" ht="15" customHeight="1">
      <c r="A25" s="9" t="s">
        <v>70</v>
      </c>
      <c r="B25" s="119">
        <v>9000</v>
      </c>
      <c r="C25" s="41">
        <v>8908</v>
      </c>
      <c r="D25" s="41">
        <f>SUM('5.12-13'!D16)</f>
        <v>8380</v>
      </c>
      <c r="E25" s="41">
        <f>SUM('5.12-13'!E16)</f>
        <v>8343.2000000000007</v>
      </c>
      <c r="F25" s="41">
        <f>SUM('5.12-13'!F16)</f>
        <v>7861.5</v>
      </c>
      <c r="G25" s="74"/>
      <c r="H25" s="74"/>
      <c r="I25" s="312"/>
      <c r="J25" s="232"/>
      <c r="K25" s="232"/>
      <c r="L25" s="232"/>
    </row>
    <row r="26" spans="1:29" ht="15" customHeight="1">
      <c r="A26" s="9" t="s">
        <v>137</v>
      </c>
      <c r="B26" s="293">
        <f>B27+B28</f>
        <v>46677.8</v>
      </c>
      <c r="C26" s="41">
        <f>C27+C28</f>
        <v>46905.599999999999</v>
      </c>
      <c r="D26" s="41">
        <f>D27+D28</f>
        <v>42641.2</v>
      </c>
      <c r="E26" s="41">
        <f>E27+E28</f>
        <v>43669.599999999999</v>
      </c>
      <c r="F26" s="41">
        <f>F27+F28</f>
        <v>44489.3</v>
      </c>
      <c r="G26" s="74"/>
      <c r="H26" s="74"/>
      <c r="I26" s="312"/>
      <c r="J26" s="232"/>
      <c r="K26" s="232"/>
      <c r="L26" s="232"/>
    </row>
    <row r="27" spans="1:29" ht="15" customHeight="1">
      <c r="A27" s="9" t="s">
        <v>71</v>
      </c>
      <c r="B27" s="41">
        <v>13137.4</v>
      </c>
      <c r="C27" s="41">
        <v>13652.6</v>
      </c>
      <c r="D27" s="41">
        <f>SUM('5.9'!D17)</f>
        <v>12276.800000000001</v>
      </c>
      <c r="E27" s="41">
        <f>SUM('5.9'!E17)</f>
        <v>14113.9</v>
      </c>
      <c r="F27" s="41">
        <f>SUM('5.9'!F17)</f>
        <v>14323.099999999999</v>
      </c>
      <c r="G27" s="74"/>
      <c r="H27" s="74"/>
      <c r="I27" s="311"/>
      <c r="J27" s="232"/>
      <c r="K27" s="232"/>
      <c r="L27" s="232"/>
    </row>
    <row r="28" spans="1:29" ht="15" customHeight="1">
      <c r="A28" s="9" t="s">
        <v>72</v>
      </c>
      <c r="B28" s="41">
        <v>33540.400000000001</v>
      </c>
      <c r="C28" s="41">
        <v>33253</v>
      </c>
      <c r="D28" s="41">
        <f>SUM('5.10-11'!D16)</f>
        <v>30364.399999999998</v>
      </c>
      <c r="E28" s="41">
        <v>29555.7</v>
      </c>
      <c r="F28" s="41">
        <v>30166.2</v>
      </c>
      <c r="G28" s="74"/>
      <c r="H28" s="74"/>
      <c r="I28" s="74"/>
      <c r="J28" s="233"/>
      <c r="K28" s="233"/>
      <c r="L28" s="233"/>
      <c r="M28" s="233"/>
      <c r="N28" s="233"/>
    </row>
    <row r="29" spans="1:29" ht="15" customHeight="1" thickBot="1">
      <c r="A29" s="181" t="s">
        <v>1</v>
      </c>
      <c r="B29" s="182">
        <v>10983.282324391179</v>
      </c>
      <c r="C29" s="182">
        <v>10477.700000000001</v>
      </c>
      <c r="D29" s="182">
        <f>SUM('5.12-13'!D64)</f>
        <v>8324.7999999999993</v>
      </c>
      <c r="E29" s="182">
        <f>SUM('5.12-13'!E64)</f>
        <v>7566.4</v>
      </c>
      <c r="F29" s="182">
        <f>SUM('5.12-13'!F64)</f>
        <v>7382</v>
      </c>
      <c r="G29" s="74"/>
      <c r="H29" s="74"/>
      <c r="I29" s="74"/>
      <c r="J29" s="232"/>
    </row>
    <row r="30" spans="1:29" s="13" customFormat="1" ht="18" customHeight="1">
      <c r="A30" s="294" t="s">
        <v>239</v>
      </c>
      <c r="B30" s="254"/>
      <c r="C30" s="254"/>
      <c r="D30" s="254"/>
      <c r="E30" s="254"/>
      <c r="F30" s="14"/>
      <c r="G30" s="14"/>
      <c r="H30" s="14"/>
      <c r="I30" s="14"/>
      <c r="J30" s="255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</row>
    <row r="31" spans="1:29" ht="16.5" customHeight="1">
      <c r="A31" s="106"/>
      <c r="B31" s="38"/>
      <c r="C31" s="38"/>
      <c r="D31" s="38"/>
      <c r="E31" s="38"/>
      <c r="F31" s="74"/>
      <c r="G31" s="74"/>
      <c r="H31" s="74"/>
      <c r="I31" s="74"/>
      <c r="J31" s="232"/>
    </row>
    <row r="32" spans="1:29" ht="18" customHeight="1">
      <c r="A32" s="9"/>
      <c r="B32" s="37"/>
      <c r="C32" s="37"/>
      <c r="D32" s="37"/>
      <c r="E32" s="37"/>
      <c r="F32" s="74"/>
      <c r="G32" s="74"/>
      <c r="H32" s="74"/>
      <c r="I32" s="74"/>
      <c r="J32" s="232"/>
    </row>
    <row r="33" spans="1:13" ht="18" customHeight="1">
      <c r="A33" s="9"/>
      <c r="B33" s="37"/>
      <c r="C33" s="37"/>
      <c r="D33" s="37"/>
      <c r="E33" s="37"/>
      <c r="F33" s="74"/>
      <c r="G33" s="112"/>
      <c r="H33" s="74"/>
      <c r="I33" s="74"/>
      <c r="J33" s="232"/>
      <c r="K33" s="232"/>
      <c r="L33" s="232"/>
      <c r="M33" s="232"/>
    </row>
    <row r="34" spans="1:13" ht="18" customHeight="1">
      <c r="A34" s="8"/>
      <c r="B34" s="38"/>
      <c r="C34" s="38"/>
      <c r="D34" s="38"/>
      <c r="E34" s="38"/>
      <c r="F34" s="74"/>
      <c r="G34" s="74"/>
      <c r="H34" s="74"/>
      <c r="I34" s="74"/>
      <c r="J34" s="232"/>
    </row>
    <row r="35" spans="1:13" ht="18" customHeight="1">
      <c r="A35" s="9"/>
      <c r="B35" s="37"/>
      <c r="C35" s="37"/>
      <c r="D35" s="37"/>
      <c r="E35" s="37"/>
      <c r="F35" s="74"/>
      <c r="G35" s="74"/>
      <c r="H35" s="74"/>
      <c r="I35" s="84"/>
      <c r="J35" s="232"/>
    </row>
    <row r="36" spans="1:13">
      <c r="A36" s="9"/>
      <c r="B36" s="37"/>
      <c r="C36" s="37"/>
      <c r="D36" s="37"/>
      <c r="E36" s="37"/>
      <c r="F36" s="74"/>
      <c r="J36" s="313">
        <f>J37+J38</f>
        <v>0</v>
      </c>
    </row>
    <row r="37" spans="1:13">
      <c r="A37" s="13"/>
      <c r="B37" s="14"/>
    </row>
    <row r="45" spans="1:13">
      <c r="F45" s="77"/>
    </row>
    <row r="48" spans="1:13">
      <c r="A48" s="350"/>
      <c r="B48" s="350"/>
      <c r="C48" s="350"/>
      <c r="D48" s="350"/>
      <c r="E48" s="350"/>
      <c r="F48" s="350"/>
    </row>
    <row r="49" spans="1:6">
      <c r="A49" s="250"/>
      <c r="B49" s="351"/>
      <c r="C49" s="351"/>
      <c r="D49" s="351"/>
      <c r="E49" s="351"/>
      <c r="F49" s="351"/>
    </row>
  </sheetData>
  <mergeCells count="4">
    <mergeCell ref="B18:F18"/>
    <mergeCell ref="B6:F6"/>
    <mergeCell ref="A48:F48"/>
    <mergeCell ref="B49:F49"/>
  </mergeCells>
  <phoneticPr fontId="4" type="noConversion"/>
  <pageMargins left="0.59055118110236227" right="0.59055118110236227" top="1.1605511811023623" bottom="0.59055118110236227" header="0.59055118110236227" footer="0.59055118110236227"/>
  <pageSetup paperSize="119" scale="95" orientation="portrait" r:id="rId1"/>
  <headerFooter alignWithMargins="0"/>
  <ignoredErrors>
    <ignoredError sqref="E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T68"/>
  <sheetViews>
    <sheetView showGridLines="0" zoomScaleNormal="100" workbookViewId="0">
      <selection activeCell="A30" sqref="A30"/>
    </sheetView>
  </sheetViews>
  <sheetFormatPr baseColWidth="10" defaultColWidth="11.44140625" defaultRowHeight="11.4"/>
  <cols>
    <col min="1" max="1" width="48.5546875" style="13" customWidth="1"/>
    <col min="2" max="2" width="9.33203125" style="13" customWidth="1"/>
    <col min="3" max="3" width="9.33203125" style="1" customWidth="1"/>
    <col min="4" max="6" width="9.33203125" style="13" customWidth="1"/>
    <col min="7" max="7" width="11.44140625" style="13"/>
    <col min="8" max="14" width="11.44140625" style="220"/>
    <col min="15" max="15" width="10.44140625" style="220" bestFit="1" customWidth="1"/>
    <col min="16" max="20" width="11.44140625" style="220"/>
    <col min="21" max="16384" width="11.44140625" style="13"/>
  </cols>
  <sheetData>
    <row r="1" spans="1:20" s="98" customFormat="1" ht="15" customHeight="1">
      <c r="A1" s="124" t="s">
        <v>226</v>
      </c>
      <c r="C1" s="99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0" s="98" customFormat="1" ht="15" customHeight="1">
      <c r="A2" s="124" t="s">
        <v>209</v>
      </c>
      <c r="C2" s="99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ht="15" customHeight="1">
      <c r="A3" s="86"/>
      <c r="F3" s="7" t="s">
        <v>53</v>
      </c>
    </row>
    <row r="4" spans="1:20" ht="15" customHeight="1">
      <c r="A4" s="151" t="s">
        <v>143</v>
      </c>
      <c r="B4" s="152">
        <v>2018</v>
      </c>
      <c r="C4" s="152">
        <v>2019</v>
      </c>
      <c r="D4" s="152">
        <v>2020</v>
      </c>
      <c r="E4" s="152">
        <v>2021</v>
      </c>
      <c r="F4" s="152">
        <v>2022</v>
      </c>
    </row>
    <row r="5" spans="1:20" ht="5.0999999999999996" customHeight="1">
      <c r="A5" s="130"/>
      <c r="B5" s="131"/>
      <c r="C5" s="131"/>
      <c r="D5" s="131"/>
      <c r="E5" s="131"/>
      <c r="F5" s="131"/>
    </row>
    <row r="6" spans="1:20" ht="18.75" customHeight="1">
      <c r="A6" s="1"/>
      <c r="B6" s="349" t="s">
        <v>186</v>
      </c>
      <c r="C6" s="349"/>
      <c r="D6" s="349"/>
      <c r="E6" s="349"/>
      <c r="F6" s="349"/>
      <c r="G6" s="24"/>
    </row>
    <row r="7" spans="1:20" ht="5.0999999999999996" customHeight="1">
      <c r="A7" s="1"/>
      <c r="B7" s="179"/>
      <c r="C7" s="179"/>
      <c r="D7" s="179"/>
      <c r="E7" s="179"/>
      <c r="F7" s="179"/>
      <c r="G7" s="24"/>
    </row>
    <row r="8" spans="1:20" ht="18.75" customHeight="1">
      <c r="A8" s="183" t="s">
        <v>2</v>
      </c>
      <c r="B8" s="184">
        <f>SUM(B9:B27)</f>
        <v>100050.03609612319</v>
      </c>
      <c r="C8" s="184">
        <f>SUM(C9:C27)</f>
        <v>103427.6</v>
      </c>
      <c r="D8" s="184">
        <f>SUM(D9:D27)</f>
        <v>107351.79999999997</v>
      </c>
      <c r="E8" s="184">
        <f>SUM(E9:E27)</f>
        <v>545217.9</v>
      </c>
      <c r="F8" s="184">
        <f>SUM(F9:F27)</f>
        <v>633442.30000000005</v>
      </c>
      <c r="H8" s="226"/>
    </row>
    <row r="9" spans="1:20" ht="18.75" customHeight="1">
      <c r="A9" s="15" t="s">
        <v>107</v>
      </c>
      <c r="B9" s="109">
        <v>3654.5794999999998</v>
      </c>
      <c r="C9" s="110">
        <v>3574.6</v>
      </c>
      <c r="D9" s="110">
        <v>2845.4</v>
      </c>
      <c r="E9" s="110">
        <v>4512.6000000000004</v>
      </c>
      <c r="F9" s="110">
        <v>4782.3999999999996</v>
      </c>
      <c r="H9" s="220" t="s">
        <v>148</v>
      </c>
      <c r="I9" s="221">
        <f>F9+F10+F11</f>
        <v>16944.5</v>
      </c>
    </row>
    <row r="10" spans="1:20" ht="18.75" customHeight="1">
      <c r="A10" s="17" t="s">
        <v>108</v>
      </c>
      <c r="B10" s="109">
        <v>129.68600000000001</v>
      </c>
      <c r="C10" s="109">
        <v>115</v>
      </c>
      <c r="D10" s="109">
        <v>119.6</v>
      </c>
      <c r="E10" s="109">
        <v>295.89999999999998</v>
      </c>
      <c r="F10" s="109">
        <v>286.8</v>
      </c>
      <c r="H10" s="220" t="s">
        <v>149</v>
      </c>
      <c r="I10" s="221">
        <f>F12+F13+F15</f>
        <v>134812.5</v>
      </c>
    </row>
    <row r="11" spans="1:20" ht="18.75" customHeight="1">
      <c r="A11" s="15" t="s">
        <v>109</v>
      </c>
      <c r="B11" s="109">
        <v>495.34619482318266</v>
      </c>
      <c r="C11" s="109">
        <v>473</v>
      </c>
      <c r="D11" s="109">
        <v>476.7</v>
      </c>
      <c r="E11" s="109">
        <v>9725.9</v>
      </c>
      <c r="F11" s="109">
        <v>11875.3</v>
      </c>
      <c r="H11" s="220" t="s">
        <v>150</v>
      </c>
      <c r="I11" s="221">
        <f>F14+F16+F17+F18+F19+F20+F21+F22+F23+F24+F25+F26+F27</f>
        <v>481685.30000000005</v>
      </c>
      <c r="J11" s="220">
        <f>0.8*I11</f>
        <v>385348.24000000005</v>
      </c>
    </row>
    <row r="12" spans="1:20" ht="18.75" customHeight="1">
      <c r="A12" s="17" t="s">
        <v>110</v>
      </c>
      <c r="B12" s="109">
        <v>303.75729999999999</v>
      </c>
      <c r="C12" s="109">
        <v>742</v>
      </c>
      <c r="D12" s="109">
        <v>683.1</v>
      </c>
      <c r="E12" s="109">
        <v>2193.9</v>
      </c>
      <c r="F12" s="109">
        <v>3063.4</v>
      </c>
      <c r="H12" s="217" t="s">
        <v>134</v>
      </c>
      <c r="I12" s="223">
        <f>F14/$I$11*100</f>
        <v>0.80585809863826019</v>
      </c>
      <c r="J12" s="222">
        <f>F16+F24+F23</f>
        <v>308812.3</v>
      </c>
    </row>
    <row r="13" spans="1:20" ht="18.75" customHeight="1">
      <c r="A13" s="15" t="s">
        <v>111</v>
      </c>
      <c r="B13" s="109">
        <v>12515.561799999999</v>
      </c>
      <c r="C13" s="109">
        <v>12165</v>
      </c>
      <c r="D13" s="109">
        <v>11337</v>
      </c>
      <c r="E13" s="109">
        <v>55245.1</v>
      </c>
      <c r="F13" s="109">
        <v>64932.5</v>
      </c>
      <c r="H13" s="217" t="s">
        <v>114</v>
      </c>
      <c r="I13" s="223">
        <f>F16/$I$11*100</f>
        <v>25.009316248596331</v>
      </c>
      <c r="K13" s="217" t="s">
        <v>114</v>
      </c>
      <c r="N13" s="223">
        <f>I13</f>
        <v>25.009316248596331</v>
      </c>
    </row>
    <row r="14" spans="1:20" ht="18.75" customHeight="1">
      <c r="A14" s="15" t="s">
        <v>134</v>
      </c>
      <c r="B14" s="109">
        <v>1535.5259999999998</v>
      </c>
      <c r="C14" s="109">
        <v>1629</v>
      </c>
      <c r="D14" s="109">
        <v>1405.6</v>
      </c>
      <c r="E14" s="109">
        <v>3654.8</v>
      </c>
      <c r="F14" s="109">
        <v>3881.7</v>
      </c>
      <c r="H14" s="215" t="s">
        <v>115</v>
      </c>
      <c r="I14" s="223" t="e">
        <f>#N/A</f>
        <v>#N/A</v>
      </c>
      <c r="K14" s="217" t="s">
        <v>120</v>
      </c>
      <c r="N14" s="223" t="e">
        <f>I20</f>
        <v>#N/A</v>
      </c>
    </row>
    <row r="15" spans="1:20" ht="18.75" customHeight="1">
      <c r="A15" s="15" t="s">
        <v>112</v>
      </c>
      <c r="B15" s="109">
        <v>10040.1631</v>
      </c>
      <c r="C15" s="109">
        <v>10382</v>
      </c>
      <c r="D15" s="109">
        <v>10807.7</v>
      </c>
      <c r="E15" s="109">
        <v>56474.7</v>
      </c>
      <c r="F15" s="109">
        <v>66816.600000000006</v>
      </c>
      <c r="H15" s="217" t="s">
        <v>151</v>
      </c>
      <c r="I15" s="223" t="e">
        <f>#N/A</f>
        <v>#N/A</v>
      </c>
      <c r="K15" s="215" t="s">
        <v>121</v>
      </c>
      <c r="N15" s="223" t="e">
        <f>I21</f>
        <v>#N/A</v>
      </c>
    </row>
    <row r="16" spans="1:20" ht="18.75" customHeight="1">
      <c r="A16" s="15" t="s">
        <v>114</v>
      </c>
      <c r="B16" s="109">
        <v>20091.560743800004</v>
      </c>
      <c r="C16" s="109">
        <v>19507</v>
      </c>
      <c r="D16" s="109">
        <v>17777.3</v>
      </c>
      <c r="E16" s="109">
        <v>102914.4</v>
      </c>
      <c r="F16" s="109">
        <v>120466.2</v>
      </c>
      <c r="H16" s="217" t="s">
        <v>116</v>
      </c>
      <c r="I16" s="223" t="e">
        <f>#N/A</f>
        <v>#N/A</v>
      </c>
    </row>
    <row r="17" spans="1:20" ht="18.75" customHeight="1">
      <c r="A17" s="17" t="s">
        <v>115</v>
      </c>
      <c r="B17" s="109">
        <v>4677</v>
      </c>
      <c r="C17" s="109">
        <v>4968</v>
      </c>
      <c r="D17" s="109">
        <v>3970.4</v>
      </c>
      <c r="E17" s="109">
        <v>12101.7</v>
      </c>
      <c r="F17" s="109">
        <v>24583.8</v>
      </c>
      <c r="H17" s="217" t="s">
        <v>117</v>
      </c>
      <c r="I17" s="223" t="e">
        <f>#N/A</f>
        <v>#N/A</v>
      </c>
      <c r="N17" s="220">
        <f>(F13+F15+F16+F23+F24)/F8*100</f>
        <v>69.550359993325358</v>
      </c>
    </row>
    <row r="18" spans="1:20" ht="18.75" customHeight="1">
      <c r="A18" s="15" t="s">
        <v>113</v>
      </c>
      <c r="B18" s="109">
        <v>9004.4032000000007</v>
      </c>
      <c r="C18" s="109">
        <v>8679</v>
      </c>
      <c r="D18" s="109">
        <v>7288.1</v>
      </c>
      <c r="E18" s="109">
        <v>58249.1</v>
      </c>
      <c r="F18" s="109">
        <v>79993.100000000006</v>
      </c>
      <c r="H18" s="215" t="s">
        <v>118</v>
      </c>
      <c r="I18" s="223" t="e">
        <f>#N/A</f>
        <v>#N/A</v>
      </c>
      <c r="K18" s="215" t="s">
        <v>172</v>
      </c>
      <c r="N18" s="223">
        <f>F24/$F$8*100</f>
        <v>23.041104138451125</v>
      </c>
    </row>
    <row r="19" spans="1:20" ht="18.75" customHeight="1">
      <c r="A19" s="15" t="s">
        <v>116</v>
      </c>
      <c r="B19" s="109">
        <v>1345.5920000000001</v>
      </c>
      <c r="C19" s="109">
        <v>1379</v>
      </c>
      <c r="D19" s="109">
        <v>1366.6</v>
      </c>
      <c r="E19" s="109">
        <v>4144.7</v>
      </c>
      <c r="F19" s="109">
        <v>4364.1000000000004</v>
      </c>
      <c r="H19" s="217" t="s">
        <v>119</v>
      </c>
      <c r="I19" s="223" t="e">
        <f>#N/A</f>
        <v>#N/A</v>
      </c>
      <c r="K19" s="217" t="s">
        <v>171</v>
      </c>
      <c r="N19" s="223">
        <f>F16/$F$8*100</f>
        <v>19.017706900849532</v>
      </c>
    </row>
    <row r="20" spans="1:20" ht="18.75" customHeight="1">
      <c r="A20" s="15" t="s">
        <v>117</v>
      </c>
      <c r="B20" s="109">
        <v>2598.8534</v>
      </c>
      <c r="C20" s="109">
        <v>2865</v>
      </c>
      <c r="D20" s="109">
        <v>2844.9</v>
      </c>
      <c r="E20" s="109">
        <v>11712.1</v>
      </c>
      <c r="F20" s="109">
        <v>13351.8</v>
      </c>
      <c r="H20" s="215" t="s">
        <v>120</v>
      </c>
      <c r="I20" s="223" t="e">
        <f>#N/A</f>
        <v>#N/A</v>
      </c>
      <c r="K20" s="217" t="s">
        <v>173</v>
      </c>
      <c r="N20" s="223">
        <f>F13/F8*100</f>
        <v>10.250736333838141</v>
      </c>
    </row>
    <row r="21" spans="1:20" ht="18.75" customHeight="1">
      <c r="A21" s="17" t="s">
        <v>118</v>
      </c>
      <c r="B21" s="109">
        <v>3472.4560000000001</v>
      </c>
      <c r="C21" s="109">
        <v>3897</v>
      </c>
      <c r="D21" s="109">
        <v>4579.8999999999996</v>
      </c>
      <c r="E21" s="109">
        <v>19182.400000000001</v>
      </c>
      <c r="F21" s="109">
        <v>19898.8</v>
      </c>
      <c r="H21" s="215" t="s">
        <v>121</v>
      </c>
      <c r="I21" s="223" t="e">
        <f>#N/A</f>
        <v>#N/A</v>
      </c>
      <c r="K21" s="220" t="s">
        <v>170</v>
      </c>
      <c r="N21" s="223">
        <f>F15/F8*100</f>
        <v>10.548174632480338</v>
      </c>
    </row>
    <row r="22" spans="1:20" ht="18.75" customHeight="1">
      <c r="A22" s="15" t="s">
        <v>119</v>
      </c>
      <c r="B22" s="109">
        <v>321.42099999999999</v>
      </c>
      <c r="C22" s="109">
        <v>385</v>
      </c>
      <c r="D22" s="109">
        <v>387</v>
      </c>
      <c r="E22" s="109">
        <v>1125.5999999999999</v>
      </c>
      <c r="F22" s="109">
        <v>1226.2</v>
      </c>
      <c r="H22" s="215" t="s">
        <v>122</v>
      </c>
      <c r="I22" s="223" t="e">
        <f>#N/A</f>
        <v>#N/A</v>
      </c>
      <c r="K22" s="215" t="s">
        <v>169</v>
      </c>
      <c r="N22" s="223">
        <f>F23/$F$8*100</f>
        <v>6.6926379877062194</v>
      </c>
    </row>
    <row r="23" spans="1:20" ht="18.75" customHeight="1">
      <c r="A23" s="17" t="s">
        <v>120</v>
      </c>
      <c r="B23" s="109">
        <v>5827.7341999999999</v>
      </c>
      <c r="C23" s="109">
        <v>7165</v>
      </c>
      <c r="D23" s="109">
        <v>10369.4</v>
      </c>
      <c r="E23" s="109">
        <v>41750.1</v>
      </c>
      <c r="F23" s="109">
        <v>42394</v>
      </c>
      <c r="H23" s="215" t="s">
        <v>123</v>
      </c>
      <c r="I23" s="223" t="e">
        <f>#N/A</f>
        <v>#N/A</v>
      </c>
      <c r="K23" s="217"/>
      <c r="N23" s="223"/>
    </row>
    <row r="24" spans="1:20" ht="18.75" customHeight="1">
      <c r="A24" s="17" t="s">
        <v>121</v>
      </c>
      <c r="B24" s="109">
        <v>17578.441599999998</v>
      </c>
      <c r="C24" s="109">
        <v>18149</v>
      </c>
      <c r="D24" s="109">
        <v>24238.2</v>
      </c>
      <c r="E24" s="109">
        <v>140521.70000000001</v>
      </c>
      <c r="F24" s="109">
        <v>145952.1</v>
      </c>
      <c r="H24" s="217" t="s">
        <v>124</v>
      </c>
      <c r="I24" s="223" t="e">
        <f>#N/A</f>
        <v>#N/A</v>
      </c>
      <c r="K24" s="215"/>
      <c r="N24" s="223"/>
    </row>
    <row r="25" spans="1:20" ht="18.75" customHeight="1">
      <c r="A25" s="17" t="s">
        <v>122</v>
      </c>
      <c r="B25" s="109">
        <v>2999.152</v>
      </c>
      <c r="C25" s="109">
        <v>3325</v>
      </c>
      <c r="D25" s="109">
        <v>3512.7</v>
      </c>
      <c r="E25" s="109">
        <v>10571.9</v>
      </c>
      <c r="F25" s="109">
        <v>11938.7</v>
      </c>
      <c r="I25" s="220" t="e">
        <f>#REF!/$I$11*100</f>
        <v>#REF!</v>
      </c>
    </row>
    <row r="26" spans="1:20" ht="18.75" customHeight="1">
      <c r="A26" s="17" t="s">
        <v>123</v>
      </c>
      <c r="B26" s="109">
        <v>2332.9331999999995</v>
      </c>
      <c r="C26" s="109">
        <v>2500</v>
      </c>
      <c r="D26" s="109">
        <v>2580</v>
      </c>
      <c r="E26" s="109">
        <v>6430.8</v>
      </c>
      <c r="F26" s="109">
        <v>8436</v>
      </c>
      <c r="I26" s="220" t="e">
        <f>#REF!/$I$11*100</f>
        <v>#REF!</v>
      </c>
    </row>
    <row r="27" spans="1:20" ht="18.75" customHeight="1">
      <c r="A27" s="18" t="s">
        <v>124</v>
      </c>
      <c r="B27" s="295">
        <v>1125.8688574999999</v>
      </c>
      <c r="C27" s="295">
        <v>1528</v>
      </c>
      <c r="D27" s="295">
        <v>762.2</v>
      </c>
      <c r="E27" s="295">
        <v>4410.5</v>
      </c>
      <c r="F27" s="295">
        <v>5198.8</v>
      </c>
    </row>
    <row r="28" spans="1:20" ht="5.0999999999999996" customHeight="1">
      <c r="A28" s="18"/>
      <c r="B28" s="295"/>
      <c r="C28" s="295"/>
      <c r="D28" s="295"/>
      <c r="E28" s="295"/>
      <c r="F28" s="295"/>
    </row>
    <row r="29" spans="1:20" ht="5.0999999999999996" customHeight="1">
      <c r="A29" s="296"/>
      <c r="B29" s="297"/>
      <c r="C29" s="297"/>
      <c r="D29" s="297"/>
      <c r="E29" s="297"/>
      <c r="F29" s="297"/>
    </row>
    <row r="30" spans="1:20">
      <c r="A30" s="294" t="s">
        <v>239</v>
      </c>
      <c r="C30" s="12"/>
      <c r="K30" s="220" t="s">
        <v>157</v>
      </c>
      <c r="L30" s="220" t="s">
        <v>153</v>
      </c>
    </row>
    <row r="31" spans="1:20">
      <c r="C31" s="12"/>
      <c r="K31" s="220">
        <f>SUM(K32:K49)</f>
        <v>4643.7578000000003</v>
      </c>
      <c r="L31" s="222">
        <f>F8</f>
        <v>633442.30000000005</v>
      </c>
      <c r="M31" s="220" t="s">
        <v>152</v>
      </c>
      <c r="N31" s="220">
        <v>4585.3999999999996</v>
      </c>
      <c r="O31" s="222">
        <f>F8</f>
        <v>633442.30000000005</v>
      </c>
      <c r="P31" s="226">
        <f>(O31*1000000)/(N31*1000)</f>
        <v>138143.30265625683</v>
      </c>
      <c r="Q31" s="220" t="s">
        <v>211</v>
      </c>
      <c r="R31" s="220">
        <v>4585.3999999999996</v>
      </c>
      <c r="S31" s="222">
        <v>107351.79999999997</v>
      </c>
      <c r="T31" s="226">
        <f>(S31*1000)/R31</f>
        <v>23411.654381297158</v>
      </c>
    </row>
    <row r="32" spans="1:20">
      <c r="C32" s="12"/>
      <c r="H32" s="217" t="s">
        <v>107</v>
      </c>
      <c r="K32" s="223">
        <v>802.51977682980009</v>
      </c>
      <c r="L32" s="222">
        <f>F9</f>
        <v>4782.3999999999996</v>
      </c>
      <c r="M32" s="220" t="s">
        <v>148</v>
      </c>
      <c r="N32" s="223">
        <f>K32+K33+K34</f>
        <v>851.13278703655226</v>
      </c>
      <c r="O32" s="226" t="e">
        <f>L32+L33+L34</f>
        <v>#N/A</v>
      </c>
      <c r="P32" s="226" t="e">
        <f>(O32*1000000)/(N32*1000)</f>
        <v>#N/A</v>
      </c>
      <c r="Q32" s="220" t="s">
        <v>210</v>
      </c>
      <c r="R32" s="223">
        <f>K32+K33+K34+K35+K36+K38</f>
        <v>1519.6629544839918</v>
      </c>
      <c r="S32" s="222">
        <f>F9+F10+F11+F12+F13+F15</f>
        <v>151757</v>
      </c>
      <c r="T32" s="226">
        <f>(S32*1000)/R32</f>
        <v>99862.275086866051</v>
      </c>
    </row>
    <row r="33" spans="3:20">
      <c r="C33" s="12"/>
      <c r="H33" s="215" t="s">
        <v>108</v>
      </c>
      <c r="K33" s="223">
        <v>26.332047195324083</v>
      </c>
      <c r="L33" s="222">
        <f>F10</f>
        <v>286.8</v>
      </c>
      <c r="M33" s="220" t="s">
        <v>149</v>
      </c>
      <c r="N33" s="223">
        <f>K35+K36+K38</f>
        <v>668.53016744743957</v>
      </c>
      <c r="O33" s="226" t="e">
        <f>L35+L36+L38</f>
        <v>#N/A</v>
      </c>
      <c r="P33" s="226" t="e">
        <f>(O33*1000000)/(N33*1000)</f>
        <v>#N/A</v>
      </c>
      <c r="Q33" s="220" t="s">
        <v>165</v>
      </c>
      <c r="R33" s="223">
        <f>K37+K41</f>
        <v>421.51530933438016</v>
      </c>
      <c r="S33" s="222">
        <f>F14+F18</f>
        <v>83874.8</v>
      </c>
      <c r="T33" s="226">
        <f>(S33*1000)/R33</f>
        <v>198983.99451362205</v>
      </c>
    </row>
    <row r="34" spans="3:20">
      <c r="C34" s="12"/>
      <c r="H34" s="217" t="s">
        <v>109</v>
      </c>
      <c r="K34" s="223">
        <v>22.280963011428071</v>
      </c>
      <c r="L34" s="220" t="e">
        <f>#N/A</f>
        <v>#N/A</v>
      </c>
      <c r="M34" s="220" t="s">
        <v>150</v>
      </c>
      <c r="N34" s="223">
        <f>K37+K39+K40+K41+K42+K43+K44+K45+K46+K47+K48+K49</f>
        <v>3124.0948455160078</v>
      </c>
      <c r="O34" s="226" t="e">
        <f>L37+L39+L40+L41+L42+L43+L44+L45+L46+L47+L48+L49+L50</f>
        <v>#N/A</v>
      </c>
      <c r="P34" s="226" t="e">
        <f>(O34*1000000)/(N34*1000)</f>
        <v>#N/A</v>
      </c>
      <c r="Q34" s="220" t="s">
        <v>166</v>
      </c>
      <c r="R34" s="223">
        <f>K39+K40+K42+K43+K44+K45+K46+K47+K48+K49</f>
        <v>2702.5795361816276</v>
      </c>
      <c r="S34" s="222">
        <f>F16+F17+F19+F20+F21+F22+F23+F24+F25+F26</f>
        <v>392611.7</v>
      </c>
      <c r="T34" s="226">
        <f>(S34*1000)/R34</f>
        <v>145272.94932259651</v>
      </c>
    </row>
    <row r="35" spans="3:20">
      <c r="C35" s="12"/>
      <c r="H35" s="215" t="s">
        <v>110</v>
      </c>
      <c r="K35" s="223">
        <v>48.207901788362555</v>
      </c>
      <c r="L35" s="220" t="e">
        <f>#N/A</f>
        <v>#N/A</v>
      </c>
    </row>
    <row r="36" spans="3:20">
      <c r="C36" s="12"/>
      <c r="H36" s="217" t="s">
        <v>111</v>
      </c>
      <c r="K36" s="223">
        <v>355.88774555526476</v>
      </c>
      <c r="L36" s="220" t="e">
        <f>#N/A</f>
        <v>#N/A</v>
      </c>
      <c r="T36" s="220">
        <f>O31*1000</f>
        <v>633442300</v>
      </c>
    </row>
    <row r="37" spans="3:20">
      <c r="C37" s="12"/>
      <c r="H37" s="217" t="s">
        <v>134</v>
      </c>
      <c r="K37" s="223">
        <v>95.301755426153704</v>
      </c>
      <c r="L37" s="220" t="e">
        <f>#N/A</f>
        <v>#N/A</v>
      </c>
      <c r="O37" s="220" t="s">
        <v>168</v>
      </c>
    </row>
    <row r="38" spans="3:20">
      <c r="H38" s="217" t="s">
        <v>112</v>
      </c>
      <c r="K38" s="223">
        <v>264.43452010381225</v>
      </c>
      <c r="L38" s="220" t="e">
        <f>#N/A</f>
        <v>#N/A</v>
      </c>
    </row>
    <row r="39" spans="3:20">
      <c r="H39" s="217" t="s">
        <v>114</v>
      </c>
      <c r="K39" s="223">
        <v>486.83904179970341</v>
      </c>
      <c r="L39" s="220" t="e">
        <f>#N/A</f>
        <v>#N/A</v>
      </c>
    </row>
    <row r="40" spans="3:20">
      <c r="H40" s="215" t="s">
        <v>115</v>
      </c>
      <c r="K40" s="223">
        <v>270.61242348425367</v>
      </c>
      <c r="L40" s="220" t="e">
        <f>#N/A</f>
        <v>#N/A</v>
      </c>
    </row>
    <row r="41" spans="3:20">
      <c r="H41" s="217" t="s">
        <v>113</v>
      </c>
      <c r="K41" s="223">
        <v>326.21355390822646</v>
      </c>
      <c r="L41" s="220" t="e">
        <f>#N/A</f>
        <v>#N/A</v>
      </c>
    </row>
    <row r="42" spans="3:20">
      <c r="H42" s="217" t="s">
        <v>116</v>
      </c>
      <c r="K42" s="223">
        <v>32.104842157375899</v>
      </c>
      <c r="L42" s="220" t="e">
        <f>#N/A</f>
        <v>#N/A</v>
      </c>
    </row>
    <row r="43" spans="3:20">
      <c r="H43" s="217" t="s">
        <v>117</v>
      </c>
      <c r="K43" s="223">
        <v>73.729732146907423</v>
      </c>
      <c r="L43" s="220" t="e">
        <f>#N/A</f>
        <v>#N/A</v>
      </c>
    </row>
    <row r="44" spans="3:20">
      <c r="H44" s="215" t="s">
        <v>118</v>
      </c>
      <c r="K44" s="223">
        <v>299.47639829451282</v>
      </c>
      <c r="L44" s="220" t="e">
        <f>#N/A</f>
        <v>#N/A</v>
      </c>
    </row>
    <row r="45" spans="3:20">
      <c r="F45" s="169"/>
      <c r="H45" s="217" t="s">
        <v>119</v>
      </c>
      <c r="K45" s="223">
        <v>29.978022960830494</v>
      </c>
      <c r="L45" s="220" t="e">
        <f>#N/A</f>
        <v>#N/A</v>
      </c>
    </row>
    <row r="46" spans="3:20">
      <c r="H46" s="215" t="s">
        <v>120</v>
      </c>
      <c r="K46" s="223">
        <v>481.67390946523597</v>
      </c>
      <c r="L46" s="220" t="e">
        <f>#N/A</f>
        <v>#N/A</v>
      </c>
    </row>
    <row r="47" spans="3:20">
      <c r="H47" s="215" t="s">
        <v>121</v>
      </c>
      <c r="K47" s="223">
        <v>513.27236609962483</v>
      </c>
      <c r="L47" s="220" t="e">
        <f>#N/A</f>
        <v>#N/A</v>
      </c>
    </row>
    <row r="48" spans="3:20">
      <c r="H48" s="215" t="s">
        <v>122</v>
      </c>
      <c r="K48" s="223">
        <v>159.9165481592951</v>
      </c>
      <c r="L48" s="220" t="e">
        <f>#N/A</f>
        <v>#N/A</v>
      </c>
    </row>
    <row r="49" spans="8:12">
      <c r="H49" s="215" t="s">
        <v>123</v>
      </c>
      <c r="K49" s="223">
        <v>354.97625161388817</v>
      </c>
      <c r="L49" s="220" t="e">
        <f>#N/A</f>
        <v>#N/A</v>
      </c>
    </row>
    <row r="50" spans="8:12">
      <c r="H50" s="217" t="s">
        <v>124</v>
      </c>
      <c r="L50" s="220" t="e">
        <f>#N/A</f>
        <v>#N/A</v>
      </c>
    </row>
    <row r="60" spans="8:12">
      <c r="I60" s="220" t="s">
        <v>158</v>
      </c>
      <c r="J60" s="240" t="s">
        <v>159</v>
      </c>
      <c r="K60" s="240" t="s">
        <v>160</v>
      </c>
    </row>
    <row r="61" spans="8:12">
      <c r="H61" s="220" t="s">
        <v>153</v>
      </c>
      <c r="I61" s="222">
        <f>B8+C8+D8+E8+F8</f>
        <v>1489489.6360961231</v>
      </c>
      <c r="J61" s="220">
        <f>I61/$I$61*100</f>
        <v>100</v>
      </c>
    </row>
    <row r="62" spans="8:12">
      <c r="H62" s="220" t="s">
        <v>148</v>
      </c>
      <c r="I62" s="226">
        <f>B9+B10+B11+C9+C10+C11+D9+D10+D11+E9+E10+E11+F9+F10+F11</f>
        <v>43362.811694823184</v>
      </c>
      <c r="J62" s="223">
        <f>I62/$I$61*100</f>
        <v>2.911252998609303</v>
      </c>
      <c r="K62" s="223">
        <f>100-J62</f>
        <v>97.088747001390701</v>
      </c>
    </row>
    <row r="63" spans="8:12">
      <c r="H63" s="220" t="s">
        <v>149</v>
      </c>
      <c r="I63" s="226">
        <f>B12+B13+B15+C12+C13+C15+D12+D13+D15+E12+E13+E15+F12+F13+F15</f>
        <v>317702.48219999997</v>
      </c>
      <c r="J63" s="223">
        <f>I63/$I$61*100</f>
        <v>21.329620193443041</v>
      </c>
      <c r="K63" s="223">
        <f>100-J63</f>
        <v>78.670379806556952</v>
      </c>
    </row>
    <row r="64" spans="8:12">
      <c r="H64" s="220" t="s">
        <v>150</v>
      </c>
      <c r="I64" s="226">
        <f>B14+B16+B17+B18+B19+B20+B21+B22+B23+B24+B25+B26+B27+C14+C16+C17+C18+C19+C20+C21+C22+C23+C24+C25+C26+C27+D14+D16+D17+D18+D19+D20+D21+D22+D23+D24+D25+D26+D27+E14+E16+E17+E18+E20+E19+E21+E22+E23+E24+E25+E26+E27+F14+F16+F17+F18+F19+F20+F21+F22+F23+F24+F25+F26+F27</f>
        <v>1128424.3422013</v>
      </c>
      <c r="J64" s="223">
        <f>I64/$I$61*100</f>
        <v>75.759126807947652</v>
      </c>
      <c r="K64" s="223">
        <f>100-J64</f>
        <v>24.240873192052348</v>
      </c>
    </row>
    <row r="66" spans="8:10">
      <c r="H66" s="220" t="s">
        <v>148</v>
      </c>
      <c r="I66" s="241">
        <v>0.04</v>
      </c>
      <c r="J66" s="227">
        <f>100%-I66</f>
        <v>0.96</v>
      </c>
    </row>
    <row r="67" spans="8:10">
      <c r="H67" s="220" t="s">
        <v>149</v>
      </c>
      <c r="I67" s="241">
        <v>0.22600000000000001</v>
      </c>
      <c r="J67" s="227">
        <f>100%-I67</f>
        <v>0.77400000000000002</v>
      </c>
    </row>
    <row r="68" spans="8:10">
      <c r="H68" s="220" t="s">
        <v>150</v>
      </c>
      <c r="I68" s="241">
        <v>0.73399999999999999</v>
      </c>
      <c r="J68" s="227">
        <f>100%-I68</f>
        <v>0.26600000000000001</v>
      </c>
    </row>
  </sheetData>
  <mergeCells count="1">
    <mergeCell ref="B6:F6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Z62"/>
  <sheetViews>
    <sheetView showGridLines="0" zoomScaleNormal="100" workbookViewId="0">
      <selection activeCell="L27" sqref="L27"/>
    </sheetView>
  </sheetViews>
  <sheetFormatPr baseColWidth="10" defaultColWidth="11.44140625" defaultRowHeight="11.4"/>
  <cols>
    <col min="1" max="1" width="48.5546875" style="13" customWidth="1"/>
    <col min="2" max="2" width="9.109375" style="13" customWidth="1"/>
    <col min="3" max="3" width="9.109375" style="1" customWidth="1"/>
    <col min="4" max="6" width="9.109375" style="13" customWidth="1"/>
    <col min="7" max="7" width="11.44140625" style="13"/>
    <col min="8" max="26" width="11.44140625" style="220"/>
    <col min="27" max="16384" width="11.44140625" style="13"/>
  </cols>
  <sheetData>
    <row r="1" spans="1:26" ht="15" customHeight="1">
      <c r="A1" s="124" t="s">
        <v>225</v>
      </c>
      <c r="H1" s="217" t="s">
        <v>111</v>
      </c>
      <c r="L1" s="221">
        <v>5187.1000000000004</v>
      </c>
    </row>
    <row r="2" spans="1:26" ht="15" customHeight="1">
      <c r="A2" s="124" t="s">
        <v>212</v>
      </c>
      <c r="H2" s="217" t="s">
        <v>112</v>
      </c>
      <c r="L2" s="221">
        <v>4245.3</v>
      </c>
    </row>
    <row r="3" spans="1:26" ht="15" customHeight="1">
      <c r="A3" s="87"/>
      <c r="F3" s="7" t="s">
        <v>75</v>
      </c>
      <c r="H3" s="217" t="s">
        <v>114</v>
      </c>
      <c r="L3" s="221">
        <v>9001.1</v>
      </c>
    </row>
    <row r="4" spans="1:26" ht="15" customHeight="1">
      <c r="A4" s="151" t="s">
        <v>143</v>
      </c>
      <c r="B4" s="152">
        <v>2018</v>
      </c>
      <c r="C4" s="152">
        <v>2019</v>
      </c>
      <c r="D4" s="152">
        <v>2020</v>
      </c>
      <c r="E4" s="152">
        <v>2021</v>
      </c>
      <c r="F4" s="152">
        <v>2022</v>
      </c>
    </row>
    <row r="5" spans="1:26" s="291" customFormat="1" ht="5.0999999999999996" customHeight="1">
      <c r="A5" s="188"/>
      <c r="B5" s="189"/>
      <c r="C5" s="189"/>
      <c r="D5" s="189"/>
      <c r="E5" s="189"/>
      <c r="F5" s="189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</row>
    <row r="6" spans="1:26" ht="15" customHeight="1">
      <c r="A6" s="188"/>
      <c r="B6" s="349" t="s">
        <v>231</v>
      </c>
      <c r="C6" s="349"/>
      <c r="D6" s="349"/>
      <c r="E6" s="349"/>
      <c r="F6" s="349"/>
    </row>
    <row r="7" spans="1:26" ht="5.0999999999999996" customHeight="1">
      <c r="A7" s="1"/>
      <c r="B7" s="352"/>
      <c r="C7" s="352"/>
      <c r="D7" s="352"/>
      <c r="E7" s="352"/>
      <c r="F7" s="352"/>
      <c r="L7" s="220">
        <v>2016</v>
      </c>
      <c r="M7" s="220">
        <v>2017</v>
      </c>
      <c r="N7" s="220">
        <v>2018</v>
      </c>
      <c r="O7" s="220">
        <v>2019</v>
      </c>
      <c r="P7" s="220">
        <v>2020</v>
      </c>
    </row>
    <row r="8" spans="1:26" ht="19.5" customHeight="1">
      <c r="A8" s="183" t="s">
        <v>2</v>
      </c>
      <c r="B8" s="184">
        <f>SUM(B9:B27)</f>
        <v>57024.700000000012</v>
      </c>
      <c r="C8" s="184">
        <f>SUM(C9:C27)</f>
        <v>56931.7</v>
      </c>
      <c r="D8" s="184">
        <f>SUM(D9:D27)</f>
        <v>50698.2</v>
      </c>
      <c r="E8" s="184">
        <f>SUM(E9:E27)</f>
        <v>51333.80000000001</v>
      </c>
      <c r="F8" s="184">
        <f>SUM(F9:F27)</f>
        <v>52244.900000000009</v>
      </c>
      <c r="G8" s="251"/>
      <c r="H8" s="222"/>
      <c r="I8" s="222" t="s">
        <v>153</v>
      </c>
      <c r="J8" s="222"/>
      <c r="K8" s="222">
        <v>54500</v>
      </c>
      <c r="L8" s="222">
        <f>B8</f>
        <v>57024.700000000012</v>
      </c>
      <c r="M8" s="222">
        <f>C8</f>
        <v>56931.7</v>
      </c>
      <c r="N8" s="222">
        <f>D8</f>
        <v>50698.2</v>
      </c>
      <c r="O8" s="222">
        <f>E8</f>
        <v>51333.80000000001</v>
      </c>
      <c r="P8" s="222">
        <f>F8</f>
        <v>52244.900000000009</v>
      </c>
    </row>
    <row r="9" spans="1:26" ht="19.5" customHeight="1">
      <c r="A9" s="15" t="s">
        <v>107</v>
      </c>
      <c r="B9" s="109">
        <v>2137.4</v>
      </c>
      <c r="C9" s="109">
        <v>1903.7</v>
      </c>
      <c r="D9" s="109">
        <v>1456.6</v>
      </c>
      <c r="E9" s="109">
        <v>1262.4000000000001</v>
      </c>
      <c r="F9" s="109">
        <v>1195.4000000000001</v>
      </c>
      <c r="G9" s="111"/>
      <c r="H9" s="222" t="s">
        <v>148</v>
      </c>
      <c r="I9" s="222">
        <f>F9+F10+F11</f>
        <v>1425.4</v>
      </c>
      <c r="J9" s="222"/>
      <c r="K9" s="220">
        <v>87133</v>
      </c>
      <c r="L9" s="220">
        <f>'5.3'!B8</f>
        <v>100050.03609612319</v>
      </c>
      <c r="M9" s="220">
        <f>'5.3'!C8</f>
        <v>103427.6</v>
      </c>
      <c r="N9" s="220">
        <f>'5.3'!D8</f>
        <v>107351.79999999997</v>
      </c>
      <c r="O9" s="220">
        <f>'5.3'!E8</f>
        <v>545217.9</v>
      </c>
      <c r="P9" s="220">
        <f>'5.3'!F8</f>
        <v>633442.30000000005</v>
      </c>
    </row>
    <row r="10" spans="1:26" ht="19.5" customHeight="1">
      <c r="A10" s="17" t="s">
        <v>108</v>
      </c>
      <c r="B10" s="109">
        <v>62.3</v>
      </c>
      <c r="C10" s="109">
        <v>55</v>
      </c>
      <c r="D10" s="109">
        <v>53.1</v>
      </c>
      <c r="E10" s="109">
        <v>48.7</v>
      </c>
      <c r="F10" s="109">
        <v>36.1</v>
      </c>
      <c r="G10" s="111"/>
      <c r="H10" s="222" t="s">
        <v>149</v>
      </c>
      <c r="I10" s="222">
        <f>F12+F13+F15</f>
        <v>8405.7000000000007</v>
      </c>
      <c r="J10" s="222"/>
      <c r="K10" s="222"/>
      <c r="L10" s="223">
        <f>(L8/K8*100)-100</f>
        <v>4.6324770642202111</v>
      </c>
      <c r="M10" s="223">
        <f>(M8/B8*100)-100</f>
        <v>-0.16308722360663808</v>
      </c>
      <c r="N10" s="223">
        <f>(N8/C8*100)-100</f>
        <v>-10.94908460488621</v>
      </c>
      <c r="O10" s="223">
        <f>(O8/D8*100)-100</f>
        <v>1.2536934250131395</v>
      </c>
      <c r="P10" s="223">
        <f>(P8/E8*100)-100</f>
        <v>1.7748539948338191</v>
      </c>
    </row>
    <row r="11" spans="1:26" ht="19.5" customHeight="1">
      <c r="A11" s="15" t="s">
        <v>109</v>
      </c>
      <c r="B11" s="109">
        <v>268.89999999999998</v>
      </c>
      <c r="C11" s="109">
        <v>230</v>
      </c>
      <c r="D11" s="109">
        <v>231.7</v>
      </c>
      <c r="E11" s="109">
        <v>229</v>
      </c>
      <c r="F11" s="109">
        <v>193.9</v>
      </c>
      <c r="G11" s="111"/>
      <c r="H11" s="222" t="s">
        <v>150</v>
      </c>
      <c r="I11" s="222">
        <f>F14+F16+F17+F18+F19+F20+F21+F22+F23+F24+F25+F26+F27</f>
        <v>42413.799999999996</v>
      </c>
      <c r="J11" s="222"/>
      <c r="K11" s="222"/>
      <c r="L11" s="223">
        <f>(L9/K9*100)-100</f>
        <v>14.824505177284379</v>
      </c>
      <c r="M11" s="223">
        <f>(M9/L9*100)-100</f>
        <v>3.3758747479429445</v>
      </c>
      <c r="N11" s="223">
        <f>(N9/M9*100)-100</f>
        <v>3.7941516577779737</v>
      </c>
      <c r="O11" s="223">
        <f>(O9/N9*100)-100</f>
        <v>407.87960704897375</v>
      </c>
      <c r="P11" s="223">
        <f>(P9/O9*100)-100</f>
        <v>16.181493674363963</v>
      </c>
    </row>
    <row r="12" spans="1:26" ht="19.5" customHeight="1">
      <c r="A12" s="17" t="s">
        <v>110</v>
      </c>
      <c r="B12" s="109">
        <v>156.69999999999999</v>
      </c>
      <c r="C12" s="109">
        <v>206</v>
      </c>
      <c r="D12" s="109">
        <v>183.4</v>
      </c>
      <c r="E12" s="109">
        <v>125</v>
      </c>
      <c r="F12" s="109">
        <v>83</v>
      </c>
      <c r="G12" s="111"/>
      <c r="H12" s="218" t="s">
        <v>134</v>
      </c>
      <c r="I12" s="221">
        <f>F14</f>
        <v>604.9</v>
      </c>
      <c r="J12" s="222"/>
      <c r="K12" s="222"/>
    </row>
    <row r="13" spans="1:26" ht="19.5" customHeight="1">
      <c r="A13" s="15" t="s">
        <v>111</v>
      </c>
      <c r="B13" s="109">
        <v>6537.7</v>
      </c>
      <c r="C13" s="109">
        <v>6080</v>
      </c>
      <c r="D13" s="109">
        <v>5187.1000000000004</v>
      </c>
      <c r="E13" s="109">
        <v>4398.3999999999996</v>
      </c>
      <c r="F13" s="109">
        <v>4134.2</v>
      </c>
      <c r="G13" s="111"/>
      <c r="H13" s="218" t="s">
        <v>114</v>
      </c>
      <c r="I13" s="221" t="e">
        <f>#N/A</f>
        <v>#N/A</v>
      </c>
      <c r="J13" s="223" t="e">
        <f>I13/I11*100</f>
        <v>#N/A</v>
      </c>
      <c r="K13" s="222"/>
    </row>
    <row r="14" spans="1:26" ht="19.5" customHeight="1">
      <c r="A14" s="15" t="s">
        <v>134</v>
      </c>
      <c r="B14" s="109">
        <v>788.1</v>
      </c>
      <c r="C14" s="109">
        <v>783</v>
      </c>
      <c r="D14" s="109">
        <v>736</v>
      </c>
      <c r="E14" s="109">
        <v>696.7</v>
      </c>
      <c r="F14" s="109">
        <v>604.9</v>
      </c>
      <c r="G14" s="111"/>
      <c r="H14" s="219" t="s">
        <v>115</v>
      </c>
      <c r="I14" s="221" t="e">
        <f>#N/A</f>
        <v>#N/A</v>
      </c>
      <c r="J14" s="222"/>
      <c r="K14" s="222"/>
    </row>
    <row r="15" spans="1:26" ht="19.5" customHeight="1">
      <c r="A15" s="15" t="s">
        <v>112</v>
      </c>
      <c r="B15" s="109">
        <v>4205.8</v>
      </c>
      <c r="C15" s="109">
        <v>4224</v>
      </c>
      <c r="D15" s="109">
        <v>4245.3</v>
      </c>
      <c r="E15" s="109">
        <v>4419.6000000000004</v>
      </c>
      <c r="F15" s="109">
        <v>4188.5</v>
      </c>
      <c r="G15" s="111"/>
      <c r="H15" s="218" t="s">
        <v>113</v>
      </c>
      <c r="I15" s="221" t="e">
        <f>#N/A</f>
        <v>#N/A</v>
      </c>
      <c r="J15" s="223" t="e">
        <f>I15/I11*100</f>
        <v>#N/A</v>
      </c>
      <c r="K15" s="222"/>
    </row>
    <row r="16" spans="1:26" ht="19.5" customHeight="1">
      <c r="A16" s="15" t="s">
        <v>114</v>
      </c>
      <c r="B16" s="109">
        <v>10770.9</v>
      </c>
      <c r="C16" s="109">
        <v>10249</v>
      </c>
      <c r="D16" s="109">
        <v>9001.1</v>
      </c>
      <c r="E16" s="109">
        <v>8397.6</v>
      </c>
      <c r="F16" s="109">
        <v>7983.2</v>
      </c>
      <c r="G16" s="111"/>
      <c r="H16" s="218" t="s">
        <v>116</v>
      </c>
      <c r="I16" s="221" t="e">
        <f>#N/A</f>
        <v>#N/A</v>
      </c>
      <c r="J16" s="222"/>
      <c r="K16" s="222"/>
    </row>
    <row r="17" spans="1:26" ht="19.5" customHeight="1">
      <c r="A17" s="17" t="s">
        <v>115</v>
      </c>
      <c r="B17" s="109">
        <v>3922.1</v>
      </c>
      <c r="C17" s="109">
        <v>4048</v>
      </c>
      <c r="D17" s="109">
        <v>3057.8</v>
      </c>
      <c r="E17" s="109">
        <v>3218.7</v>
      </c>
      <c r="F17" s="109">
        <v>3983.2</v>
      </c>
      <c r="G17" s="111"/>
      <c r="H17" s="218" t="s">
        <v>117</v>
      </c>
      <c r="I17" s="221" t="e">
        <f>#N/A</f>
        <v>#N/A</v>
      </c>
      <c r="J17" s="222"/>
      <c r="K17" s="222"/>
    </row>
    <row r="18" spans="1:26" ht="19.5" customHeight="1">
      <c r="A18" s="15" t="s">
        <v>113</v>
      </c>
      <c r="B18" s="109">
        <v>6072.9</v>
      </c>
      <c r="C18" s="109">
        <v>6197</v>
      </c>
      <c r="D18" s="109">
        <v>5902.6</v>
      </c>
      <c r="E18" s="109">
        <v>6248.6</v>
      </c>
      <c r="F18" s="109">
        <v>7860.9</v>
      </c>
      <c r="G18" s="111"/>
      <c r="H18" s="219" t="s">
        <v>118</v>
      </c>
      <c r="I18" s="221" t="e">
        <f>#N/A</f>
        <v>#N/A</v>
      </c>
      <c r="J18" s="222"/>
      <c r="K18" s="222"/>
    </row>
    <row r="19" spans="1:26" ht="19.5" customHeight="1">
      <c r="A19" s="15" t="s">
        <v>116</v>
      </c>
      <c r="B19" s="109">
        <v>1448.4</v>
      </c>
      <c r="C19" s="109">
        <v>1440</v>
      </c>
      <c r="D19" s="109">
        <v>1392.3</v>
      </c>
      <c r="E19" s="109">
        <v>1385.4</v>
      </c>
      <c r="F19" s="109">
        <v>1360.1</v>
      </c>
      <c r="G19" s="111"/>
      <c r="H19" s="218" t="s">
        <v>119</v>
      </c>
      <c r="I19" s="221" t="e">
        <f>#N/A</f>
        <v>#N/A</v>
      </c>
      <c r="J19" s="222"/>
      <c r="K19" s="222"/>
    </row>
    <row r="20" spans="1:26" ht="19.5" customHeight="1">
      <c r="A20" s="15" t="s">
        <v>117</v>
      </c>
      <c r="B20" s="109">
        <v>1999.4</v>
      </c>
      <c r="C20" s="109">
        <v>2025</v>
      </c>
      <c r="D20" s="109">
        <v>2003.1</v>
      </c>
      <c r="E20" s="109">
        <v>2033.2</v>
      </c>
      <c r="F20" s="109">
        <v>2130.8000000000002</v>
      </c>
      <c r="G20" s="111"/>
      <c r="H20" s="219" t="s">
        <v>120</v>
      </c>
      <c r="I20" s="221" t="e">
        <f>#N/A</f>
        <v>#N/A</v>
      </c>
      <c r="J20" s="222"/>
      <c r="K20" s="222"/>
    </row>
    <row r="21" spans="1:26" ht="19.5" customHeight="1">
      <c r="A21" s="17" t="s">
        <v>118</v>
      </c>
      <c r="B21" s="109">
        <v>2008.5</v>
      </c>
      <c r="C21" s="109">
        <v>2021</v>
      </c>
      <c r="D21" s="109">
        <v>1984.2</v>
      </c>
      <c r="E21" s="109">
        <v>2045.7</v>
      </c>
      <c r="F21" s="109">
        <v>1964.6</v>
      </c>
      <c r="G21" s="111"/>
      <c r="H21" s="219" t="s">
        <v>121</v>
      </c>
      <c r="I21" s="221" t="e">
        <f>#N/A</f>
        <v>#N/A</v>
      </c>
      <c r="J21" s="223" t="e">
        <f>I21/I11*100</f>
        <v>#N/A</v>
      </c>
      <c r="K21" s="222"/>
    </row>
    <row r="22" spans="1:26" ht="19.5" customHeight="1">
      <c r="A22" s="15" t="s">
        <v>119</v>
      </c>
      <c r="B22" s="109">
        <v>269.39999999999998</v>
      </c>
      <c r="C22" s="109">
        <v>263</v>
      </c>
      <c r="D22" s="109">
        <v>263.7</v>
      </c>
      <c r="E22" s="109">
        <v>274.8</v>
      </c>
      <c r="F22" s="109">
        <v>262.39999999999998</v>
      </c>
      <c r="G22" s="111"/>
      <c r="H22" s="219" t="s">
        <v>122</v>
      </c>
      <c r="I22" s="221" t="e">
        <f>#N/A</f>
        <v>#N/A</v>
      </c>
      <c r="J22" s="222"/>
      <c r="K22" s="222"/>
    </row>
    <row r="23" spans="1:26" ht="19.5" customHeight="1">
      <c r="A23" s="17" t="s">
        <v>120</v>
      </c>
      <c r="B23" s="109">
        <v>3331.1</v>
      </c>
      <c r="C23" s="109">
        <v>3334</v>
      </c>
      <c r="D23" s="109">
        <v>2375.3000000000002</v>
      </c>
      <c r="E23" s="109">
        <v>2598.6</v>
      </c>
      <c r="F23" s="109">
        <v>3968.5</v>
      </c>
      <c r="G23" s="111"/>
      <c r="H23" s="219" t="s">
        <v>123</v>
      </c>
      <c r="I23" s="221" t="e">
        <f>#N/A</f>
        <v>#N/A</v>
      </c>
      <c r="J23" s="222"/>
      <c r="K23" s="222"/>
    </row>
    <row r="24" spans="1:26" ht="19.5" customHeight="1">
      <c r="A24" s="17" t="s">
        <v>121</v>
      </c>
      <c r="B24" s="109">
        <v>9785.1</v>
      </c>
      <c r="C24" s="109">
        <v>10561</v>
      </c>
      <c r="D24" s="109">
        <v>9530.9</v>
      </c>
      <c r="E24" s="109">
        <v>10891.5</v>
      </c>
      <c r="F24" s="109">
        <v>9081.7000000000007</v>
      </c>
      <c r="G24" s="111"/>
      <c r="H24" s="218" t="s">
        <v>124</v>
      </c>
      <c r="I24" s="221" t="e">
        <f>#N/A</f>
        <v>#N/A</v>
      </c>
      <c r="J24" s="222"/>
      <c r="K24" s="222"/>
    </row>
    <row r="25" spans="1:26" ht="19.5" customHeight="1">
      <c r="A25" s="17" t="s">
        <v>122</v>
      </c>
      <c r="B25" s="109">
        <v>1956.3</v>
      </c>
      <c r="C25" s="109">
        <v>1992</v>
      </c>
      <c r="D25" s="109">
        <v>1821.1</v>
      </c>
      <c r="E25" s="109">
        <v>1804</v>
      </c>
      <c r="F25" s="109">
        <v>2028.8</v>
      </c>
      <c r="G25" s="111"/>
      <c r="H25" s="222"/>
      <c r="I25" s="222"/>
      <c r="J25" s="222"/>
      <c r="K25" s="222"/>
    </row>
    <row r="26" spans="1:26" ht="19.5" customHeight="1">
      <c r="A26" s="17" t="s">
        <v>123</v>
      </c>
      <c r="B26" s="109">
        <v>834.3</v>
      </c>
      <c r="C26" s="109">
        <v>879</v>
      </c>
      <c r="D26" s="109">
        <v>854.7</v>
      </c>
      <c r="E26" s="109">
        <v>858.1</v>
      </c>
      <c r="F26" s="109">
        <v>828.1</v>
      </c>
      <c r="G26" s="111"/>
      <c r="H26" s="222"/>
      <c r="I26" s="222"/>
      <c r="J26" s="222"/>
      <c r="K26" s="222"/>
    </row>
    <row r="27" spans="1:26" ht="19.5" customHeight="1">
      <c r="A27" s="18" t="s">
        <v>124</v>
      </c>
      <c r="B27" s="295">
        <v>469.4</v>
      </c>
      <c r="C27" s="295">
        <v>441</v>
      </c>
      <c r="D27" s="295">
        <v>418.2</v>
      </c>
      <c r="E27" s="295">
        <v>397.8</v>
      </c>
      <c r="F27" s="295">
        <v>356.6</v>
      </c>
      <c r="G27" s="111"/>
      <c r="H27" s="222"/>
      <c r="I27" s="222"/>
      <c r="J27" s="222"/>
      <c r="K27" s="222"/>
    </row>
    <row r="28" spans="1:26" s="298" customFormat="1" ht="5.0999999999999996" customHeight="1">
      <c r="A28" s="300"/>
      <c r="B28" s="300"/>
      <c r="C28" s="301"/>
      <c r="D28" s="300"/>
      <c r="E28" s="300"/>
      <c r="F28" s="300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</row>
    <row r="29" spans="1:26" ht="5.0999999999999996" customHeight="1">
      <c r="C29" s="12"/>
    </row>
    <row r="30" spans="1:26">
      <c r="A30" s="294" t="s">
        <v>239</v>
      </c>
      <c r="C30" s="12"/>
      <c r="N30" s="353" t="s">
        <v>213</v>
      </c>
      <c r="O30" s="353"/>
      <c r="P30" s="353"/>
      <c r="Q30" s="220" t="s">
        <v>214</v>
      </c>
    </row>
    <row r="31" spans="1:26">
      <c r="K31" s="220" t="s">
        <v>161</v>
      </c>
      <c r="L31" s="220" t="s">
        <v>153</v>
      </c>
      <c r="N31" s="220" t="s">
        <v>161</v>
      </c>
      <c r="O31" s="220" t="s">
        <v>153</v>
      </c>
      <c r="P31" s="220" t="s">
        <v>174</v>
      </c>
    </row>
    <row r="32" spans="1:26" ht="12">
      <c r="K32" s="220">
        <f>SUM(K33:K50)</f>
        <v>4643.7578000000003</v>
      </c>
      <c r="L32" s="224" t="e">
        <f>SUM(L33:L51)</f>
        <v>#N/A</v>
      </c>
      <c r="M32" s="220" t="s">
        <v>152</v>
      </c>
      <c r="N32" s="225">
        <f>K32</f>
        <v>4643.7578000000003</v>
      </c>
      <c r="O32" s="226" t="e">
        <f>SUM(O33:O35)</f>
        <v>#N/A</v>
      </c>
      <c r="P32" s="226" t="e">
        <f>O32*1000/N32</f>
        <v>#N/A</v>
      </c>
      <c r="Q32" s="220" t="s">
        <v>152</v>
      </c>
      <c r="R32" s="225">
        <f>K32</f>
        <v>4643.7578000000003</v>
      </c>
      <c r="S32" s="226" t="e">
        <f>O32</f>
        <v>#N/A</v>
      </c>
      <c r="T32" s="226" t="e">
        <f>S32*1000/R32</f>
        <v>#N/A</v>
      </c>
    </row>
    <row r="33" spans="1:20">
      <c r="H33" s="217" t="s">
        <v>107</v>
      </c>
      <c r="K33" s="220">
        <v>802.51977682980009</v>
      </c>
      <c r="L33" s="221" t="e">
        <f>#N/A</f>
        <v>#N/A</v>
      </c>
      <c r="M33" s="220" t="s">
        <v>148</v>
      </c>
      <c r="N33" s="225">
        <f>K33+K34+K35</f>
        <v>851.13278703655226</v>
      </c>
      <c r="O33" s="226" t="e">
        <f>L33+L34+L35</f>
        <v>#N/A</v>
      </c>
      <c r="P33" s="226" t="e">
        <f>(O33*1000)/(N33)</f>
        <v>#N/A</v>
      </c>
      <c r="Q33" s="220" t="s">
        <v>210</v>
      </c>
      <c r="R33" s="225">
        <f>K33+K34+K35+K36+K37+K39</f>
        <v>1519.6629544839918</v>
      </c>
      <c r="S33" s="222" t="e">
        <f>L33+L35+L34+L36+L37+L39</f>
        <v>#N/A</v>
      </c>
      <c r="T33" s="226" t="e">
        <f>S33*1000/R33</f>
        <v>#N/A</v>
      </c>
    </row>
    <row r="34" spans="1:20">
      <c r="H34" s="215" t="s">
        <v>108</v>
      </c>
      <c r="K34" s="220">
        <v>26.332047195324083</v>
      </c>
      <c r="L34" s="221" t="e">
        <f>#N/A</f>
        <v>#N/A</v>
      </c>
      <c r="M34" s="220" t="s">
        <v>149</v>
      </c>
      <c r="N34" s="225">
        <f>K36+K37+K39</f>
        <v>668.53016744743957</v>
      </c>
      <c r="O34" s="226" t="e">
        <f>L36+L37+L39</f>
        <v>#N/A</v>
      </c>
      <c r="P34" s="226" t="e">
        <f>(O34*1000)/(N34)</f>
        <v>#N/A</v>
      </c>
      <c r="Q34" s="220" t="s">
        <v>165</v>
      </c>
      <c r="R34" s="225">
        <f>K38+K42</f>
        <v>421.51530933438016</v>
      </c>
      <c r="S34" s="222" t="e">
        <f>L38+L42</f>
        <v>#N/A</v>
      </c>
      <c r="T34" s="226" t="e">
        <f>S34*1000/R34</f>
        <v>#N/A</v>
      </c>
    </row>
    <row r="35" spans="1:20">
      <c r="H35" s="217" t="s">
        <v>109</v>
      </c>
      <c r="K35" s="220">
        <v>22.280963011428071</v>
      </c>
      <c r="L35" s="221" t="e">
        <f>#N/A</f>
        <v>#N/A</v>
      </c>
      <c r="M35" s="220" t="s">
        <v>150</v>
      </c>
      <c r="N35" s="225">
        <f>K38+K40+K41+K42+K43+K44+K45+K46+K47+K48+K49+K50</f>
        <v>3124.0948455160078</v>
      </c>
      <c r="O35" s="226" t="e">
        <f>L38+L40+L41+L42+L43+L44+L45+L46+L47+L48+L49+L50+L51</f>
        <v>#N/A</v>
      </c>
      <c r="P35" s="226" t="e">
        <f>(O35*1000)/(N35)</f>
        <v>#N/A</v>
      </c>
      <c r="Q35" s="220" t="s">
        <v>166</v>
      </c>
      <c r="R35" s="225">
        <f>K40+K41+K43+K44+K45+K46+K47+K48+K49+K50</f>
        <v>2702.5795361816276</v>
      </c>
      <c r="S35" s="222" t="e">
        <f>L40+L41+L43+L44+L45+L46+L47+L48+L49+L50+L51</f>
        <v>#N/A</v>
      </c>
      <c r="T35" s="226" t="e">
        <f>S35*1000/R35</f>
        <v>#N/A</v>
      </c>
    </row>
    <row r="36" spans="1:20">
      <c r="H36" s="215" t="s">
        <v>110</v>
      </c>
      <c r="K36" s="220">
        <v>48.207901788362555</v>
      </c>
      <c r="L36" s="221" t="e">
        <f>#N/A</f>
        <v>#N/A</v>
      </c>
    </row>
    <row r="37" spans="1:20">
      <c r="H37" s="217" t="s">
        <v>111</v>
      </c>
      <c r="K37" s="220">
        <v>355.88774555526476</v>
      </c>
      <c r="L37" s="221" t="e">
        <f>#N/A</f>
        <v>#N/A</v>
      </c>
    </row>
    <row r="38" spans="1:20">
      <c r="H38" s="217" t="s">
        <v>134</v>
      </c>
      <c r="K38" s="220">
        <v>95.301755426153704</v>
      </c>
      <c r="L38" s="221" t="e">
        <f>#N/A</f>
        <v>#N/A</v>
      </c>
    </row>
    <row r="39" spans="1:20">
      <c r="H39" s="217" t="s">
        <v>112</v>
      </c>
      <c r="K39" s="220">
        <v>264.43452010381225</v>
      </c>
      <c r="L39" s="221" t="e">
        <f>#N/A</f>
        <v>#N/A</v>
      </c>
    </row>
    <row r="40" spans="1:20">
      <c r="H40" s="217" t="s">
        <v>114</v>
      </c>
      <c r="K40" s="220">
        <v>486.83904179970341</v>
      </c>
      <c r="L40" s="221" t="e">
        <f>#N/A</f>
        <v>#N/A</v>
      </c>
    </row>
    <row r="41" spans="1:20">
      <c r="H41" s="215" t="s">
        <v>115</v>
      </c>
      <c r="K41" s="220">
        <v>270.61242348425367</v>
      </c>
      <c r="L41" s="221" t="e">
        <f>#N/A</f>
        <v>#N/A</v>
      </c>
    </row>
    <row r="42" spans="1:20">
      <c r="H42" s="217" t="s">
        <v>113</v>
      </c>
      <c r="K42" s="220">
        <v>326.21355390822646</v>
      </c>
      <c r="L42" s="221" t="e">
        <f>#N/A</f>
        <v>#N/A</v>
      </c>
    </row>
    <row r="43" spans="1:20">
      <c r="F43" s="169"/>
      <c r="H43" s="217" t="s">
        <v>116</v>
      </c>
      <c r="K43" s="220">
        <v>32.104842157375899</v>
      </c>
      <c r="L43" s="221" t="e">
        <f>#N/A</f>
        <v>#N/A</v>
      </c>
    </row>
    <row r="44" spans="1:20">
      <c r="H44" s="217" t="s">
        <v>117</v>
      </c>
      <c r="K44" s="220">
        <v>73.729732146907423</v>
      </c>
      <c r="L44" s="221" t="e">
        <f>#N/A</f>
        <v>#N/A</v>
      </c>
    </row>
    <row r="45" spans="1:20">
      <c r="H45" s="215" t="s">
        <v>118</v>
      </c>
      <c r="K45" s="220">
        <v>299.47639829451282</v>
      </c>
      <c r="L45" s="221" t="e">
        <f>#N/A</f>
        <v>#N/A</v>
      </c>
    </row>
    <row r="46" spans="1:20">
      <c r="H46" s="217" t="s">
        <v>119</v>
      </c>
      <c r="K46" s="220">
        <v>29.978022960830494</v>
      </c>
      <c r="L46" s="221" t="e">
        <f>#N/A</f>
        <v>#N/A</v>
      </c>
    </row>
    <row r="47" spans="1:20">
      <c r="A47" s="213"/>
      <c r="B47" s="213"/>
      <c r="C47" s="214"/>
      <c r="D47" s="213"/>
      <c r="H47" s="215" t="s">
        <v>120</v>
      </c>
      <c r="K47" s="220">
        <v>481.67390946523597</v>
      </c>
      <c r="L47" s="221" t="e">
        <f>#N/A</f>
        <v>#N/A</v>
      </c>
    </row>
    <row r="48" spans="1:20">
      <c r="A48" s="213"/>
      <c r="B48" s="213"/>
      <c r="C48" s="213">
        <f>F24/F8*100</f>
        <v>17.382940727228878</v>
      </c>
      <c r="D48" s="213"/>
      <c r="H48" s="215" t="s">
        <v>121</v>
      </c>
      <c r="K48" s="220">
        <v>513.27236609962483</v>
      </c>
      <c r="L48" s="221" t="e">
        <f>#N/A</f>
        <v>#N/A</v>
      </c>
    </row>
    <row r="49" spans="1:12">
      <c r="A49" s="213"/>
      <c r="B49" s="213"/>
      <c r="C49" s="213">
        <f>F16/F8*100</f>
        <v>15.280343153111591</v>
      </c>
      <c r="D49" s="213"/>
      <c r="H49" s="215" t="s">
        <v>122</v>
      </c>
      <c r="K49" s="220">
        <v>159.9165481592951</v>
      </c>
      <c r="L49" s="221" t="e">
        <f>#N/A</f>
        <v>#N/A</v>
      </c>
    </row>
    <row r="50" spans="1:12">
      <c r="A50" s="213"/>
      <c r="B50" s="213"/>
      <c r="C50" s="213">
        <f>F18/F8*100</f>
        <v>15.046253318505725</v>
      </c>
      <c r="D50" s="213"/>
      <c r="H50" s="215" t="s">
        <v>123</v>
      </c>
      <c r="K50" s="220">
        <v>354.97625161388817</v>
      </c>
      <c r="L50" s="221" t="e">
        <f>#N/A</f>
        <v>#N/A</v>
      </c>
    </row>
    <row r="51" spans="1:12">
      <c r="A51" s="213"/>
      <c r="B51" s="213"/>
      <c r="C51" s="214">
        <f>F13/F8*100</f>
        <v>7.913116878393871</v>
      </c>
      <c r="D51" s="213"/>
      <c r="H51" s="217" t="s">
        <v>124</v>
      </c>
      <c r="L51" s="221" t="e">
        <f>#N/A</f>
        <v>#N/A</v>
      </c>
    </row>
    <row r="52" spans="1:12">
      <c r="A52" s="213"/>
      <c r="B52" s="213"/>
      <c r="C52" s="214">
        <f>F15/F8*100</f>
        <v>8.0170504680839656</v>
      </c>
      <c r="D52" s="213"/>
    </row>
    <row r="53" spans="1:12">
      <c r="A53" s="213"/>
      <c r="B53" s="213"/>
      <c r="C53" s="214"/>
      <c r="D53" s="213"/>
    </row>
    <row r="54" spans="1:12">
      <c r="A54" s="213"/>
      <c r="B54" s="213">
        <f>((B58+B59+B56+B57+B55)/F8)*100</f>
        <v>0.12181036722306679</v>
      </c>
      <c r="C54" s="214"/>
      <c r="D54" s="213"/>
    </row>
    <row r="55" spans="1:12">
      <c r="A55" s="215" t="s">
        <v>121</v>
      </c>
      <c r="B55" s="216">
        <f>F24/$F$8*100</f>
        <v>17.382940727228878</v>
      </c>
      <c r="C55" s="214"/>
      <c r="D55" s="213"/>
    </row>
    <row r="56" spans="1:12">
      <c r="A56" s="217" t="s">
        <v>114</v>
      </c>
      <c r="B56" s="216">
        <f>F16/$F$8*100</f>
        <v>15.280343153111591</v>
      </c>
      <c r="C56" s="214"/>
      <c r="D56" s="213"/>
    </row>
    <row r="57" spans="1:12">
      <c r="A57" s="217" t="s">
        <v>113</v>
      </c>
      <c r="B57" s="216">
        <f>F18/$F$8*100</f>
        <v>15.046253318505725</v>
      </c>
      <c r="C57" s="214"/>
      <c r="D57" s="213"/>
    </row>
    <row r="58" spans="1:12">
      <c r="A58" s="217" t="s">
        <v>111</v>
      </c>
      <c r="B58" s="216">
        <f>F13/$F$8*100</f>
        <v>7.913116878393871</v>
      </c>
      <c r="C58" s="214"/>
      <c r="D58" s="213"/>
      <c r="H58" s="220" t="s">
        <v>153</v>
      </c>
      <c r="I58" s="222">
        <f>B8+C8+D8+E8+F8</f>
        <v>268233.30000000005</v>
      </c>
    </row>
    <row r="59" spans="1:12">
      <c r="A59" s="217" t="s">
        <v>112</v>
      </c>
      <c r="B59" s="216">
        <f>F15/$F$8*100</f>
        <v>8.0170504680839656</v>
      </c>
      <c r="C59" s="214"/>
      <c r="D59" s="213"/>
      <c r="H59" s="220" t="s">
        <v>162</v>
      </c>
      <c r="I59" s="226">
        <f>B9+B10+B11+C9+C10+C11+D9+D10+D11+E9+E10+E11+F9+F10+F11</f>
        <v>9364.2000000000007</v>
      </c>
      <c r="J59" s="227">
        <f>I59/$I$58</f>
        <v>3.491065426999556E-2</v>
      </c>
      <c r="K59" s="227">
        <f>100%-J59</f>
        <v>0.96508934573000449</v>
      </c>
    </row>
    <row r="60" spans="1:12">
      <c r="A60" s="213"/>
      <c r="B60" s="213"/>
      <c r="C60" s="214"/>
      <c r="D60" s="213"/>
      <c r="H60" s="220" t="s">
        <v>163</v>
      </c>
      <c r="I60" s="226">
        <f>B12+B13+B15+C12+C13+C15+D12+D13+D15+E12+E13+E15+F12+F13+F15</f>
        <v>48374.7</v>
      </c>
      <c r="J60" s="227">
        <f>I60/$I$58</f>
        <v>0.18034561704307403</v>
      </c>
      <c r="K60" s="227">
        <f>100%-J60</f>
        <v>0.81965438295692594</v>
      </c>
    </row>
    <row r="61" spans="1:12">
      <c r="A61" s="213"/>
      <c r="B61" s="213"/>
      <c r="C61" s="214"/>
      <c r="D61" s="213"/>
      <c r="H61" s="220" t="s">
        <v>164</v>
      </c>
      <c r="I61" s="226">
        <f>B14+B16+B17+B18+B19+B20+B21+B22+B23+B24+B25+B26+B27+C14+C16+C17+C18+C19+C20+C21+C22+C23+C24+C25+C26+C27+D14+D16+D17+D18+D20+D19+D21+D22+D23+D24+D25+D26+D27+E14+E16+E17+E18+E19+E20+E21+E22+E23+E24+E25+E26+E27+F14+F16+F17+F18+F19+F20+F21+F22+F23+F24+F25+F26+F27</f>
        <v>210494.40000000005</v>
      </c>
      <c r="J61" s="227">
        <f>I61/$I$58</f>
        <v>0.78474372868693043</v>
      </c>
      <c r="K61" s="227">
        <f>100%-J61</f>
        <v>0.21525627131306957</v>
      </c>
    </row>
    <row r="62" spans="1:12">
      <c r="A62" s="213"/>
      <c r="B62" s="213"/>
      <c r="C62" s="214"/>
      <c r="D62" s="213"/>
    </row>
  </sheetData>
  <mergeCells count="3">
    <mergeCell ref="B7:F7"/>
    <mergeCell ref="N30:P30"/>
    <mergeCell ref="B6:F6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2"/>
  <sheetViews>
    <sheetView showGridLines="0" topLeftCell="A4" zoomScaleNormal="100" workbookViewId="0">
      <selection activeCell="G11" sqref="G11"/>
    </sheetView>
  </sheetViews>
  <sheetFormatPr baseColWidth="10" defaultColWidth="11.44140625" defaultRowHeight="10.199999999999999"/>
  <cols>
    <col min="1" max="1" width="48.5546875" style="13" customWidth="1"/>
    <col min="2" max="6" width="9.33203125" style="13" customWidth="1"/>
    <col min="7" max="16384" width="11.44140625" style="13"/>
  </cols>
  <sheetData>
    <row r="1" spans="1:9" ht="15.9" customHeight="1">
      <c r="A1" s="124" t="s">
        <v>215</v>
      </c>
    </row>
    <row r="2" spans="1:9" ht="15" customHeight="1">
      <c r="A2" s="124" t="s">
        <v>216</v>
      </c>
    </row>
    <row r="3" spans="1:9" ht="15" customHeight="1">
      <c r="A3" s="87"/>
      <c r="F3" s="7" t="s">
        <v>138</v>
      </c>
    </row>
    <row r="4" spans="1:9" ht="15.9" customHeight="1">
      <c r="A4" s="151" t="s">
        <v>143</v>
      </c>
      <c r="B4" s="152">
        <v>2018</v>
      </c>
      <c r="C4" s="152">
        <v>2019</v>
      </c>
      <c r="D4" s="152">
        <v>2020</v>
      </c>
      <c r="E4" s="152">
        <v>2021</v>
      </c>
      <c r="F4" s="152">
        <v>2022</v>
      </c>
    </row>
    <row r="5" spans="1:9" ht="5.0999999999999996" customHeight="1">
      <c r="A5" s="1"/>
      <c r="B5" s="354"/>
      <c r="C5" s="354"/>
      <c r="D5" s="354"/>
      <c r="E5" s="354"/>
      <c r="F5" s="354"/>
    </row>
    <row r="6" spans="1:9" ht="19.5" customHeight="1">
      <c r="A6" s="183" t="s">
        <v>2</v>
      </c>
      <c r="B6" s="185">
        <v>2.247948540862339</v>
      </c>
      <c r="C6" s="185">
        <f>'5.4'!C8/'5.4'!B8*100-100</f>
        <v>-0.16308722360663808</v>
      </c>
      <c r="D6" s="185">
        <f>'5.4'!D8/'5.4'!C8*100-100</f>
        <v>-10.94908460488621</v>
      </c>
      <c r="E6" s="185">
        <f>'5.4'!E8/'5.4'!D8*100-100</f>
        <v>1.2536934250131395</v>
      </c>
      <c r="F6" s="185">
        <f>'5.4'!F8/'5.4'!E8*100-100</f>
        <v>1.7748539948338191</v>
      </c>
      <c r="G6" s="47"/>
      <c r="H6" s="48"/>
      <c r="I6" s="14"/>
    </row>
    <row r="7" spans="1:9" ht="19.5" customHeight="1">
      <c r="A7" s="15" t="s">
        <v>107</v>
      </c>
      <c r="B7" s="12">
        <v>2.6313262268318454</v>
      </c>
      <c r="C7" s="12">
        <f>'5.4'!C9/'5.4'!B9*100-100</f>
        <v>-10.933844858238984</v>
      </c>
      <c r="D7" s="12">
        <f>'5.4'!D9/'5.4'!C9*100-100</f>
        <v>-23.485843357671911</v>
      </c>
      <c r="E7" s="12">
        <f>'5.4'!E9/'5.4'!D9*100-100</f>
        <v>-13.332417959632011</v>
      </c>
      <c r="F7" s="12">
        <f>'5.4'!F9/'5.4'!E9*100-100</f>
        <v>-5.3073510773130437</v>
      </c>
      <c r="G7" s="49"/>
      <c r="H7" s="48"/>
      <c r="I7" s="14"/>
    </row>
    <row r="8" spans="1:9" ht="19.5" customHeight="1">
      <c r="A8" s="17" t="s">
        <v>108</v>
      </c>
      <c r="B8" s="12">
        <v>3.8408775390971215</v>
      </c>
      <c r="C8" s="12">
        <f>'5.4'!C10/'5.4'!B10*100-100</f>
        <v>-11.717495987158898</v>
      </c>
      <c r="D8" s="12">
        <f>'5.4'!D10/'5.4'!C10*100-100</f>
        <v>-3.4545454545454533</v>
      </c>
      <c r="E8" s="12">
        <f>'5.4'!E10/'5.4'!D10*100-100</f>
        <v>-8.286252354048969</v>
      </c>
      <c r="F8" s="12">
        <f>'5.4'!F10/'5.4'!E10*100-100</f>
        <v>-25.872689938398366</v>
      </c>
      <c r="G8" s="49"/>
      <c r="H8" s="48"/>
      <c r="I8" s="14"/>
    </row>
    <row r="9" spans="1:9" ht="19.5" customHeight="1">
      <c r="A9" s="15" t="s">
        <v>109</v>
      </c>
      <c r="B9" s="12">
        <v>-3.505514069210605</v>
      </c>
      <c r="C9" s="12">
        <f>'5.4'!C11/'5.4'!B11*100-100</f>
        <v>-14.466344365935285</v>
      </c>
      <c r="D9" s="12">
        <f>'5.4'!D11/'5.4'!C11*100-100</f>
        <v>0.7391304347825951</v>
      </c>
      <c r="E9" s="12">
        <f>'5.4'!E11/'5.4'!D11*100-100</f>
        <v>-1.1652999568407409</v>
      </c>
      <c r="F9" s="12">
        <f>'5.4'!F11/'5.4'!E11*100-100</f>
        <v>-15.327510917030565</v>
      </c>
      <c r="G9" s="49"/>
      <c r="H9" s="48"/>
      <c r="I9" s="14"/>
    </row>
    <row r="10" spans="1:9" ht="19.5" customHeight="1">
      <c r="A10" s="17" t="s">
        <v>110</v>
      </c>
      <c r="B10" s="12">
        <v>-43.741813637751427</v>
      </c>
      <c r="C10" s="12">
        <f>'5.4'!C12/'5.4'!B12*100-100</f>
        <v>31.461391193363141</v>
      </c>
      <c r="D10" s="12">
        <f>'5.4'!D12/'5.4'!C12*100-100</f>
        <v>-10.970873786407765</v>
      </c>
      <c r="E10" s="12">
        <f>'5.4'!E12/'5.4'!D12*100-100</f>
        <v>-31.842966194111227</v>
      </c>
      <c r="F10" s="12">
        <f>'5.4'!F12/'5.4'!E12*100-100</f>
        <v>-33.599999999999994</v>
      </c>
      <c r="G10" s="49"/>
      <c r="H10" s="48"/>
      <c r="I10" s="14"/>
    </row>
    <row r="11" spans="1:9" ht="19.5" customHeight="1">
      <c r="A11" s="15" t="s">
        <v>111</v>
      </c>
      <c r="B11" s="12">
        <v>0.9262546891643666</v>
      </c>
      <c r="C11" s="12">
        <f>'5.4'!C13/'5.4'!B13*100-100</f>
        <v>-7.000933049849337</v>
      </c>
      <c r="D11" s="12">
        <f>'5.4'!D13/'5.4'!C13*100-100</f>
        <v>-14.68585526315789</v>
      </c>
      <c r="E11" s="12">
        <f>'5.4'!E13/'5.4'!D13*100-100</f>
        <v>-15.205027857569746</v>
      </c>
      <c r="F11" s="12">
        <f>'5.4'!F13/'5.4'!E13*100-100</f>
        <v>-6.0067297198981464</v>
      </c>
      <c r="G11" s="49"/>
      <c r="H11" s="48"/>
      <c r="I11" s="14"/>
    </row>
    <row r="12" spans="1:9" ht="19.5" customHeight="1">
      <c r="A12" s="15" t="s">
        <v>134</v>
      </c>
      <c r="B12" s="12">
        <v>1.2071632169620585</v>
      </c>
      <c r="C12" s="12">
        <f>'5.4'!C14/'5.4'!B14*100-100</f>
        <v>-0.64712599923866776</v>
      </c>
      <c r="D12" s="12">
        <f>'5.4'!D14/'5.4'!C14*100-100</f>
        <v>-6.0025542784163548</v>
      </c>
      <c r="E12" s="12">
        <f>'5.4'!E14/'5.4'!D14*100-100</f>
        <v>-5.3396739130434696</v>
      </c>
      <c r="F12" s="12">
        <f>'5.4'!F14/'5.4'!E14*100-100</f>
        <v>-13.176403042916618</v>
      </c>
      <c r="G12" s="49"/>
      <c r="H12" s="48"/>
      <c r="I12" s="14"/>
    </row>
    <row r="13" spans="1:9" ht="19.5" customHeight="1">
      <c r="A13" s="15" t="s">
        <v>112</v>
      </c>
      <c r="B13" s="12">
        <v>9.2614241550411833</v>
      </c>
      <c r="C13" s="12">
        <f>'5.4'!C15/'5.4'!B15*100-100</f>
        <v>0.43273574587475139</v>
      </c>
      <c r="D13" s="12">
        <f>'5.4'!D15/'5.4'!C15*100-100</f>
        <v>0.50426136363637397</v>
      </c>
      <c r="E13" s="12">
        <f>'5.4'!E15/'5.4'!D15*100-100</f>
        <v>4.1057169104657021</v>
      </c>
      <c r="F13" s="12">
        <f>'5.4'!F15/'5.4'!E15*100-100</f>
        <v>-5.2289799981898852</v>
      </c>
      <c r="G13" s="49"/>
      <c r="H13" s="48"/>
      <c r="I13" s="14"/>
    </row>
    <row r="14" spans="1:9" ht="19.5" customHeight="1">
      <c r="A14" s="15" t="s">
        <v>114</v>
      </c>
      <c r="B14" s="12">
        <v>2.3976346886972664</v>
      </c>
      <c r="C14" s="12">
        <f>'5.4'!C16/'5.4'!B16*100-100</f>
        <v>-4.8454632389122452</v>
      </c>
      <c r="D14" s="12">
        <f>'5.4'!D16/'5.4'!C16*100-100</f>
        <v>-12.175822031417695</v>
      </c>
      <c r="E14" s="12">
        <f>'5.4'!E16/'5.4'!D16*100-100</f>
        <v>-6.7047360878114972</v>
      </c>
      <c r="F14" s="12">
        <f>'5.4'!F16/'5.4'!E16*100-100</f>
        <v>-4.9347432599790437</v>
      </c>
      <c r="G14" s="49"/>
      <c r="H14" s="48"/>
      <c r="I14" s="14"/>
    </row>
    <row r="15" spans="1:9" ht="19.5" customHeight="1">
      <c r="A15" s="17" t="s">
        <v>115</v>
      </c>
      <c r="B15" s="12">
        <v>-3.5789586944238891</v>
      </c>
      <c r="C15" s="12">
        <f>'5.4'!C17/'5.4'!B17*100-100</f>
        <v>3.2100150429616718</v>
      </c>
      <c r="D15" s="12">
        <f>'5.4'!D17/'5.4'!C17*100-100</f>
        <v>-24.46146245059289</v>
      </c>
      <c r="E15" s="12">
        <f>'5.4'!E17/'5.4'!D17*100-100</f>
        <v>5.2619530381319777</v>
      </c>
      <c r="F15" s="12">
        <f>'5.4'!F17/'5.4'!E17*100-100</f>
        <v>23.751825271072178</v>
      </c>
      <c r="G15" s="49"/>
      <c r="H15" s="48"/>
      <c r="I15" s="14"/>
    </row>
    <row r="16" spans="1:9" ht="19.5" customHeight="1">
      <c r="A16" s="15" t="s">
        <v>113</v>
      </c>
      <c r="B16" s="12">
        <v>6.389240321720564</v>
      </c>
      <c r="C16" s="12">
        <f>'5.4'!C18/'5.4'!B18*100-100</f>
        <v>2.0435047506133941</v>
      </c>
      <c r="D16" s="12">
        <f>'5.4'!D18/'5.4'!C18*100-100</f>
        <v>-4.7506858157172758</v>
      </c>
      <c r="E16" s="12">
        <f>'5.4'!E18/'5.4'!D18*100-100</f>
        <v>5.8618236031579158</v>
      </c>
      <c r="F16" s="12">
        <f>'5.4'!F18/'5.4'!E18*100-100</f>
        <v>25.802579777870235</v>
      </c>
      <c r="G16" s="49"/>
      <c r="H16" s="48"/>
      <c r="I16" s="14"/>
    </row>
    <row r="17" spans="1:9" ht="19.5" customHeight="1">
      <c r="A17" s="15" t="s">
        <v>116</v>
      </c>
      <c r="B17" s="12">
        <v>3.0295832485200123</v>
      </c>
      <c r="C17" s="12">
        <f>'5.4'!C19/'5.4'!B19*100-100</f>
        <v>-0.57995028997514453</v>
      </c>
      <c r="D17" s="12">
        <f>'5.4'!D19/'5.4'!C19*100-100</f>
        <v>-3.3125</v>
      </c>
      <c r="E17" s="12">
        <f>'5.4'!E19/'5.4'!D19*100-100</f>
        <v>-0.49558284852400902</v>
      </c>
      <c r="F17" s="12">
        <f>'5.4'!F19/'5.4'!E19*100-100</f>
        <v>-1.8261873827053705</v>
      </c>
      <c r="G17" s="49"/>
      <c r="H17" s="48"/>
      <c r="I17" s="14"/>
    </row>
    <row r="18" spans="1:9" ht="19.5" customHeight="1">
      <c r="A18" s="15" t="s">
        <v>125</v>
      </c>
      <c r="B18" s="12">
        <v>1.6000558322440241</v>
      </c>
      <c r="C18" s="12">
        <f>'5.4'!C20/'5.4'!B20*100-100</f>
        <v>1.2803841152345683</v>
      </c>
      <c r="D18" s="12">
        <f>'5.4'!D20/'5.4'!C20*100-100</f>
        <v>-1.0814814814814895</v>
      </c>
      <c r="E18" s="12">
        <f>'5.4'!E20/'5.4'!D20*100-100</f>
        <v>1.5026708601667593</v>
      </c>
      <c r="F18" s="12">
        <f>'5.4'!F20/'5.4'!E20*100-100</f>
        <v>4.8003147747393484</v>
      </c>
      <c r="G18" s="49"/>
      <c r="H18" s="48"/>
      <c r="I18" s="14"/>
    </row>
    <row r="19" spans="1:9" ht="19.5" customHeight="1">
      <c r="A19" s="17" t="s">
        <v>118</v>
      </c>
      <c r="B19" s="12">
        <v>0.12269528593316181</v>
      </c>
      <c r="C19" s="12">
        <f>'5.4'!C21/'5.4'!B21*100-100</f>
        <v>0.62235499128702543</v>
      </c>
      <c r="D19" s="12">
        <f>'5.4'!D21/'5.4'!C21*100-100</f>
        <v>-1.8208807521029087</v>
      </c>
      <c r="E19" s="12">
        <f>'5.4'!E21/'5.4'!D21*100-100</f>
        <v>3.0994859389174394</v>
      </c>
      <c r="F19" s="12">
        <f>'5.4'!F21/'5.4'!E21*100-100</f>
        <v>-3.9644131593097711</v>
      </c>
      <c r="G19" s="49"/>
      <c r="H19" s="48"/>
      <c r="I19" s="14"/>
    </row>
    <row r="20" spans="1:9" ht="19.5" customHeight="1">
      <c r="A20" s="15" t="s">
        <v>119</v>
      </c>
      <c r="B20" s="12">
        <v>4.6213592233009564</v>
      </c>
      <c r="C20" s="12">
        <f>'5.4'!C22/'5.4'!B22*100-100</f>
        <v>-2.3756495916852174</v>
      </c>
      <c r="D20" s="12">
        <f>'5.4'!D22/'5.4'!C22*100-100</f>
        <v>0.26615969581749255</v>
      </c>
      <c r="E20" s="12">
        <f>'5.4'!E22/'5.4'!D22*100-100</f>
        <v>4.2093287827076296</v>
      </c>
      <c r="F20" s="12">
        <f>'5.4'!F22/'5.4'!E22*100-100</f>
        <v>-4.5123726346433841</v>
      </c>
      <c r="G20" s="49"/>
      <c r="H20" s="48"/>
      <c r="I20" s="14"/>
    </row>
    <row r="21" spans="1:9" ht="19.5" customHeight="1">
      <c r="A21" s="17" t="s">
        <v>120</v>
      </c>
      <c r="B21" s="12">
        <v>-0.22706849098628368</v>
      </c>
      <c r="C21" s="12">
        <f>'5.4'!C23/'5.4'!B23*100-100</f>
        <v>8.7058329080491603E-2</v>
      </c>
      <c r="D21" s="12">
        <f>'5.4'!D23/'5.4'!C23*100-100</f>
        <v>-28.75524895020996</v>
      </c>
      <c r="E21" s="12">
        <f>'5.4'!E23/'5.4'!D23*100-100</f>
        <v>9.4009177788068712</v>
      </c>
      <c r="F21" s="12">
        <f>'5.4'!F23/'5.4'!E23*100-100</f>
        <v>52.716847533287165</v>
      </c>
      <c r="G21" s="49"/>
      <c r="H21" s="48"/>
      <c r="I21" s="14"/>
    </row>
    <row r="22" spans="1:9" ht="19.5" customHeight="1">
      <c r="A22" s="17" t="s">
        <v>121</v>
      </c>
      <c r="B22" s="12">
        <v>3.0284973065839011</v>
      </c>
      <c r="C22" s="12">
        <f>'5.4'!C24/'5.4'!B24*100-100</f>
        <v>7.9294028676252708</v>
      </c>
      <c r="D22" s="12">
        <f>'5.4'!D24/'5.4'!C24*100-100</f>
        <v>-9.7538111921219581</v>
      </c>
      <c r="E22" s="12">
        <f>'5.4'!E24/'5.4'!D24*100-100</f>
        <v>14.275671762372923</v>
      </c>
      <c r="F22" s="12">
        <f>'5.4'!F24/'5.4'!E24*100-100</f>
        <v>-16.616627645411555</v>
      </c>
      <c r="G22" s="49"/>
      <c r="H22" s="48"/>
      <c r="I22" s="14"/>
    </row>
    <row r="23" spans="1:9" ht="19.5" customHeight="1">
      <c r="A23" s="17" t="s">
        <v>122</v>
      </c>
      <c r="B23" s="12">
        <v>1.5071988108248604</v>
      </c>
      <c r="C23" s="12">
        <f>'5.4'!C25/'5.4'!B25*100-100</f>
        <v>1.8248734856617119</v>
      </c>
      <c r="D23" s="12">
        <f>'5.4'!D25/'5.4'!C25*100-100</f>
        <v>-8.5793172690763129</v>
      </c>
      <c r="E23" s="12">
        <f>'5.4'!E25/'5.4'!D25*100-100</f>
        <v>-0.93899291636921589</v>
      </c>
      <c r="F23" s="12">
        <f>'5.4'!F25/'5.4'!E25*100-100</f>
        <v>12.461197339246112</v>
      </c>
      <c r="G23" s="49"/>
      <c r="H23" s="48"/>
      <c r="I23" s="14"/>
    </row>
    <row r="24" spans="1:9" ht="19.5" customHeight="1">
      <c r="A24" s="17" t="s">
        <v>126</v>
      </c>
      <c r="B24" s="12">
        <v>1.6056991550535997</v>
      </c>
      <c r="C24" s="12">
        <f>'5.4'!C26/'5.4'!B26*100-100</f>
        <v>5.3577849694354711</v>
      </c>
      <c r="D24" s="12">
        <f>'5.4'!D26/'5.4'!C26*100-100</f>
        <v>-2.764505119453915</v>
      </c>
      <c r="E24" s="12">
        <f>'5.4'!E26/'5.4'!D26*100-100</f>
        <v>0.39780039780039544</v>
      </c>
      <c r="F24" s="12">
        <f>'5.4'!F26/'5.4'!E26*100-100</f>
        <v>-3.4960960261041834</v>
      </c>
      <c r="G24" s="49"/>
      <c r="H24" s="48"/>
      <c r="I24" s="14"/>
    </row>
    <row r="25" spans="1:9" ht="19.5" customHeight="1">
      <c r="A25" s="18" t="s">
        <v>124</v>
      </c>
      <c r="B25" s="12">
        <v>4.5095732780248312</v>
      </c>
      <c r="C25" s="12">
        <f>'5.4'!C27/'5.4'!B27*100-100</f>
        <v>-6.0502769492969719</v>
      </c>
      <c r="D25" s="12">
        <f>'5.4'!D27/'5.4'!C27*100-100</f>
        <v>-5.1700680272108883</v>
      </c>
      <c r="E25" s="12">
        <f>'5.4'!E27/'5.4'!D27*100-100</f>
        <v>-4.8780487804878021</v>
      </c>
      <c r="F25" s="12">
        <f>'5.4'!F27/'5.4'!E27*100-100</f>
        <v>-10.35696329813976</v>
      </c>
      <c r="G25" s="50"/>
      <c r="H25" s="48"/>
      <c r="I25" s="14"/>
    </row>
    <row r="26" spans="1:9" ht="10.8" thickBot="1">
      <c r="A26" s="153"/>
      <c r="B26" s="153"/>
      <c r="C26" s="153"/>
      <c r="D26" s="153"/>
      <c r="E26" s="153"/>
      <c r="F26" s="153"/>
    </row>
    <row r="27" spans="1:9" ht="11.4">
      <c r="A27" s="294"/>
    </row>
    <row r="42" spans="6:6">
      <c r="F42" s="220">
        <v>18.5</v>
      </c>
    </row>
  </sheetData>
  <mergeCells count="1">
    <mergeCell ref="B5:F5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55"/>
  <sheetViews>
    <sheetView showGridLines="0" topLeftCell="A31" zoomScaleNormal="100" workbookViewId="0">
      <selection activeCell="H13" sqref="H13"/>
    </sheetView>
  </sheetViews>
  <sheetFormatPr baseColWidth="10" defaultColWidth="11.44140625" defaultRowHeight="13.2"/>
  <cols>
    <col min="1" max="1" width="48.5546875" style="72" customWidth="1"/>
    <col min="2" max="6" width="9.33203125" style="72" customWidth="1"/>
    <col min="7" max="16384" width="11.44140625" style="72"/>
  </cols>
  <sheetData>
    <row r="1" spans="1:9" ht="15" customHeight="1">
      <c r="A1" s="186" t="s">
        <v>199</v>
      </c>
      <c r="B1" s="13"/>
    </row>
    <row r="2" spans="1:9" ht="12" customHeight="1">
      <c r="A2" s="13"/>
      <c r="C2" s="7"/>
      <c r="F2" s="7" t="s">
        <v>76</v>
      </c>
    </row>
    <row r="3" spans="1:9" ht="15" customHeight="1">
      <c r="A3" s="151" t="s">
        <v>143</v>
      </c>
      <c r="B3" s="152">
        <v>2018</v>
      </c>
      <c r="C3" s="152">
        <v>2019</v>
      </c>
      <c r="D3" s="152">
        <v>2020</v>
      </c>
      <c r="E3" s="152">
        <v>2021</v>
      </c>
      <c r="F3" s="152">
        <v>2022</v>
      </c>
    </row>
    <row r="4" spans="1:9" ht="6" customHeight="1">
      <c r="A4" s="130"/>
      <c r="B4" s="131"/>
      <c r="C4" s="131"/>
      <c r="D4" s="131"/>
      <c r="E4" s="131"/>
      <c r="F4" s="131"/>
    </row>
    <row r="5" spans="1:9" ht="15" customHeight="1">
      <c r="A5" s="1"/>
      <c r="B5" s="355" t="s">
        <v>191</v>
      </c>
      <c r="C5" s="355"/>
      <c r="D5" s="355"/>
      <c r="E5" s="355"/>
      <c r="F5" s="355"/>
    </row>
    <row r="6" spans="1:9" ht="5.0999999999999996" customHeight="1">
      <c r="A6" s="1"/>
      <c r="B6" s="187"/>
      <c r="C6" s="187"/>
      <c r="D6" s="187"/>
      <c r="E6" s="187"/>
      <c r="F6" s="187"/>
    </row>
    <row r="7" spans="1:9" ht="14.1" customHeight="1">
      <c r="A7" s="183" t="s">
        <v>2</v>
      </c>
      <c r="B7" s="185">
        <v>101.03226933491921</v>
      </c>
      <c r="C7" s="185">
        <f>+('5.3'!C8/'5.3'!B8)/('5.4'!C8/'5.4'!B8)*100</f>
        <v>103.54474299448329</v>
      </c>
      <c r="D7" s="185">
        <f>+('5.3'!D8/'5.3'!C8)/('5.4'!D8/'5.4'!C8)*100</f>
        <v>116.55596261672245</v>
      </c>
      <c r="E7" s="185">
        <f>+('5.3'!E8/'5.3'!D8)/('5.4'!E8/'5.4'!D8)*100</f>
        <v>501.59119126365619</v>
      </c>
      <c r="F7" s="185">
        <f>+('5.3'!F8/'5.3'!E8)/('5.4'!F8/'5.4'!E8)*100</f>
        <v>114.1554019623172</v>
      </c>
      <c r="G7" s="74"/>
      <c r="H7" s="74"/>
      <c r="I7" s="74"/>
    </row>
    <row r="8" spans="1:9" ht="14.1" customHeight="1">
      <c r="A8" s="15" t="s">
        <v>107</v>
      </c>
      <c r="B8" s="12">
        <v>100.06691307195659</v>
      </c>
      <c r="C8" s="12">
        <f>+('5.3'!C9/'5.3'!B9)/('5.4'!C9/'5.4'!B9)*100</f>
        <v>109.81896147966523</v>
      </c>
      <c r="D8" s="12">
        <f>+('5.3'!D9/'5.3'!C9)/('5.4'!D9/'5.4'!C9)*100</f>
        <v>104.0337085789335</v>
      </c>
      <c r="E8" s="12">
        <f>+('5.3'!E9/'5.3'!D9)/('5.4'!E9/'5.4'!D9)*100</f>
        <v>182.98977857931456</v>
      </c>
      <c r="F8" s="12">
        <f>+('5.3'!F9/'5.3'!E9)/('5.4'!F9/'5.4'!E9)*100</f>
        <v>111.91873506510139</v>
      </c>
      <c r="G8" s="74"/>
      <c r="H8" s="74"/>
      <c r="I8" s="74"/>
    </row>
    <row r="9" spans="1:9" ht="14.1" customHeight="1">
      <c r="A9" s="17" t="s">
        <v>108</v>
      </c>
      <c r="B9" s="12">
        <v>102.36816417501578</v>
      </c>
      <c r="C9" s="12">
        <f>+('5.3'!C10/'5.3'!B10)/('5.4'!C10/'5.4'!B10)*100</f>
        <v>100.44541150443096</v>
      </c>
      <c r="D9" s="12">
        <f>+('5.3'!D10/'5.3'!C10)/('5.4'!D10/'5.4'!C10)*100</f>
        <v>107.72128060263655</v>
      </c>
      <c r="E9" s="12">
        <f>+('5.3'!E10/'5.3'!D10)/('5.4'!E10/'5.4'!D10)*100</f>
        <v>269.76111336213108</v>
      </c>
      <c r="F9" s="12">
        <f>+('5.3'!F10/'5.3'!E10)/('5.4'!F10/'5.4'!E10)*100</f>
        <v>130.75428829272451</v>
      </c>
      <c r="G9" s="74"/>
      <c r="H9" s="74"/>
      <c r="I9" s="74"/>
    </row>
    <row r="10" spans="1:9" ht="14.1" customHeight="1">
      <c r="A10" s="15" t="s">
        <v>109</v>
      </c>
      <c r="B10" s="12">
        <v>102.59653600414813</v>
      </c>
      <c r="C10" s="12">
        <f>+('5.3'!C11/'5.3'!B11)/('5.4'!C11/'5.4'!B11)*100</f>
        <v>111.63882985909896</v>
      </c>
      <c r="D10" s="12">
        <f>+('5.3'!D11/'5.3'!C11)/('5.4'!D11/'5.4'!C11)*100</f>
        <v>100.0427942745093</v>
      </c>
      <c r="E10" s="12">
        <f>+('5.3'!E11/'5.3'!D11)/('5.4'!E11/'5.4'!D11)*100</f>
        <v>2064.3113453757314</v>
      </c>
      <c r="F10" s="12">
        <f>+('5.3'!F11/'5.3'!E11)/('5.4'!F11/'5.4'!E11)*100</f>
        <v>144.20239157578433</v>
      </c>
      <c r="G10" s="74"/>
      <c r="H10" s="74"/>
      <c r="I10" s="74"/>
    </row>
    <row r="11" spans="1:9" ht="14.1" customHeight="1">
      <c r="A11" s="17" t="s">
        <v>110</v>
      </c>
      <c r="B11" s="12">
        <v>68.078980992001519</v>
      </c>
      <c r="C11" s="12">
        <f>+('5.3'!C12/'5.3'!B12)/('5.4'!C12/'5.4'!B12)*100</f>
        <v>185.8142246604971</v>
      </c>
      <c r="D11" s="12">
        <f>+('5.3'!D12/'5.3'!C12)/('5.4'!D12/'5.4'!C12)*100</f>
        <v>103.4066024508608</v>
      </c>
      <c r="E11" s="12">
        <f>+('5.3'!E12/'5.3'!D12)/('5.4'!E12/'5.4'!D12)*100</f>
        <v>471.21798858146684</v>
      </c>
      <c r="F11" s="12">
        <f>+('5.3'!F12/'5.3'!E12)/('5.4'!F12/'5.4'!E12)*100</f>
        <v>210.29008691679061</v>
      </c>
      <c r="G11" s="74"/>
      <c r="H11" s="74"/>
      <c r="I11" s="74"/>
    </row>
    <row r="12" spans="1:9" ht="14.1" customHeight="1">
      <c r="A12" s="15" t="s">
        <v>111</v>
      </c>
      <c r="B12" s="12">
        <v>100.96480872478088</v>
      </c>
      <c r="C12" s="12">
        <f>+('5.3'!C13/'5.3'!B13)/('5.4'!C13/'5.4'!B13)*100</f>
        <v>104.51609449946</v>
      </c>
      <c r="D12" s="12">
        <f>+('5.3'!D13/'5.3'!C13)/('5.4'!D13/'5.4'!C13)*100</f>
        <v>109.23579958543175</v>
      </c>
      <c r="E12" s="12">
        <f>+('5.3'!E13/'5.3'!D13)/('5.4'!E13/'5.4'!D13)*100</f>
        <v>574.67924901636957</v>
      </c>
      <c r="F12" s="12">
        <f>+('5.3'!F13/'5.3'!E13)/('5.4'!F13/'5.4'!E13)*100</f>
        <v>125.04651713222528</v>
      </c>
      <c r="G12" s="74"/>
      <c r="H12" s="74"/>
      <c r="I12" s="74"/>
    </row>
    <row r="13" spans="1:9" ht="14.1" customHeight="1">
      <c r="A13" s="15" t="s">
        <v>134</v>
      </c>
      <c r="B13" s="12">
        <v>102.26548863752132</v>
      </c>
      <c r="C13" s="12">
        <f>+('5.3'!C14/'5.3'!B14)/('5.4'!C14/'5.4'!B14)*100</f>
        <v>106.77841630995415</v>
      </c>
      <c r="D13" s="12">
        <f>+('5.3'!D14/'5.3'!C14)/('5.4'!D14/'5.4'!C14)*100</f>
        <v>91.796180638962284</v>
      </c>
      <c r="E13" s="12">
        <f>+('5.3'!E14/'5.3'!D14)/('5.4'!E14/'5.4'!D14)*100</f>
        <v>274.68432162387791</v>
      </c>
      <c r="F13" s="12">
        <f>+('5.3'!F14/'5.3'!E14)/('5.4'!F14/'5.4'!E14)*100</f>
        <v>122.32650773851495</v>
      </c>
      <c r="G13" s="74"/>
      <c r="H13" s="74"/>
      <c r="I13" s="74"/>
    </row>
    <row r="14" spans="1:9" ht="14.1" customHeight="1">
      <c r="A14" s="15" t="s">
        <v>112</v>
      </c>
      <c r="B14" s="12">
        <v>107.72328926720243</v>
      </c>
      <c r="C14" s="12">
        <f>+('5.3'!C15/'5.3'!B15)/('5.4'!C15/'5.4'!B15)*100</f>
        <v>102.95915362926303</v>
      </c>
      <c r="D14" s="12">
        <f>+('5.3'!D15/'5.3'!C15)/('5.4'!D15/'5.4'!C15)*100</f>
        <v>103.57806187089</v>
      </c>
      <c r="E14" s="12">
        <f>+('5.3'!E15/'5.3'!D15)/('5.4'!E15/'5.4'!D15)*100</f>
        <v>501.93337289912137</v>
      </c>
      <c r="F14" s="12">
        <f>+('5.3'!F15/'5.3'!E15)/('5.4'!F15/'5.4'!E15)*100</f>
        <v>124.84032341598663</v>
      </c>
      <c r="G14" s="74"/>
      <c r="H14" s="74"/>
      <c r="I14" s="74"/>
    </row>
    <row r="15" spans="1:9" ht="14.1" customHeight="1">
      <c r="A15" s="15" t="s">
        <v>114</v>
      </c>
      <c r="B15" s="12">
        <v>100.69392746567141</v>
      </c>
      <c r="C15" s="12">
        <f>+('5.3'!C16/'5.3'!B16)/('5.4'!C16/'5.4'!B16)*100</f>
        <v>102.03456326070616</v>
      </c>
      <c r="D15" s="12">
        <f>+('5.3'!D16/'5.3'!C16)/('5.4'!D16/'5.4'!C16)*100</f>
        <v>103.76746899278659</v>
      </c>
      <c r="E15" s="12">
        <f>+('5.3'!E16/'5.3'!D16)/('5.4'!E16/'5.4'!D16)*100</f>
        <v>620.51280408598245</v>
      </c>
      <c r="F15" s="12">
        <f>+('5.3'!F16/'5.3'!E16)/('5.4'!F16/'5.4'!E16)*100</f>
        <v>123.13095256854767</v>
      </c>
      <c r="G15" s="74"/>
      <c r="H15" s="74"/>
      <c r="I15" s="74"/>
    </row>
    <row r="16" spans="1:9" ht="14.1" customHeight="1">
      <c r="A16" s="17" t="s">
        <v>115</v>
      </c>
      <c r="B16" s="12">
        <v>100.86926065655122</v>
      </c>
      <c r="C16" s="12">
        <f>+('5.3'!C17/'5.3'!B17)/('5.4'!C17/'5.4'!B17)*100</f>
        <v>102.91824596186368</v>
      </c>
      <c r="D16" s="12">
        <f>+('5.3'!D17/'5.3'!C17)/('5.4'!D17/'5.4'!C17)*100</f>
        <v>105.79961870432145</v>
      </c>
      <c r="E16" s="12">
        <f>+('5.3'!E17/'5.3'!D17)/('5.4'!E17/'5.4'!D17)*100</f>
        <v>289.56141933672029</v>
      </c>
      <c r="F16" s="12">
        <f>+('5.3'!F17/'5.3'!E17)/('5.4'!F17/'5.4'!E17)*100</f>
        <v>164.15382931025292</v>
      </c>
      <c r="G16" s="74"/>
      <c r="H16" s="74"/>
      <c r="I16" s="74"/>
    </row>
    <row r="17" spans="1:9" ht="14.1" customHeight="1">
      <c r="A17" s="15" t="s">
        <v>113</v>
      </c>
      <c r="B17" s="12">
        <v>95.968351396485275</v>
      </c>
      <c r="C17" s="12">
        <f>+('5.3'!C18/'5.3'!B18)/('5.4'!C18/'5.4'!B18)*100</f>
        <v>94.455964803745957</v>
      </c>
      <c r="D17" s="12">
        <f>+('5.3'!D18/'5.3'!C18)/('5.4'!D18/'5.4'!C18)*100</f>
        <v>88.162272718508106</v>
      </c>
      <c r="E17" s="12">
        <f>+('5.3'!E18/'5.3'!D18)/('5.4'!E18/'5.4'!D18)*100</f>
        <v>754.98013660684228</v>
      </c>
      <c r="F17" s="12">
        <f>+('5.3'!F18/'5.3'!E18)/('5.4'!F18/'5.4'!E18)*100</f>
        <v>109.16257231727884</v>
      </c>
      <c r="G17" s="74"/>
      <c r="H17" s="74"/>
      <c r="I17" s="74"/>
    </row>
    <row r="18" spans="1:9" ht="14.1" customHeight="1">
      <c r="A18" s="15" t="s">
        <v>116</v>
      </c>
      <c r="B18" s="12">
        <v>99.971286646429846</v>
      </c>
      <c r="C18" s="12">
        <f>+('5.3'!C19/'5.3'!B19)/('5.4'!C19/'5.4'!B19)*100</f>
        <v>103.08058955958914</v>
      </c>
      <c r="D18" s="12">
        <f>+('5.3'!D19/'5.3'!C19)/('5.4'!D19/'5.4'!C19)*100</f>
        <v>102.49597691477999</v>
      </c>
      <c r="E18" s="12">
        <f>+('5.3'!E19/'5.3'!D19)/('5.4'!E19/'5.4'!D19)*100</f>
        <v>304.79604303548928</v>
      </c>
      <c r="F18" s="12">
        <f>+('5.3'!F19/'5.3'!E19)/('5.4'!F19/'5.4'!E19)*100</f>
        <v>107.25213227820628</v>
      </c>
      <c r="G18" s="74"/>
      <c r="H18" s="74"/>
      <c r="I18" s="74"/>
    </row>
    <row r="19" spans="1:9" ht="14.1" customHeight="1">
      <c r="A19" s="15" t="s">
        <v>125</v>
      </c>
      <c r="B19" s="12">
        <v>100.49207076084825</v>
      </c>
      <c r="C19" s="12">
        <f>+('5.3'!C20/'5.3'!B20)/('5.4'!C20/'5.4'!B20)*100</f>
        <v>108.84726090131673</v>
      </c>
      <c r="D19" s="12">
        <f>+('5.3'!D20/'5.3'!C20)/('5.4'!D20/'5.4'!C20)*100</f>
        <v>100.38406438606549</v>
      </c>
      <c r="E19" s="12">
        <f>+('5.3'!E20/'5.3'!D20)/('5.4'!E20/'5.4'!D20)*100</f>
        <v>405.59285563329001</v>
      </c>
      <c r="F19" s="12">
        <f>+('5.3'!F20/'5.3'!E20)/('5.4'!F20/'5.4'!E20)*100</f>
        <v>108.77834811289031</v>
      </c>
      <c r="G19" s="74"/>
      <c r="H19" s="74"/>
      <c r="I19" s="74"/>
    </row>
    <row r="20" spans="1:9" ht="14.1" customHeight="1">
      <c r="A20" s="17" t="s">
        <v>118</v>
      </c>
      <c r="B20" s="73">
        <v>103.87255327375469</v>
      </c>
      <c r="C20" s="73">
        <f>+('5.3'!C21/'5.3'!B21)/('5.4'!C21/'5.4'!B21)*100</f>
        <v>111.53191957654369</v>
      </c>
      <c r="D20" s="73">
        <f>+('5.3'!D21/'5.3'!C21)/('5.4'!D21/'5.4'!C21)*100</f>
        <v>119.70339223618187</v>
      </c>
      <c r="E20" s="73">
        <f>+('5.3'!E21/'5.3'!D21)/('5.4'!E21/'5.4'!D21)*100</f>
        <v>406.24726249761613</v>
      </c>
      <c r="F20" s="73">
        <f>+('5.3'!F21/'5.3'!E21)/('5.4'!F21/'5.4'!E21)*100</f>
        <v>108.01691004683983</v>
      </c>
      <c r="G20" s="74"/>
      <c r="H20" s="74"/>
      <c r="I20" s="74"/>
    </row>
    <row r="21" spans="1:9" ht="14.1" customHeight="1">
      <c r="A21" s="15" t="s">
        <v>119</v>
      </c>
      <c r="B21" s="73">
        <v>104.85430586488494</v>
      </c>
      <c r="C21" s="73">
        <f>+('5.3'!C22/'5.3'!B22)/('5.4'!C22/'5.4'!B22)*100</f>
        <v>122.69541233857639</v>
      </c>
      <c r="D21" s="73">
        <f>+('5.3'!D22/'5.3'!C22)/('5.4'!D22/'5.4'!C22)*100</f>
        <v>100.25264837551526</v>
      </c>
      <c r="E21" s="73">
        <f>+('5.3'!E22/'5.3'!D22)/('5.4'!E22/'5.4'!D22)*100</f>
        <v>279.10429572458611</v>
      </c>
      <c r="F21" s="73">
        <f>+('5.3'!F22/'5.3'!E22)/('5.4'!F22/'5.4'!E22)*100</f>
        <v>114.08541460814399</v>
      </c>
      <c r="G21" s="74"/>
      <c r="H21" s="74"/>
      <c r="I21" s="74"/>
    </row>
    <row r="22" spans="1:9" ht="14.1" customHeight="1">
      <c r="A22" s="17" t="s">
        <v>120</v>
      </c>
      <c r="B22" s="12">
        <v>97.621668048513399</v>
      </c>
      <c r="C22" s="12">
        <f>+('5.3'!C23/'5.3'!B23)/('5.4'!C23/'5.4'!B23)*100</f>
        <v>122.83963974301895</v>
      </c>
      <c r="D22" s="12">
        <f>+('5.3'!D23/'5.3'!C23)/('5.4'!D23/'5.4'!C23)*100</f>
        <v>203.13490705651196</v>
      </c>
      <c r="E22" s="12">
        <f>+('5.3'!E23/'5.3'!D23)/('5.4'!E23/'5.4'!D23)*100</f>
        <v>368.02975024773741</v>
      </c>
      <c r="F22" s="12">
        <f>+('5.3'!F23/'5.3'!E23)/('5.4'!F23/'5.4'!E23)*100</f>
        <v>66.490549926330104</v>
      </c>
      <c r="G22" s="74"/>
      <c r="H22" s="74"/>
      <c r="I22" s="74"/>
    </row>
    <row r="23" spans="1:9" ht="14.1" customHeight="1">
      <c r="A23" s="17" t="s">
        <v>121</v>
      </c>
      <c r="B23" s="12">
        <v>101.25353928978788</v>
      </c>
      <c r="C23" s="12">
        <f>+('5.3'!C24/'5.3'!B24)/('5.4'!C24/'5.4'!B24)*100</f>
        <v>95.660480035221624</v>
      </c>
      <c r="D23" s="12">
        <f>+('5.3'!D24/'5.3'!C24)/('5.4'!D24/'5.4'!C24)*100</f>
        <v>147.98537379548512</v>
      </c>
      <c r="E23" s="12">
        <f>+('5.3'!E24/'5.3'!D24)/('5.4'!E24/'5.4'!D24)*100</f>
        <v>507.32848516682162</v>
      </c>
      <c r="F23" s="12">
        <f>+('5.3'!F24/'5.3'!E24)/('5.4'!F24/'5.4'!E24)*100</f>
        <v>124.56255196776806</v>
      </c>
      <c r="G23" s="74"/>
      <c r="H23" s="74"/>
      <c r="I23" s="74"/>
    </row>
    <row r="24" spans="1:9" ht="14.1" customHeight="1">
      <c r="A24" s="17" t="s">
        <v>122</v>
      </c>
      <c r="B24" s="12">
        <v>102.4557875878546</v>
      </c>
      <c r="C24" s="12">
        <f>+('5.3'!C25/'5.3'!B25)/('5.4'!C25/'5.4'!B25)*100</f>
        <v>108.87778917394866</v>
      </c>
      <c r="D24" s="12">
        <f>+('5.3'!D25/'5.3'!C25)/('5.4'!D25/'5.4'!C25)*100</f>
        <v>115.55931286675862</v>
      </c>
      <c r="E24" s="12">
        <f>+('5.3'!E25/'5.3'!D25)/('5.4'!E25/'5.4'!D25)*100</f>
        <v>303.81502434908816</v>
      </c>
      <c r="F24" s="12">
        <f>+('5.3'!F25/'5.3'!E25)/('5.4'!F25/'5.4'!E25)*100</f>
        <v>100.41562362375853</v>
      </c>
      <c r="G24" s="74"/>
      <c r="H24" s="74"/>
      <c r="I24" s="74"/>
    </row>
    <row r="25" spans="1:9" ht="14.1" customHeight="1">
      <c r="A25" s="17" t="s">
        <v>126</v>
      </c>
      <c r="B25" s="12">
        <v>101.07700734707454</v>
      </c>
      <c r="C25" s="12">
        <f>+('5.3'!C26/'5.3'!B26)/('5.4'!C26/'5.4'!B26)*100</f>
        <v>101.71173757559593</v>
      </c>
      <c r="D25" s="12">
        <f>+('5.3'!D26/'5.3'!C26)/('5.4'!D26/'5.4'!C26)*100</f>
        <v>106.13408213408213</v>
      </c>
      <c r="E25" s="12">
        <f>+('5.3'!E26/'5.3'!D26)/('5.4'!E26/'5.4'!D26)*100</f>
        <v>248.26820205808943</v>
      </c>
      <c r="F25" s="12">
        <f>+('5.3'!F26/'5.3'!E26)/('5.4'!F26/'5.4'!E26)*100</f>
        <v>135.93355824869414</v>
      </c>
      <c r="G25" s="74"/>
      <c r="H25" s="74"/>
      <c r="I25" s="74"/>
    </row>
    <row r="26" spans="1:9" ht="14.1" customHeight="1">
      <c r="A26" s="15" t="s">
        <v>124</v>
      </c>
      <c r="B26" s="12">
        <v>108.40086293354605</v>
      </c>
      <c r="C26" s="12">
        <f>+('5.3'!C27/'5.3'!B27)/('5.4'!C27/'5.4'!B27)*100</f>
        <v>144.45748305627657</v>
      </c>
      <c r="D26" s="12">
        <f>+('5.3'!D27/'5.3'!C27)/('5.4'!D27/'5.4'!C27)*100</f>
        <v>52.601744950310611</v>
      </c>
      <c r="E26" s="12">
        <f>+('5.3'!E27/'5.3'!D27)/('5.4'!E27/'5.4'!D27)*100</f>
        <v>608.32845541583401</v>
      </c>
      <c r="F26" s="12">
        <f>+('5.3'!F27/'5.3'!E27)/('5.4'!F27/'5.4'!E27)*100</f>
        <v>131.49181613778828</v>
      </c>
      <c r="G26" s="74"/>
      <c r="H26" s="74"/>
      <c r="I26" s="74"/>
    </row>
    <row r="27" spans="1:9" ht="4.95" customHeight="1" thickBot="1">
      <c r="A27" s="15"/>
      <c r="B27" s="12"/>
      <c r="C27" s="12"/>
      <c r="D27" s="12"/>
      <c r="E27" s="12"/>
      <c r="F27" s="12"/>
      <c r="G27" s="74"/>
      <c r="H27" s="74"/>
      <c r="I27" s="74"/>
    </row>
    <row r="28" spans="1:9" ht="4.95" customHeight="1">
      <c r="A28" s="357"/>
      <c r="B28" s="357"/>
      <c r="C28" s="357"/>
      <c r="D28" s="357"/>
      <c r="E28" s="357"/>
      <c r="F28" s="357"/>
    </row>
    <row r="29" spans="1:9">
      <c r="A29" s="256"/>
      <c r="B29" s="256"/>
      <c r="C29" s="256"/>
      <c r="D29" s="256"/>
      <c r="E29" s="256"/>
      <c r="F29" s="256"/>
    </row>
    <row r="30" spans="1:9" ht="15" customHeight="1">
      <c r="A30" s="186" t="s">
        <v>200</v>
      </c>
      <c r="B30" s="128"/>
      <c r="C30" s="126"/>
      <c r="D30" s="126"/>
      <c r="E30" s="126"/>
      <c r="F30" s="126"/>
    </row>
    <row r="31" spans="1:9" ht="12" customHeight="1">
      <c r="A31" s="13"/>
      <c r="F31" s="7" t="s">
        <v>76</v>
      </c>
    </row>
    <row r="32" spans="1:9" ht="15" customHeight="1">
      <c r="A32" s="151" t="s">
        <v>143</v>
      </c>
      <c r="B32" s="152">
        <v>2018</v>
      </c>
      <c r="C32" s="152">
        <v>2019</v>
      </c>
      <c r="D32" s="152">
        <v>2020</v>
      </c>
      <c r="E32" s="152">
        <v>2021</v>
      </c>
      <c r="F32" s="152">
        <v>2022</v>
      </c>
    </row>
    <row r="33" spans="1:6" s="85" customFormat="1" ht="5.0999999999999996" customHeight="1">
      <c r="A33" s="188"/>
      <c r="B33" s="189"/>
      <c r="C33" s="189"/>
      <c r="D33" s="189"/>
      <c r="E33" s="189"/>
      <c r="F33" s="189"/>
    </row>
    <row r="34" spans="1:6" ht="14.25" customHeight="1">
      <c r="A34" s="183" t="s">
        <v>2</v>
      </c>
      <c r="B34" s="190">
        <v>175.45035063073223</v>
      </c>
      <c r="C34" s="190">
        <f>'5.3'!C8/'5.4'!C8*100</f>
        <v>181.66961464351147</v>
      </c>
      <c r="D34" s="190">
        <f>'5.3'!D8/'5.4'!D8*100</f>
        <v>211.74676812983492</v>
      </c>
      <c r="E34" s="190">
        <f>'5.3'!E8/'5.4'!E8*100</f>
        <v>1062.1031367247308</v>
      </c>
      <c r="F34" s="190">
        <f>'5.3'!F8/'5.4'!F8*100</f>
        <v>1212.4481049824958</v>
      </c>
    </row>
    <row r="35" spans="1:6" ht="14.1" customHeight="1">
      <c r="A35" s="15" t="s">
        <v>107</v>
      </c>
      <c r="B35" s="16">
        <v>170.98247871245437</v>
      </c>
      <c r="C35" s="16">
        <f>'5.3'!C9/'5.4'!C9*100</f>
        <v>187.77118243420705</v>
      </c>
      <c r="D35" s="16">
        <f>'5.3'!D9/'5.4'!D9*100</f>
        <v>195.34532472882057</v>
      </c>
      <c r="E35" s="16">
        <f>'5.3'!E9/'5.4'!E9*100</f>
        <v>357.4619771863118</v>
      </c>
      <c r="F35" s="16">
        <f>'5.3'!F9/'5.4'!F9*100</f>
        <v>400.06692320562144</v>
      </c>
    </row>
    <row r="36" spans="1:6" ht="14.1" customHeight="1">
      <c r="A36" s="17" t="s">
        <v>108</v>
      </c>
      <c r="B36" s="16">
        <v>208.16372391653292</v>
      </c>
      <c r="C36" s="16">
        <f>'5.3'!C10/'5.4'!C10*100</f>
        <v>209.09090909090909</v>
      </c>
      <c r="D36" s="16">
        <f>'5.3'!D10/'5.4'!D10*100</f>
        <v>225.23540489642184</v>
      </c>
      <c r="E36" s="16">
        <f>'5.3'!E10/'5.4'!E10*100</f>
        <v>607.5975359342915</v>
      </c>
      <c r="F36" s="16">
        <f>'5.3'!F10/'5.4'!F10*100</f>
        <v>794.45983379501376</v>
      </c>
    </row>
    <row r="37" spans="1:6" ht="14.1" customHeight="1">
      <c r="A37" s="15" t="s">
        <v>109</v>
      </c>
      <c r="B37" s="16">
        <v>184.21204716369755</v>
      </c>
      <c r="C37" s="16">
        <f>'5.3'!C11/'5.4'!C11*100</f>
        <v>205.65217391304347</v>
      </c>
      <c r="D37" s="16">
        <f>'5.3'!D11/'5.4'!D11*100</f>
        <v>205.74018126888217</v>
      </c>
      <c r="E37" s="16">
        <f>'5.3'!E11/'5.4'!E11*100</f>
        <v>4247.1179039301314</v>
      </c>
      <c r="F37" s="16">
        <f>'5.3'!F11/'5.4'!F11*100</f>
        <v>6124.4455905105715</v>
      </c>
    </row>
    <row r="38" spans="1:6" ht="14.1" customHeight="1">
      <c r="A38" s="17" t="s">
        <v>110</v>
      </c>
      <c r="B38" s="16">
        <v>193.84639438417361</v>
      </c>
      <c r="C38" s="16">
        <f>'5.3'!C12/'5.4'!C12*100</f>
        <v>360.19417475728159</v>
      </c>
      <c r="D38" s="16">
        <f>'5.3'!D12/'5.4'!D12*100</f>
        <v>372.46455834242096</v>
      </c>
      <c r="E38" s="16">
        <f>'5.3'!E12/'5.4'!E12*100</f>
        <v>1755.1200000000001</v>
      </c>
      <c r="F38" s="16">
        <f>'5.3'!F12/'5.4'!F12*100</f>
        <v>3690.8433734939763</v>
      </c>
    </row>
    <row r="39" spans="1:6" ht="14.1" customHeight="1">
      <c r="A39" s="15" t="s">
        <v>111</v>
      </c>
      <c r="B39" s="16">
        <v>191.4367713416033</v>
      </c>
      <c r="C39" s="16">
        <f>'5.3'!C13/'5.4'!C13*100</f>
        <v>200.08223684210526</v>
      </c>
      <c r="D39" s="16">
        <f>'5.3'!D13/'5.4'!D13*100</f>
        <v>218.56143124289099</v>
      </c>
      <c r="E39" s="16">
        <f>'5.3'!E13/'5.4'!E13*100</f>
        <v>1256.027191706075</v>
      </c>
      <c r="F39" s="16">
        <f>'5.3'!F13/'5.4'!F13*100</f>
        <v>1570.618257462145</v>
      </c>
    </row>
    <row r="40" spans="1:6" ht="14.1" customHeight="1">
      <c r="A40" s="15" t="s">
        <v>134</v>
      </c>
      <c r="B40" s="16">
        <v>194.83897982489529</v>
      </c>
      <c r="C40" s="16">
        <f>'5.3'!C14/'5.4'!C14*100</f>
        <v>208.04597701149424</v>
      </c>
      <c r="D40" s="16">
        <f>'5.3'!D14/'5.4'!D14*100</f>
        <v>190.97826086956519</v>
      </c>
      <c r="E40" s="16">
        <f>'5.3'!E14/'5.4'!E14*100</f>
        <v>524.58734031864503</v>
      </c>
      <c r="F40" s="16">
        <f>'5.3'!F14/'5.4'!F14*100</f>
        <v>641.70937345015705</v>
      </c>
    </row>
    <row r="41" spans="1:6" ht="14.1" customHeight="1">
      <c r="A41" s="15" t="s">
        <v>112</v>
      </c>
      <c r="B41" s="16">
        <v>238.72183888915305</v>
      </c>
      <c r="C41" s="16">
        <f>'5.3'!C15/'5.4'!C15*100</f>
        <v>245.78598484848487</v>
      </c>
      <c r="D41" s="16">
        <f>'5.3'!D15/'5.4'!D15*100</f>
        <v>254.58035945633998</v>
      </c>
      <c r="E41" s="16">
        <f>'5.3'!E15/'5.4'!E15*100</f>
        <v>1277.8237849579145</v>
      </c>
      <c r="F41" s="16">
        <f>'5.3'!F15/'5.4'!F15*100</f>
        <v>1595.2393458278621</v>
      </c>
    </row>
    <row r="42" spans="1:6" ht="14.1" customHeight="1">
      <c r="A42" s="15" t="s">
        <v>114</v>
      </c>
      <c r="B42" s="16">
        <v>186.53557960616109</v>
      </c>
      <c r="C42" s="16">
        <f>'5.3'!C16/'5.4'!C16*100</f>
        <v>190.33076397697337</v>
      </c>
      <c r="D42" s="16">
        <f>'5.3'!D16/'5.4'!D16*100</f>
        <v>197.50141649353966</v>
      </c>
      <c r="E42" s="16">
        <f>'5.3'!E16/'5.4'!E16*100</f>
        <v>1225.5215775935981</v>
      </c>
      <c r="F42" s="16">
        <f>'5.3'!F16/'5.4'!F16*100</f>
        <v>1508.9963924240906</v>
      </c>
    </row>
    <row r="43" spans="1:6" ht="14.1" customHeight="1">
      <c r="A43" s="17" t="s">
        <v>115</v>
      </c>
      <c r="B43" s="16">
        <v>119.247341985161</v>
      </c>
      <c r="C43" s="16">
        <f>'5.3'!C17/'5.4'!C17*100</f>
        <v>122.72727272727273</v>
      </c>
      <c r="D43" s="16">
        <f>'5.3'!D17/'5.4'!D17*100</f>
        <v>129.84498659166721</v>
      </c>
      <c r="E43" s="16">
        <f>'5.3'!E17/'5.4'!E17*100</f>
        <v>375.98098611240567</v>
      </c>
      <c r="F43" s="16">
        <f>'5.3'!F17/'5.4'!F17*100</f>
        <v>617.18718618196431</v>
      </c>
    </row>
    <row r="44" spans="1:6" ht="14.1" customHeight="1">
      <c r="A44" s="15" t="s">
        <v>113</v>
      </c>
      <c r="B44" s="16">
        <v>148.27188328475688</v>
      </c>
      <c r="C44" s="16">
        <f>'5.3'!C18/'5.4'!C18*100</f>
        <v>140.05163788930128</v>
      </c>
      <c r="D44" s="16">
        <f>'5.3'!D18/'5.4'!D18*100</f>
        <v>123.4727069427032</v>
      </c>
      <c r="E44" s="16">
        <f>'5.3'!E18/'5.4'!E18*100</f>
        <v>932.19441154818674</v>
      </c>
      <c r="F44" s="16">
        <f>'5.3'!F18/'5.4'!F18*100</f>
        <v>1017.6073986439213</v>
      </c>
    </row>
    <row r="45" spans="1:6" ht="14.1" customHeight="1">
      <c r="A45" s="15" t="s">
        <v>116</v>
      </c>
      <c r="B45" s="16">
        <v>92.901960784313729</v>
      </c>
      <c r="C45" s="16">
        <f>'5.3'!C19/'5.4'!C19*100</f>
        <v>95.763888888888886</v>
      </c>
      <c r="D45" s="16">
        <f>'5.3'!D19/'5.4'!D19*100</f>
        <v>98.154133448251088</v>
      </c>
      <c r="E45" s="16">
        <f>'5.3'!E19/'5.4'!E19*100</f>
        <v>299.169914826043</v>
      </c>
      <c r="F45" s="16">
        <f>'5.3'!F19/'5.4'!F19*100</f>
        <v>320.86611278582467</v>
      </c>
    </row>
    <row r="46" spans="1:6" ht="14.1" customHeight="1">
      <c r="A46" s="15" t="s">
        <v>125</v>
      </c>
      <c r="B46" s="16">
        <v>129.98166449934979</v>
      </c>
      <c r="C46" s="16">
        <f>'5.3'!C20/'5.4'!C20*100</f>
        <v>141.48148148148147</v>
      </c>
      <c r="D46" s="16">
        <f>'5.3'!D20/'5.4'!D20*100</f>
        <v>142.02486146472967</v>
      </c>
      <c r="E46" s="16">
        <f>'5.3'!E20/'5.4'!E20*100</f>
        <v>576.04269132402123</v>
      </c>
      <c r="F46" s="16">
        <f>'5.3'!F20/'5.4'!F20*100</f>
        <v>626.60972404730614</v>
      </c>
    </row>
    <row r="47" spans="1:6" ht="14.1" customHeight="1">
      <c r="A47" s="17" t="s">
        <v>118</v>
      </c>
      <c r="B47" s="16">
        <v>172.88802588996762</v>
      </c>
      <c r="C47" s="16">
        <f>'5.3'!C21/'5.4'!C21*100</f>
        <v>192.82533399307275</v>
      </c>
      <c r="D47" s="16">
        <f>'5.3'!D21/'5.4'!D21*100</f>
        <v>230.81846588045556</v>
      </c>
      <c r="E47" s="16">
        <f>'5.3'!E21/'5.4'!E21*100</f>
        <v>937.69369897834486</v>
      </c>
      <c r="F47" s="16">
        <f>'5.3'!F21/'5.4'!F21*100</f>
        <v>1012.8677593403237</v>
      </c>
    </row>
    <row r="48" spans="1:6" ht="14.1" customHeight="1">
      <c r="A48" s="15" t="s">
        <v>119</v>
      </c>
      <c r="B48" s="16">
        <v>119.30994803266519</v>
      </c>
      <c r="C48" s="16">
        <f>'5.3'!C22/'5.4'!C22*100</f>
        <v>146.38783269961976</v>
      </c>
      <c r="D48" s="16">
        <f>'5.3'!D22/'5.4'!D22*100</f>
        <v>146.75767918088738</v>
      </c>
      <c r="E48" s="16">
        <f>'5.3'!E22/'5.4'!E22*100</f>
        <v>409.60698689956325</v>
      </c>
      <c r="F48" s="16">
        <f>'5.3'!F22/'5.4'!F22*100</f>
        <v>467.30182926829275</v>
      </c>
    </row>
    <row r="49" spans="1:6" ht="14.1" customHeight="1">
      <c r="A49" s="17" t="s">
        <v>120</v>
      </c>
      <c r="B49" s="16">
        <v>174.94924199213472</v>
      </c>
      <c r="C49" s="16">
        <f>'5.3'!C23/'5.4'!C23*100</f>
        <v>214.90701859628075</v>
      </c>
      <c r="D49" s="16">
        <f>'5.3'!D23/'5.4'!D23*100</f>
        <v>436.55117248347574</v>
      </c>
      <c r="E49" s="16">
        <f>'5.3'!E23/'5.4'!E23*100</f>
        <v>1606.6381897945046</v>
      </c>
      <c r="F49" s="16">
        <f>'5.3'!F23/'5.4'!F23*100</f>
        <v>1068.2625677208014</v>
      </c>
    </row>
    <row r="50" spans="1:6" ht="14.1" customHeight="1">
      <c r="A50" s="17" t="s">
        <v>121</v>
      </c>
      <c r="B50" s="16">
        <v>179.64498676559256</v>
      </c>
      <c r="C50" s="16">
        <f>'5.3'!C24/'5.4'!C24*100</f>
        <v>171.84925669917621</v>
      </c>
      <c r="D50" s="16">
        <f>'5.3'!D24/'5.4'!D24*100</f>
        <v>254.31176489103865</v>
      </c>
      <c r="E50" s="16">
        <f>'5.3'!E24/'5.4'!E24*100</f>
        <v>1290.196024422715</v>
      </c>
      <c r="F50" s="16">
        <f>'5.3'!F24/'5.4'!F24*100</f>
        <v>1607.1010934076221</v>
      </c>
    </row>
    <row r="51" spans="1:6" ht="14.1" customHeight="1">
      <c r="A51" s="17" t="s">
        <v>122</v>
      </c>
      <c r="B51" s="16">
        <v>153.30736594591832</v>
      </c>
      <c r="C51" s="16">
        <f>'5.3'!C25/'5.4'!C25*100</f>
        <v>166.91767068273094</v>
      </c>
      <c r="D51" s="16">
        <f>'5.3'!D25/'5.4'!D25*100</f>
        <v>192.88891329416288</v>
      </c>
      <c r="E51" s="16">
        <f>'5.3'!E25/'5.4'!E25*100</f>
        <v>586.02549889135253</v>
      </c>
      <c r="F51" s="16">
        <f>'5.3'!F25/'5.4'!F25*100</f>
        <v>588.46115930599376</v>
      </c>
    </row>
    <row r="52" spans="1:6" ht="14.1" customHeight="1">
      <c r="A52" s="17" t="s">
        <v>126</v>
      </c>
      <c r="B52" s="16">
        <v>279.62761596548</v>
      </c>
      <c r="C52" s="16">
        <f>'5.3'!C26/'5.4'!C26*100</f>
        <v>284.4141069397042</v>
      </c>
      <c r="D52" s="16">
        <f>'5.3'!D26/'5.4'!D26*100</f>
        <v>301.86030186030183</v>
      </c>
      <c r="E52" s="16">
        <f>'5.3'!E26/'5.4'!E26*100</f>
        <v>749.42314415569285</v>
      </c>
      <c r="F52" s="16">
        <f>'5.3'!F26/'5.4'!F26*100</f>
        <v>1018.7175461900736</v>
      </c>
    </row>
    <row r="53" spans="1:6" ht="14.1" customHeight="1">
      <c r="A53" s="15" t="s">
        <v>124</v>
      </c>
      <c r="B53" s="16">
        <v>239.8527604388581</v>
      </c>
      <c r="C53" s="16">
        <f>'5.3'!C27/'5.4'!C27*100</f>
        <v>346.48526077097506</v>
      </c>
      <c r="D53" s="16">
        <f>'5.3'!D27/'5.4'!D27*100</f>
        <v>182.25729316116693</v>
      </c>
      <c r="E53" s="16">
        <f>'5.3'!E27/'5.4'!E27*100</f>
        <v>1108.7229763700352</v>
      </c>
      <c r="F53" s="16">
        <f>'5.3'!F27/'5.4'!F27*100</f>
        <v>1457.8799775659002</v>
      </c>
    </row>
    <row r="54" spans="1:6" ht="4.95" customHeight="1" thickBot="1">
      <c r="A54" s="356"/>
      <c r="B54" s="356"/>
      <c r="C54" s="356"/>
      <c r="D54" s="356"/>
      <c r="E54" s="356"/>
      <c r="F54" s="356"/>
    </row>
    <row r="55" spans="1:6" ht="4.95" customHeight="1"/>
  </sheetData>
  <mergeCells count="3">
    <mergeCell ref="B5:F5"/>
    <mergeCell ref="A54:F54"/>
    <mergeCell ref="A28:F28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46"/>
  <sheetViews>
    <sheetView showGridLines="0" topLeftCell="A16" zoomScaleNormal="100" workbookViewId="0">
      <selection activeCell="L24" sqref="L24"/>
    </sheetView>
  </sheetViews>
  <sheetFormatPr baseColWidth="10" defaultColWidth="11" defaultRowHeight="10.199999999999999"/>
  <cols>
    <col min="1" max="1" width="7.77734375" style="23" customWidth="1"/>
    <col min="2" max="3" width="9.5546875" style="23" customWidth="1"/>
    <col min="4" max="4" width="10.5546875" style="23" customWidth="1"/>
    <col min="5" max="6" width="12.5546875" style="23" customWidth="1"/>
    <col min="7" max="7" width="13.5546875" style="23" customWidth="1"/>
    <col min="8" max="9" width="9.5546875" style="23" customWidth="1"/>
    <col min="10" max="10" width="6.44140625" style="23" customWidth="1"/>
    <col min="11" max="11" width="8.5546875" style="23" customWidth="1"/>
    <col min="12" max="12" width="15.5546875" style="23" customWidth="1"/>
    <col min="13" max="18" width="8.5546875" style="23" customWidth="1"/>
    <col min="19" max="26" width="15.44140625" style="23" customWidth="1"/>
    <col min="27" max="27" width="11" style="23"/>
    <col min="28" max="28" width="6.44140625" style="23" customWidth="1"/>
    <col min="29" max="37" width="14.44140625" style="23" customWidth="1"/>
    <col min="38" max="38" width="9.88671875" style="23" customWidth="1"/>
    <col min="39" max="39" width="15.44140625" style="23" customWidth="1"/>
    <col min="40" max="40" width="3" style="23" customWidth="1"/>
    <col min="41" max="41" width="15.44140625" style="23" customWidth="1"/>
    <col min="42" max="42" width="3" style="23" customWidth="1"/>
    <col min="43" max="48" width="11" style="23"/>
    <col min="49" max="49" width="14.44140625" style="23" customWidth="1"/>
    <col min="50" max="16384" width="11" style="23"/>
  </cols>
  <sheetData>
    <row r="1" spans="1:18" s="22" customFormat="1" ht="15" customHeight="1">
      <c r="A1" s="191" t="s">
        <v>167</v>
      </c>
      <c r="B1" s="20"/>
      <c r="C1" s="20"/>
      <c r="D1" s="20"/>
      <c r="E1" s="20"/>
      <c r="F1" s="20"/>
      <c r="G1" s="64"/>
      <c r="H1" s="64"/>
      <c r="I1" s="21"/>
    </row>
    <row r="2" spans="1:18" ht="15" customHeight="1">
      <c r="A2" s="101"/>
      <c r="H2" s="24"/>
      <c r="I2" s="24"/>
    </row>
    <row r="3" spans="1:18" ht="15" customHeight="1">
      <c r="A3" s="360" t="s">
        <v>144</v>
      </c>
      <c r="B3" s="162"/>
      <c r="C3" s="162" t="s">
        <v>13</v>
      </c>
      <c r="D3" s="162" t="s">
        <v>60</v>
      </c>
      <c r="E3" s="162" t="s">
        <v>63</v>
      </c>
      <c r="F3" s="162" t="s">
        <v>14</v>
      </c>
      <c r="G3" s="162" t="s">
        <v>14</v>
      </c>
      <c r="H3" s="162" t="s">
        <v>15</v>
      </c>
      <c r="I3" s="162" t="s">
        <v>57</v>
      </c>
    </row>
    <row r="4" spans="1:18" ht="15" customHeight="1">
      <c r="A4" s="360"/>
      <c r="B4" s="162" t="s">
        <v>16</v>
      </c>
      <c r="C4" s="162" t="s">
        <v>100</v>
      </c>
      <c r="D4" s="162" t="s">
        <v>64</v>
      </c>
      <c r="E4" s="162" t="s">
        <v>64</v>
      </c>
      <c r="F4" s="162" t="s">
        <v>50</v>
      </c>
      <c r="G4" s="162" t="s">
        <v>50</v>
      </c>
      <c r="H4" s="162" t="s">
        <v>17</v>
      </c>
      <c r="I4" s="162" t="s">
        <v>58</v>
      </c>
    </row>
    <row r="5" spans="1:18" ht="15" customHeight="1">
      <c r="A5" s="360"/>
      <c r="B5" s="162" t="s">
        <v>98</v>
      </c>
      <c r="C5" s="162" t="s">
        <v>101</v>
      </c>
      <c r="D5" s="162" t="s">
        <v>61</v>
      </c>
      <c r="E5" s="162" t="s">
        <v>65</v>
      </c>
      <c r="F5" s="162" t="s">
        <v>52</v>
      </c>
      <c r="G5" s="162" t="s">
        <v>51</v>
      </c>
      <c r="H5" s="162" t="s">
        <v>19</v>
      </c>
      <c r="I5" s="162" t="s">
        <v>48</v>
      </c>
    </row>
    <row r="6" spans="1:18" ht="15" customHeight="1">
      <c r="A6" s="360"/>
      <c r="B6" s="162" t="s">
        <v>99</v>
      </c>
      <c r="C6" s="162" t="s">
        <v>20</v>
      </c>
      <c r="D6" s="162" t="s">
        <v>62</v>
      </c>
      <c r="E6" s="162" t="s">
        <v>21</v>
      </c>
      <c r="F6" s="162" t="s">
        <v>18</v>
      </c>
      <c r="G6" s="162" t="s">
        <v>21</v>
      </c>
      <c r="H6" s="162" t="s">
        <v>22</v>
      </c>
      <c r="I6" s="162" t="s">
        <v>59</v>
      </c>
    </row>
    <row r="7" spans="1:18" ht="15" customHeight="1">
      <c r="A7" s="360"/>
      <c r="B7" s="163" t="s">
        <v>23</v>
      </c>
      <c r="C7" s="163" t="s">
        <v>24</v>
      </c>
      <c r="D7" s="163" t="s">
        <v>23</v>
      </c>
      <c r="E7" s="163" t="s">
        <v>24</v>
      </c>
      <c r="F7" s="162" t="s">
        <v>23</v>
      </c>
      <c r="G7" s="163" t="s">
        <v>24</v>
      </c>
      <c r="H7" s="163" t="s">
        <v>25</v>
      </c>
      <c r="I7" s="163" t="s">
        <v>25</v>
      </c>
    </row>
    <row r="8" spans="1:18" ht="5.0999999999999996" customHeight="1">
      <c r="A8" s="100"/>
      <c r="B8" s="100"/>
      <c r="C8" s="100"/>
      <c r="D8" s="100"/>
      <c r="E8" s="100"/>
      <c r="F8" s="100"/>
      <c r="G8" s="100"/>
      <c r="H8" s="100"/>
      <c r="I8" s="100"/>
    </row>
    <row r="9" spans="1:18" ht="15.75" customHeight="1">
      <c r="A9" s="164"/>
      <c r="B9" s="358" t="s">
        <v>189</v>
      </c>
      <c r="C9" s="358"/>
      <c r="D9" s="358"/>
      <c r="E9" s="358"/>
      <c r="F9" s="358"/>
      <c r="G9" s="358"/>
      <c r="H9" s="358"/>
      <c r="I9" s="358"/>
    </row>
    <row r="10" spans="1:18" s="20" customFormat="1" ht="18" customHeight="1">
      <c r="A10" s="27">
        <v>2018</v>
      </c>
      <c r="B10" s="51">
        <f>SUM('5.3'!B8)</f>
        <v>100050.03609612319</v>
      </c>
      <c r="C10" s="51">
        <f>+B10*1000000/11215344</f>
        <v>8920.8174172921663</v>
      </c>
      <c r="D10" s="51">
        <f>SUM('5.10-11'!B32)</f>
        <v>86047.319859007504</v>
      </c>
      <c r="E10" s="51">
        <f>D10/11215344*1000000</f>
        <v>7672.2853850053561</v>
      </c>
      <c r="F10" s="51">
        <f>SUM('5.10-11'!B34)</f>
        <v>77881.350080000004</v>
      </c>
      <c r="G10" s="51">
        <f>F10/11215344*1000000</f>
        <v>6944.1784469562417</v>
      </c>
      <c r="H10" s="192">
        <f>SUM('5.2'!B13/'5.2'!B9*100)</f>
        <v>12.033578866911091</v>
      </c>
      <c r="I10" s="192">
        <f>(('5.2'!B10+'5.2'!B17)/'5.2'!B9)*100</f>
        <v>27.083548449664153</v>
      </c>
      <c r="K10" s="314"/>
      <c r="L10" s="51"/>
      <c r="N10" s="315"/>
    </row>
    <row r="11" spans="1:18" s="20" customFormat="1" ht="18" customHeight="1">
      <c r="A11" s="27">
        <v>2019</v>
      </c>
      <c r="B11" s="51">
        <f>SUM('5.3'!C8)</f>
        <v>103427.6</v>
      </c>
      <c r="C11" s="51">
        <f>+B11*1000000/11201549</f>
        <v>9233.3301403225578</v>
      </c>
      <c r="D11" s="51">
        <f>SUM('5.10-11'!C32)</f>
        <v>89877.183823639323</v>
      </c>
      <c r="E11" s="51">
        <f>D11*1000000/11201549</f>
        <v>8023.6388577722</v>
      </c>
      <c r="F11" s="51">
        <f>SUM('5.10-11'!C34)</f>
        <v>80821.123338720005</v>
      </c>
      <c r="G11" s="51">
        <f>F11/11201549*1000000</f>
        <v>7215.173842360553</v>
      </c>
      <c r="H11" s="192">
        <f>SUM('5.2'!C13/'5.2'!C9*100)</f>
        <v>11.494997466827034</v>
      </c>
      <c r="I11" s="192">
        <f>(('5.2'!C10+'5.2'!C17)/'5.2'!C9)*100</f>
        <v>22.820891135441602</v>
      </c>
      <c r="K11" s="314"/>
      <c r="L11" s="51"/>
      <c r="N11" s="315"/>
      <c r="O11" s="61"/>
    </row>
    <row r="12" spans="1:18" s="20" customFormat="1" ht="18" customHeight="1">
      <c r="A12" s="27">
        <v>2020</v>
      </c>
      <c r="B12" s="51">
        <f>SUM('5.3'!D8)</f>
        <v>107351.79999999997</v>
      </c>
      <c r="C12" s="51">
        <f>+B12*1000000/11181595</f>
        <v>9600.7591045821246</v>
      </c>
      <c r="D12" s="51">
        <f>SUM('5.10-11'!D32)</f>
        <v>96048.700000000012</v>
      </c>
      <c r="E12" s="51">
        <f>D12*1000000/11181595</f>
        <v>8589.8925868804963</v>
      </c>
      <c r="F12" s="51">
        <f>SUM('5.10-11'!D34)</f>
        <v>84719.6</v>
      </c>
      <c r="G12" s="51">
        <f>F12/11181595*1000000</f>
        <v>7576.7008195163571</v>
      </c>
      <c r="H12" s="192">
        <f>SUM('5.2'!D13/'5.2'!D9*100)</f>
        <v>9.875288537313768</v>
      </c>
      <c r="I12" s="192">
        <f>(('5.2'!D10+'5.2'!D17)/'5.2'!D9)*100</f>
        <v>15.682550269301496</v>
      </c>
      <c r="K12" s="314"/>
      <c r="L12" s="25"/>
      <c r="M12" s="25"/>
      <c r="N12" s="25"/>
      <c r="O12" s="25"/>
      <c r="P12" s="25"/>
      <c r="Q12" s="25"/>
      <c r="R12" s="25"/>
    </row>
    <row r="13" spans="1:18" s="20" customFormat="1" ht="18" customHeight="1">
      <c r="A13" s="27">
        <v>2021</v>
      </c>
      <c r="B13" s="51">
        <f>SUM('5.3'!E8)</f>
        <v>545217.9</v>
      </c>
      <c r="C13" s="51">
        <f>+B13*1000000/11113215</f>
        <v>49060.321428137584</v>
      </c>
      <c r="D13" s="51">
        <f>SUM('5.10-11'!E32)</f>
        <v>471208.4</v>
      </c>
      <c r="E13" s="51">
        <f>D13*1000000/11113215</f>
        <v>42400.727422262593</v>
      </c>
      <c r="F13" s="51">
        <f>SUM('5.10-11'!E34)</f>
        <v>418438.2</v>
      </c>
      <c r="G13" s="51">
        <f>F13/11181595*1000000</f>
        <v>37422.049358790042</v>
      </c>
      <c r="H13" s="192">
        <f>SUM('5.2'!E13/'5.2'!E9*100)</f>
        <v>23.810957050382974</v>
      </c>
      <c r="I13" s="192">
        <f>(('5.2'!E10+'5.2'!E17)/'5.2'!E9)*100</f>
        <v>80.023903158718738</v>
      </c>
      <c r="K13" s="314"/>
      <c r="L13" s="51"/>
      <c r="M13" s="51"/>
      <c r="N13" s="51"/>
      <c r="O13" s="51"/>
      <c r="P13" s="51"/>
    </row>
    <row r="14" spans="1:18" s="20" customFormat="1" ht="18" customHeight="1">
      <c r="A14" s="28">
        <v>2022</v>
      </c>
      <c r="B14" s="61">
        <f>SUM('5.3'!F8)</f>
        <v>633442.30000000005</v>
      </c>
      <c r="C14" s="61">
        <f>+B14*1000000/11089511</f>
        <v>57120.850504589427</v>
      </c>
      <c r="D14" s="61">
        <f>SUM('5.10-11'!F32)</f>
        <v>583924</v>
      </c>
      <c r="E14" s="61">
        <f>D14*1000000/11230142</f>
        <v>51996.136825340232</v>
      </c>
      <c r="F14" s="61">
        <f>SUM('5.10-11'!F34)</f>
        <v>515506.00000000006</v>
      </c>
      <c r="G14" s="61">
        <f>F14/11230142*1000000</f>
        <v>45903.7828729147</v>
      </c>
      <c r="H14" s="302">
        <f>SUM('5.2'!F13/'5.2'!F9*100)</f>
        <v>16.592552978396878</v>
      </c>
      <c r="I14" s="302">
        <f>(('5.2'!F10+'5.2'!F17)/'5.2'!F9)*100</f>
        <v>88.803125611222995</v>
      </c>
      <c r="K14" s="314"/>
      <c r="L14" s="25"/>
      <c r="M14" s="25"/>
      <c r="N14" s="25"/>
      <c r="O14" s="25"/>
      <c r="P14" s="25"/>
    </row>
    <row r="15" spans="1:18" ht="18" customHeight="1">
      <c r="A15" s="165"/>
      <c r="B15" s="358" t="s">
        <v>190</v>
      </c>
      <c r="C15" s="358"/>
      <c r="D15" s="358"/>
      <c r="E15" s="358"/>
      <c r="F15" s="358"/>
      <c r="G15" s="358"/>
      <c r="H15" s="358"/>
      <c r="I15" s="358"/>
    </row>
    <row r="16" spans="1:18" s="20" customFormat="1" ht="18" customHeight="1">
      <c r="A16" s="27">
        <v>2018</v>
      </c>
      <c r="B16" s="51">
        <f>'5.4'!B8</f>
        <v>57024.700000000012</v>
      </c>
      <c r="C16" s="51">
        <f>+B16*1000000/11215344</f>
        <v>5084.5252718061984</v>
      </c>
      <c r="D16" s="51">
        <f>SUM('5.10-11'!B40)</f>
        <v>46677.740000000005</v>
      </c>
      <c r="E16" s="26">
        <f>+D16*1000000/11215344</f>
        <v>4161.95348087406</v>
      </c>
      <c r="F16" s="51">
        <f>SUM('5.10-11'!B42)</f>
        <v>43657.740000000005</v>
      </c>
      <c r="G16" s="51">
        <f>F16/11215344*1000000</f>
        <v>3892.6795290452087</v>
      </c>
      <c r="H16" s="25">
        <f>'5.2'!B25/'5.2'!B21*100</f>
        <v>15.782551512494519</v>
      </c>
      <c r="I16" s="32">
        <f>('5.2'!B22+'5.2'!B29)/'5.2'!B21*100</f>
        <v>36.158320603930164</v>
      </c>
      <c r="J16" s="45"/>
      <c r="K16" s="314"/>
      <c r="L16" s="23"/>
      <c r="M16" s="23"/>
      <c r="N16" s="23"/>
    </row>
    <row r="17" spans="1:16" s="20" customFormat="1" ht="18" customHeight="1">
      <c r="A17" s="27">
        <v>2019</v>
      </c>
      <c r="B17" s="51">
        <f>'5.4'!C8</f>
        <v>56931.7</v>
      </c>
      <c r="C17" s="51">
        <f>+B17*1000000/11201549</f>
        <v>5082.4845742316529</v>
      </c>
      <c r="D17" s="51">
        <f>SUM('5.10-11'!C40)</f>
        <v>46905.8</v>
      </c>
      <c r="E17" s="26">
        <f>+D17*1000000/11201549</f>
        <v>4187.438719412824</v>
      </c>
      <c r="F17" s="51">
        <f>SUM('5.10-11'!C42)</f>
        <v>43865.8</v>
      </c>
      <c r="G17" s="51">
        <f>F17/11201549*1000000</f>
        <v>3916.047682333935</v>
      </c>
      <c r="H17" s="25">
        <f>'5.2'!C25/'5.2'!C21*100</f>
        <v>15.647011294373891</v>
      </c>
      <c r="I17" s="32">
        <f>('5.2'!C22+'5.2'!C29)/'5.2'!C21*100</f>
        <v>34.844812141012802</v>
      </c>
      <c r="J17" s="45"/>
      <c r="K17" s="314"/>
      <c r="L17" s="316"/>
      <c r="M17" s="317"/>
    </row>
    <row r="18" spans="1:16" s="20" customFormat="1" ht="18" customHeight="1">
      <c r="A18" s="27">
        <v>2020</v>
      </c>
      <c r="B18" s="51">
        <f>'5.4'!D8</f>
        <v>50698.2</v>
      </c>
      <c r="C18" s="51">
        <f>+B18*1000000/11181595</f>
        <v>4534.0758630588925</v>
      </c>
      <c r="D18" s="51">
        <f>SUM('5.10-11'!D40)</f>
        <v>42641.2</v>
      </c>
      <c r="E18" s="26">
        <f>+D18*1000000/11181595</f>
        <v>3813.5167657208117</v>
      </c>
      <c r="F18" s="51">
        <f>SUM('5.10-11'!D42)</f>
        <v>39605.699999999997</v>
      </c>
      <c r="G18" s="51">
        <f>F18/11181595*1000000</f>
        <v>3542.0438676235362</v>
      </c>
      <c r="H18" s="25">
        <f>'5.2'!D25/'5.2'!D21*100</f>
        <v>16.529251647007772</v>
      </c>
      <c r="I18" s="32">
        <f>('5.2'!D22+'5.2'!D29)/'5.2'!D21*100</f>
        <v>33.477257485502385</v>
      </c>
      <c r="J18" s="45"/>
      <c r="K18" s="314"/>
      <c r="L18" s="318"/>
      <c r="M18" s="318"/>
      <c r="N18" s="318"/>
      <c r="O18" s="318"/>
      <c r="P18" s="318"/>
    </row>
    <row r="19" spans="1:16" s="20" customFormat="1" ht="18" customHeight="1">
      <c r="A19" s="27">
        <v>2021</v>
      </c>
      <c r="B19" s="51">
        <f>'5.4'!E8</f>
        <v>51333.80000000001</v>
      </c>
      <c r="C19" s="51">
        <f>+B19*1000000/11113215</f>
        <v>4619.1673606602599</v>
      </c>
      <c r="D19" s="51">
        <f>SUM('5.10-11'!E40)</f>
        <v>43669.599999999999</v>
      </c>
      <c r="E19" s="26">
        <f>+D19*1000000/11113215</f>
        <v>3929.5199453983387</v>
      </c>
      <c r="F19" s="51">
        <f>SUM('5.10-11'!E42)</f>
        <v>41074.9</v>
      </c>
      <c r="G19" s="51">
        <f>F19/11181595*1000000</f>
        <v>3673.4383600908459</v>
      </c>
      <c r="H19" s="25">
        <f>'5.2'!E25/'5.2'!E21*100</f>
        <v>16.252839259902828</v>
      </c>
      <c r="I19" s="32">
        <f>('5.2'!E22+'5.2'!E29)/'5.2'!E21*100</f>
        <v>30.802512184954157</v>
      </c>
      <c r="J19" s="45"/>
      <c r="K19" s="314"/>
      <c r="L19" s="316"/>
      <c r="M19" s="316"/>
      <c r="N19" s="316"/>
      <c r="O19" s="316"/>
      <c r="P19" s="316"/>
    </row>
    <row r="20" spans="1:16" s="20" customFormat="1" ht="18" customHeight="1">
      <c r="A20" s="28">
        <v>2022</v>
      </c>
      <c r="B20" s="61">
        <f>'5.4'!F8</f>
        <v>52244.900000000009</v>
      </c>
      <c r="C20" s="61">
        <f>+B20*1000000/11089511</f>
        <v>4711.1996191716662</v>
      </c>
      <c r="D20" s="61">
        <f>SUM('5.10-11'!F40)</f>
        <v>44489.3</v>
      </c>
      <c r="E20" s="114">
        <f>+D20*1000000/11230142</f>
        <v>3961.5972798919192</v>
      </c>
      <c r="F20" s="61">
        <f>SUM('5.10-11'!F42)</f>
        <v>40726.300000000003</v>
      </c>
      <c r="G20" s="61">
        <f>F20/11230142*1000000</f>
        <v>3626.5169220478247</v>
      </c>
      <c r="H20" s="113">
        <f>'5.2'!F25/'5.2'!F21*100</f>
        <v>15.047401755960866</v>
      </c>
      <c r="I20" s="115">
        <f>('5.2'!F22+'5.2'!F29)/'5.2'!F21*100</f>
        <v>28.461534044471321</v>
      </c>
      <c r="J20" s="45"/>
      <c r="K20" s="314"/>
      <c r="L20" s="318"/>
      <c r="M20" s="318"/>
      <c r="N20" s="318"/>
      <c r="O20" s="318"/>
      <c r="P20" s="318"/>
    </row>
    <row r="21" spans="1:16" ht="4.95" customHeight="1" thickBot="1">
      <c r="A21" s="127"/>
      <c r="B21" s="127"/>
      <c r="C21" s="127"/>
      <c r="D21" s="127"/>
      <c r="E21" s="127"/>
      <c r="F21" s="127"/>
      <c r="G21" s="127"/>
      <c r="H21" s="127"/>
      <c r="I21" s="127"/>
    </row>
    <row r="22" spans="1:16" s="72" customFormat="1" ht="13.2">
      <c r="A22" s="305"/>
      <c r="B22" s="258"/>
      <c r="C22" s="258"/>
      <c r="D22" s="258"/>
      <c r="E22" s="258"/>
      <c r="F22" s="258"/>
    </row>
    <row r="23" spans="1:16" s="257" customFormat="1" ht="15" customHeight="1"/>
    <row r="24" spans="1:16" ht="15" customHeight="1">
      <c r="A24" s="257"/>
      <c r="B24" s="257"/>
      <c r="C24" s="257"/>
      <c r="D24" s="257"/>
      <c r="E24" s="257"/>
      <c r="F24" s="257"/>
      <c r="G24" s="257"/>
      <c r="H24" s="257"/>
      <c r="I24" s="257"/>
    </row>
    <row r="44" spans="6:21" ht="12.75" customHeight="1">
      <c r="F44" s="168"/>
    </row>
    <row r="46" spans="6:21" ht="13.8">
      <c r="M46" s="359" t="s">
        <v>222</v>
      </c>
      <c r="N46" s="359"/>
      <c r="O46" s="359"/>
      <c r="P46" s="359"/>
      <c r="Q46" s="359"/>
      <c r="R46" s="359"/>
      <c r="S46" s="359"/>
      <c r="T46" s="359"/>
      <c r="U46" s="359"/>
    </row>
  </sheetData>
  <mergeCells count="4">
    <mergeCell ref="B9:I9"/>
    <mergeCell ref="B15:I15"/>
    <mergeCell ref="M46:U46"/>
    <mergeCell ref="A3:A7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D15 I15 C15 F15 E15 H15 G15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5"/>
  <sheetViews>
    <sheetView showGridLines="0" zoomScaleNormal="100" zoomScaleSheetLayoutView="100" workbookViewId="0">
      <selection activeCell="L22" sqref="L22"/>
    </sheetView>
  </sheetViews>
  <sheetFormatPr baseColWidth="10" defaultColWidth="9.109375" defaultRowHeight="13.2"/>
  <cols>
    <col min="1" max="1" width="48.5546875" style="72" customWidth="1"/>
    <col min="2" max="6" width="8.6640625" style="72" customWidth="1"/>
    <col min="7" max="7" width="9.109375" style="72"/>
    <col min="8" max="8" width="9.109375" style="228"/>
    <col min="9" max="16384" width="9.109375" style="72"/>
  </cols>
  <sheetData>
    <row r="1" spans="1:9" ht="15" customHeight="1">
      <c r="A1" s="65" t="s">
        <v>201</v>
      </c>
    </row>
    <row r="2" spans="1:9" ht="15" customHeight="1">
      <c r="A2" s="65"/>
    </row>
    <row r="3" spans="1:9" ht="15" customHeight="1">
      <c r="A3" s="29"/>
      <c r="F3" s="7" t="s">
        <v>104</v>
      </c>
    </row>
    <row r="4" spans="1:9" ht="15" customHeight="1">
      <c r="A4" s="151" t="s">
        <v>27</v>
      </c>
      <c r="B4" s="152">
        <v>2018</v>
      </c>
      <c r="C4" s="152">
        <v>2019</v>
      </c>
      <c r="D4" s="152">
        <v>2020</v>
      </c>
      <c r="E4" s="152">
        <v>2021</v>
      </c>
      <c r="F4" s="152">
        <v>2022</v>
      </c>
    </row>
    <row r="5" spans="1:9" ht="5.0999999999999996" customHeight="1">
      <c r="A5" s="130"/>
      <c r="B5" s="131"/>
      <c r="C5" s="131"/>
      <c r="D5" s="131"/>
      <c r="E5" s="131"/>
      <c r="F5" s="131"/>
    </row>
    <row r="6" spans="1:9" ht="24" customHeight="1">
      <c r="A6" s="67"/>
      <c r="B6" s="361" t="s">
        <v>185</v>
      </c>
      <c r="C6" s="361"/>
      <c r="D6" s="361"/>
      <c r="E6" s="361"/>
      <c r="F6" s="361"/>
    </row>
    <row r="7" spans="1:9" ht="5.0999999999999996" customHeight="1">
      <c r="A7" s="67"/>
      <c r="B7" s="193"/>
      <c r="C7" s="193"/>
      <c r="D7" s="193"/>
      <c r="E7" s="193"/>
      <c r="F7" s="193"/>
    </row>
    <row r="8" spans="1:9" ht="24" customHeight="1">
      <c r="A8" s="194" t="s">
        <v>129</v>
      </c>
      <c r="B8" s="195">
        <f>SUM(B9:B14)</f>
        <v>30060.219859007506</v>
      </c>
      <c r="C8" s="195">
        <f>SUM(C9:C14)</f>
        <v>33336.783823639322</v>
      </c>
      <c r="D8" s="195">
        <f>SUM(D9:D14)</f>
        <v>41704.200000000004</v>
      </c>
      <c r="E8" s="195">
        <f>SUM(E9:E14)</f>
        <v>184427.6</v>
      </c>
      <c r="F8" s="195">
        <f>SUM(F9:F14)</f>
        <v>206078.2</v>
      </c>
      <c r="G8" s="253"/>
      <c r="I8" s="228"/>
    </row>
    <row r="9" spans="1:9" ht="24" customHeight="1">
      <c r="A9" s="88" t="s">
        <v>33</v>
      </c>
      <c r="B9" s="103">
        <v>8165.9697790075015</v>
      </c>
      <c r="C9" s="103">
        <v>9056.0604849193187</v>
      </c>
      <c r="D9" s="103">
        <v>11329.1</v>
      </c>
      <c r="E9" s="103">
        <v>52770.2</v>
      </c>
      <c r="F9" s="103">
        <v>68418</v>
      </c>
      <c r="G9" s="263"/>
      <c r="H9" s="264">
        <f>F9/F8*100</f>
        <v>33.200018245500978</v>
      </c>
    </row>
    <row r="10" spans="1:9" ht="24" customHeight="1">
      <c r="A10" s="70" t="s">
        <v>34</v>
      </c>
      <c r="B10" s="41">
        <v>8054.62</v>
      </c>
      <c r="C10" s="41">
        <v>8932.5735800000002</v>
      </c>
      <c r="D10" s="103">
        <v>11174.6</v>
      </c>
      <c r="E10" s="103">
        <v>47556</v>
      </c>
      <c r="F10" s="103">
        <v>52575.3</v>
      </c>
      <c r="G10" s="263"/>
      <c r="H10" s="264">
        <f>F10/F8*100</f>
        <v>25.512305522854916</v>
      </c>
    </row>
    <row r="11" spans="1:9" ht="24" customHeight="1">
      <c r="A11" s="70" t="s">
        <v>35</v>
      </c>
      <c r="B11" s="41">
        <v>10186.22208</v>
      </c>
      <c r="C11" s="41">
        <v>11296.520286719999</v>
      </c>
      <c r="D11" s="103">
        <v>14131.9</v>
      </c>
      <c r="E11" s="103">
        <v>68883.3</v>
      </c>
      <c r="F11" s="103">
        <v>66332.3</v>
      </c>
      <c r="G11" s="263"/>
      <c r="H11" s="264">
        <f>F11/F8*100</f>
        <v>32.18792671908043</v>
      </c>
    </row>
    <row r="12" spans="1:9" ht="24" customHeight="1">
      <c r="A12" s="70" t="s">
        <v>36</v>
      </c>
      <c r="B12" s="41">
        <v>302.702</v>
      </c>
      <c r="C12" s="41">
        <v>335.69651799999997</v>
      </c>
      <c r="D12" s="103">
        <v>420</v>
      </c>
      <c r="E12" s="103">
        <v>1115.5999999999999</v>
      </c>
      <c r="F12" s="103">
        <v>1194.0999999999999</v>
      </c>
      <c r="G12" s="263"/>
      <c r="H12" s="264">
        <f>F12/F8*100</f>
        <v>0.57944023191196337</v>
      </c>
    </row>
    <row r="13" spans="1:9" ht="24" customHeight="1">
      <c r="A13" s="70" t="s">
        <v>37</v>
      </c>
      <c r="B13" s="41">
        <v>1491.915</v>
      </c>
      <c r="C13" s="41">
        <v>1654.533735</v>
      </c>
      <c r="D13" s="103">
        <v>2069.8000000000002</v>
      </c>
      <c r="E13" s="103">
        <v>4640.1000000000004</v>
      </c>
      <c r="F13" s="103">
        <v>6201.9</v>
      </c>
      <c r="G13" s="263"/>
      <c r="H13" s="264">
        <f>F13/F8*100</f>
        <v>3.0094886310148281</v>
      </c>
    </row>
    <row r="14" spans="1:9" ht="24" customHeight="1">
      <c r="A14" s="70" t="s">
        <v>38</v>
      </c>
      <c r="B14" s="41">
        <v>1858.7909999999999</v>
      </c>
      <c r="C14" s="41">
        <v>2061.3992189999999</v>
      </c>
      <c r="D14" s="103">
        <v>2578.8000000000002</v>
      </c>
      <c r="E14" s="103">
        <v>9462.4</v>
      </c>
      <c r="F14" s="103">
        <v>11356.6</v>
      </c>
      <c r="G14" s="263"/>
      <c r="H14" s="264">
        <f>F14/F8*100</f>
        <v>5.5108206496368854</v>
      </c>
    </row>
    <row r="15" spans="1:9" ht="24" customHeight="1">
      <c r="A15" s="67"/>
      <c r="B15" s="362" t="s">
        <v>188</v>
      </c>
      <c r="C15" s="362"/>
      <c r="D15" s="362"/>
      <c r="E15" s="362"/>
      <c r="F15" s="362"/>
      <c r="H15" s="72"/>
    </row>
    <row r="16" spans="1:9" s="85" customFormat="1" ht="5.0999999999999996" customHeight="1">
      <c r="A16" s="196"/>
      <c r="B16" s="197"/>
      <c r="C16" s="197"/>
      <c r="D16" s="197"/>
      <c r="E16" s="197"/>
      <c r="F16" s="197"/>
    </row>
    <row r="17" spans="1:9" ht="24" customHeight="1">
      <c r="A17" s="194" t="s">
        <v>129</v>
      </c>
      <c r="B17" s="195">
        <f>SUM(B18:B23)</f>
        <v>13137.300000000001</v>
      </c>
      <c r="C17" s="195">
        <f>SUM(C18:C23)</f>
        <v>13652.999999999998</v>
      </c>
      <c r="D17" s="195">
        <f>SUM(D18:D23)</f>
        <v>12276.800000000001</v>
      </c>
      <c r="E17" s="195">
        <f>SUM(E18:E23)</f>
        <v>14113.9</v>
      </c>
      <c r="F17" s="195">
        <f>SUM(F18:F23)</f>
        <v>14323.099999999999</v>
      </c>
      <c r="H17" s="72"/>
    </row>
    <row r="18" spans="1:9" ht="24" customHeight="1">
      <c r="A18" s="88" t="s">
        <v>33</v>
      </c>
      <c r="B18" s="104">
        <v>3020</v>
      </c>
      <c r="C18" s="108">
        <v>3040</v>
      </c>
      <c r="D18" s="104">
        <v>3035.5</v>
      </c>
      <c r="E18" s="104">
        <v>3203.2</v>
      </c>
      <c r="F18" s="104">
        <v>3075.8</v>
      </c>
      <c r="H18" s="265">
        <f>F18/F17*100</f>
        <v>21.474401491297279</v>
      </c>
    </row>
    <row r="19" spans="1:9" ht="24" customHeight="1">
      <c r="A19" s="70" t="s">
        <v>34</v>
      </c>
      <c r="B19" s="104">
        <v>3327.8</v>
      </c>
      <c r="C19" s="108">
        <v>3331.2</v>
      </c>
      <c r="D19" s="104">
        <v>2371.8000000000002</v>
      </c>
      <c r="E19" s="104">
        <v>2594.6999999999998</v>
      </c>
      <c r="F19" s="104">
        <v>3763</v>
      </c>
      <c r="H19" s="265">
        <f>F19/F17*100</f>
        <v>26.272245533438994</v>
      </c>
    </row>
    <row r="20" spans="1:9" ht="24" customHeight="1">
      <c r="A20" s="70" t="s">
        <v>35</v>
      </c>
      <c r="B20" s="104">
        <v>4370.3999999999996</v>
      </c>
      <c r="C20" s="108">
        <v>4794.3999999999996</v>
      </c>
      <c r="D20" s="104">
        <v>4525.8999999999996</v>
      </c>
      <c r="E20" s="104">
        <v>5856.5</v>
      </c>
      <c r="F20" s="104">
        <v>4908</v>
      </c>
      <c r="H20" s="265">
        <f>F20/F17*100</f>
        <v>34.26632502740329</v>
      </c>
    </row>
    <row r="21" spans="1:9" ht="24" customHeight="1">
      <c r="A21" s="70" t="s">
        <v>36</v>
      </c>
      <c r="B21" s="104">
        <v>97</v>
      </c>
      <c r="C21" s="108">
        <v>97.3</v>
      </c>
      <c r="D21" s="104">
        <v>100.3</v>
      </c>
      <c r="E21" s="104">
        <v>211.5</v>
      </c>
      <c r="F21" s="104">
        <v>189.4</v>
      </c>
      <c r="H21" s="265">
        <f>F21/F17*100</f>
        <v>1.3223394376915614</v>
      </c>
    </row>
    <row r="22" spans="1:9" ht="24" customHeight="1">
      <c r="A22" s="70" t="s">
        <v>37</v>
      </c>
      <c r="B22" s="104">
        <v>752.7</v>
      </c>
      <c r="C22" s="108">
        <v>761</v>
      </c>
      <c r="D22" s="104">
        <v>784.7</v>
      </c>
      <c r="E22" s="104">
        <v>810.6</v>
      </c>
      <c r="F22" s="104">
        <v>771.3</v>
      </c>
      <c r="H22" s="265">
        <f>F22/F17*100</f>
        <v>5.3850074355411888</v>
      </c>
    </row>
    <row r="23" spans="1:9" ht="24" customHeight="1" thickBot="1">
      <c r="A23" s="70" t="s">
        <v>38</v>
      </c>
      <c r="B23" s="104">
        <v>1569.4</v>
      </c>
      <c r="C23" s="108">
        <v>1629.1</v>
      </c>
      <c r="D23" s="104">
        <v>1458.6</v>
      </c>
      <c r="E23" s="104">
        <v>1437.4</v>
      </c>
      <c r="F23" s="104">
        <v>1615.6</v>
      </c>
      <c r="G23" s="230"/>
      <c r="H23" s="265">
        <f>F23/F17*100</f>
        <v>11.2796810746277</v>
      </c>
      <c r="I23" s="228"/>
    </row>
    <row r="24" spans="1:9">
      <c r="A24" s="305"/>
      <c r="B24" s="258"/>
      <c r="C24" s="258"/>
      <c r="D24" s="258"/>
      <c r="E24" s="258"/>
      <c r="F24" s="258"/>
      <c r="H24" s="72"/>
    </row>
    <row r="25" spans="1:9">
      <c r="A25" s="90"/>
      <c r="B25" s="90"/>
      <c r="C25" s="90"/>
      <c r="D25" s="259"/>
      <c r="E25" s="108"/>
      <c r="F25" s="108"/>
      <c r="G25" s="230"/>
      <c r="H25" s="230"/>
      <c r="I25" s="228"/>
    </row>
    <row r="26" spans="1:9">
      <c r="D26" s="108"/>
      <c r="E26" s="108"/>
      <c r="G26" s="228"/>
      <c r="I26" s="228"/>
    </row>
    <row r="27" spans="1:9">
      <c r="D27" s="89"/>
      <c r="E27" s="108"/>
      <c r="G27" s="228"/>
      <c r="I27" s="228"/>
    </row>
    <row r="28" spans="1:9">
      <c r="D28" s="90"/>
      <c r="E28" s="108"/>
      <c r="G28" s="228"/>
      <c r="I28" s="228"/>
    </row>
    <row r="29" spans="1:9">
      <c r="D29" s="90"/>
      <c r="E29" s="108"/>
      <c r="G29" s="228"/>
      <c r="I29" s="228"/>
    </row>
    <row r="30" spans="1:9">
      <c r="D30" s="89"/>
      <c r="E30" s="108"/>
      <c r="G30" s="228"/>
      <c r="I30" s="228"/>
    </row>
    <row r="31" spans="1:9">
      <c r="G31" s="228"/>
      <c r="I31" s="228"/>
    </row>
    <row r="32" spans="1:9">
      <c r="G32" s="228"/>
      <c r="I32" s="228"/>
    </row>
    <row r="33" spans="1:9">
      <c r="G33" s="228"/>
      <c r="I33" s="228"/>
    </row>
    <row r="34" spans="1:9">
      <c r="G34" s="228"/>
      <c r="I34" s="228"/>
    </row>
    <row r="35" spans="1:9">
      <c r="G35" s="228"/>
      <c r="I35" s="228"/>
    </row>
    <row r="44" spans="1:9">
      <c r="A44" s="77"/>
    </row>
    <row r="45" spans="1:9">
      <c r="F45" s="77"/>
    </row>
  </sheetData>
  <mergeCells count="2">
    <mergeCell ref="B6:F6"/>
    <mergeCell ref="B15:F15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48"/>
  <sheetViews>
    <sheetView showGridLines="0" zoomScaleNormal="100" workbookViewId="0">
      <selection activeCell="J24" sqref="J24"/>
    </sheetView>
  </sheetViews>
  <sheetFormatPr baseColWidth="10" defaultColWidth="9.109375" defaultRowHeight="13.2"/>
  <cols>
    <col min="1" max="1" width="51.5546875" style="72" customWidth="1"/>
    <col min="2" max="6" width="8.6640625" style="72" customWidth="1"/>
    <col min="7" max="13" width="8.5546875" style="72" customWidth="1"/>
    <col min="14" max="16384" width="9.109375" style="72"/>
  </cols>
  <sheetData>
    <row r="1" spans="1:14" ht="14.1" customHeight="1">
      <c r="A1" s="65" t="s">
        <v>202</v>
      </c>
    </row>
    <row r="2" spans="1:14" ht="14.1" customHeight="1">
      <c r="A2" s="65"/>
    </row>
    <row r="3" spans="1:14" ht="14.1" customHeight="1">
      <c r="A3" s="29"/>
      <c r="B3" s="19"/>
      <c r="F3" s="7" t="s">
        <v>75</v>
      </c>
    </row>
    <row r="4" spans="1:14" ht="18" customHeight="1">
      <c r="A4" s="303" t="s">
        <v>27</v>
      </c>
      <c r="B4" s="304">
        <v>2018</v>
      </c>
      <c r="C4" s="304">
        <v>2019</v>
      </c>
      <c r="D4" s="304">
        <v>2020</v>
      </c>
      <c r="E4" s="304">
        <v>2021</v>
      </c>
      <c r="F4" s="304">
        <v>2022</v>
      </c>
      <c r="G4" s="364"/>
      <c r="H4" s="364"/>
      <c r="I4" s="79"/>
      <c r="J4" s="364"/>
      <c r="K4" s="364"/>
      <c r="L4" s="79"/>
      <c r="M4" s="85"/>
      <c r="N4" s="85"/>
    </row>
    <row r="5" spans="1:14" ht="5.0999999999999996" customHeight="1">
      <c r="A5" s="130"/>
      <c r="B5" s="131"/>
      <c r="C5" s="131"/>
      <c r="D5" s="131"/>
      <c r="E5" s="131"/>
      <c r="F5" s="131"/>
      <c r="G5" s="129"/>
      <c r="H5" s="129"/>
      <c r="I5" s="129"/>
      <c r="J5" s="129"/>
      <c r="K5" s="129"/>
      <c r="L5" s="129"/>
      <c r="M5" s="85"/>
      <c r="N5" s="85"/>
    </row>
    <row r="6" spans="1:14" ht="18" customHeight="1">
      <c r="A6" s="67"/>
      <c r="B6" s="365" t="s">
        <v>187</v>
      </c>
      <c r="C6" s="365"/>
      <c r="D6" s="365"/>
      <c r="E6" s="365"/>
      <c r="F6" s="365"/>
      <c r="G6" s="91"/>
      <c r="H6" s="91"/>
      <c r="I6" s="91"/>
      <c r="J6" s="91"/>
      <c r="K6" s="91"/>
      <c r="L6" s="91"/>
      <c r="M6" s="85"/>
      <c r="N6" s="85"/>
    </row>
    <row r="7" spans="1:14" s="85" customFormat="1" ht="5.0999999999999996" customHeight="1">
      <c r="A7" s="196"/>
      <c r="B7" s="202"/>
      <c r="C7" s="202"/>
      <c r="D7" s="202"/>
      <c r="E7" s="202"/>
      <c r="F7" s="202"/>
      <c r="G7" s="91"/>
      <c r="H7" s="91"/>
      <c r="I7" s="91"/>
      <c r="J7" s="91"/>
      <c r="K7" s="91"/>
      <c r="L7" s="91"/>
    </row>
    <row r="8" spans="1:14" ht="20.100000000000001" customHeight="1">
      <c r="A8" s="194" t="s">
        <v>28</v>
      </c>
      <c r="B8" s="177">
        <f>SUM(B9:B12)</f>
        <v>55987.1</v>
      </c>
      <c r="C8" s="177">
        <f>SUM(C9:C12)</f>
        <v>56540.399999999994</v>
      </c>
      <c r="D8" s="177">
        <f>SUM(D9:D12)</f>
        <v>54344.500000000007</v>
      </c>
      <c r="E8" s="177">
        <f>SUM(E9:E12)</f>
        <v>286780.79999999999</v>
      </c>
      <c r="F8" s="177">
        <f>SUM(F9:F12)</f>
        <v>377845.80000000005</v>
      </c>
      <c r="G8" s="92"/>
      <c r="H8" s="92"/>
      <c r="I8" s="92"/>
      <c r="J8" s="85"/>
      <c r="K8" s="85"/>
      <c r="L8" s="85"/>
      <c r="M8" s="79"/>
      <c r="N8" s="85"/>
    </row>
    <row r="9" spans="1:14" ht="20.100000000000001" customHeight="1">
      <c r="A9" s="204" t="s">
        <v>29</v>
      </c>
      <c r="B9" s="52">
        <v>37991.800000000003</v>
      </c>
      <c r="C9" s="52">
        <v>37078.199999999997</v>
      </c>
      <c r="D9" s="52">
        <v>34176.800000000003</v>
      </c>
      <c r="E9" s="52">
        <v>172456</v>
      </c>
      <c r="F9" s="52">
        <v>202897.5</v>
      </c>
      <c r="G9" s="92"/>
      <c r="H9" s="92"/>
      <c r="I9" s="92"/>
      <c r="J9" s="85"/>
      <c r="K9" s="85"/>
      <c r="L9" s="85"/>
      <c r="M9" s="66"/>
      <c r="N9" s="85"/>
    </row>
    <row r="10" spans="1:14" ht="20.100000000000001" customHeight="1">
      <c r="A10" s="69" t="s">
        <v>30</v>
      </c>
      <c r="B10" s="52">
        <v>3357.7</v>
      </c>
      <c r="C10" s="52">
        <v>3537.2</v>
      </c>
      <c r="D10" s="52">
        <v>4263.8</v>
      </c>
      <c r="E10" s="53">
        <v>9003.2999999999993</v>
      </c>
      <c r="F10" s="53">
        <v>11291.2</v>
      </c>
      <c r="G10" s="92"/>
      <c r="H10" s="92"/>
      <c r="I10" s="92"/>
      <c r="J10" s="91"/>
      <c r="K10" s="91"/>
      <c r="L10" s="91"/>
      <c r="M10" s="85"/>
      <c r="N10" s="85"/>
    </row>
    <row r="11" spans="1:14" ht="20.100000000000001" customHeight="1">
      <c r="A11" s="70" t="s">
        <v>31</v>
      </c>
      <c r="B11" s="52">
        <v>9556.6</v>
      </c>
      <c r="C11" s="52">
        <v>10673.7</v>
      </c>
      <c r="D11" s="52">
        <v>10668.4</v>
      </c>
      <c r="E11" s="53">
        <v>23404.3</v>
      </c>
      <c r="F11" s="53">
        <v>60254</v>
      </c>
      <c r="G11" s="92"/>
      <c r="H11" s="92"/>
      <c r="I11" s="92"/>
      <c r="J11" s="85"/>
      <c r="K11" s="85"/>
      <c r="L11" s="85"/>
      <c r="M11" s="91"/>
      <c r="N11" s="85"/>
    </row>
    <row r="12" spans="1:14" ht="20.100000000000001" customHeight="1">
      <c r="A12" s="70" t="s">
        <v>32</v>
      </c>
      <c r="B12" s="52">
        <v>5081</v>
      </c>
      <c r="C12" s="52">
        <v>5251.3</v>
      </c>
      <c r="D12" s="52">
        <v>5235.5</v>
      </c>
      <c r="E12" s="52">
        <v>81917.2</v>
      </c>
      <c r="F12" s="52">
        <v>103403.1</v>
      </c>
      <c r="G12" s="92"/>
      <c r="H12" s="92"/>
      <c r="I12" s="92"/>
      <c r="J12" s="85"/>
      <c r="K12" s="85"/>
      <c r="L12" s="85"/>
      <c r="M12" s="85"/>
      <c r="N12" s="85"/>
    </row>
    <row r="13" spans="1:14" ht="5.0999999999999996" customHeight="1">
      <c r="A13" s="70"/>
      <c r="B13" s="52"/>
      <c r="C13" s="52"/>
      <c r="D13" s="52"/>
      <c r="E13" s="116"/>
      <c r="F13" s="52"/>
      <c r="G13" s="92"/>
      <c r="H13" s="92"/>
      <c r="I13" s="92"/>
      <c r="J13" s="85"/>
      <c r="K13" s="85"/>
      <c r="L13" s="85"/>
      <c r="M13" s="85"/>
      <c r="N13" s="85"/>
    </row>
    <row r="14" spans="1:14" ht="20.100000000000001" customHeight="1">
      <c r="A14" s="71"/>
      <c r="B14" s="363" t="s">
        <v>220</v>
      </c>
      <c r="C14" s="363"/>
      <c r="D14" s="363"/>
      <c r="E14" s="363"/>
      <c r="F14" s="363"/>
      <c r="G14" s="91"/>
      <c r="H14" s="91"/>
      <c r="I14" s="91"/>
      <c r="J14" s="85"/>
      <c r="K14" s="85"/>
      <c r="L14" s="85"/>
      <c r="M14" s="85"/>
      <c r="N14" s="85"/>
    </row>
    <row r="15" spans="1:14" s="85" customFormat="1" ht="5.0999999999999996" customHeight="1">
      <c r="A15" s="198"/>
      <c r="B15" s="199"/>
      <c r="C15" s="199"/>
      <c r="D15" s="199"/>
      <c r="E15" s="199"/>
      <c r="F15" s="199"/>
      <c r="G15" s="91"/>
      <c r="H15" s="91"/>
      <c r="I15" s="91"/>
    </row>
    <row r="16" spans="1:14" ht="20.100000000000001" customHeight="1">
      <c r="A16" s="194" t="s">
        <v>28</v>
      </c>
      <c r="B16" s="177">
        <f>SUM(B17:B20)</f>
        <v>33540.44</v>
      </c>
      <c r="C16" s="177">
        <f>SUM(C17:C20)</f>
        <v>33252.800000000003</v>
      </c>
      <c r="D16" s="177">
        <f>SUM(D17:D20)</f>
        <v>30364.399999999998</v>
      </c>
      <c r="E16" s="177">
        <f>SUM(E17:E20)</f>
        <v>29555.7</v>
      </c>
      <c r="F16" s="177">
        <f>SUM(F17:F20)</f>
        <v>30166.2</v>
      </c>
      <c r="G16" s="85"/>
      <c r="H16" s="85"/>
      <c r="I16" s="91"/>
      <c r="J16" s="85"/>
      <c r="K16" s="39"/>
      <c r="L16" s="40"/>
      <c r="M16" s="91"/>
      <c r="N16" s="85"/>
    </row>
    <row r="17" spans="1:14" ht="20.100000000000001" customHeight="1">
      <c r="A17" s="204" t="s">
        <v>29</v>
      </c>
      <c r="B17" s="52">
        <v>23763</v>
      </c>
      <c r="C17" s="52">
        <v>23198.400000000001</v>
      </c>
      <c r="D17" s="52">
        <v>21455</v>
      </c>
      <c r="E17" s="41">
        <v>20120.099999999999</v>
      </c>
      <c r="F17" s="41">
        <v>21293.200000000001</v>
      </c>
      <c r="G17" s="85"/>
      <c r="H17" s="85"/>
      <c r="I17" s="91"/>
      <c r="J17" s="85"/>
      <c r="K17" s="85"/>
      <c r="L17" s="85"/>
      <c r="M17" s="85"/>
      <c r="N17" s="85"/>
    </row>
    <row r="18" spans="1:14" ht="20.100000000000001" customHeight="1">
      <c r="A18" s="70" t="s">
        <v>30</v>
      </c>
      <c r="B18" s="52">
        <v>3401.54</v>
      </c>
      <c r="C18" s="52">
        <v>3733.2</v>
      </c>
      <c r="D18" s="53">
        <v>3108.8</v>
      </c>
      <c r="E18" s="53">
        <v>3192.7</v>
      </c>
      <c r="F18" s="53">
        <v>3023.5</v>
      </c>
      <c r="G18" s="91"/>
      <c r="H18" s="91"/>
      <c r="I18" s="91"/>
      <c r="J18" s="91"/>
      <c r="K18" s="66"/>
      <c r="L18" s="85"/>
      <c r="M18" s="85"/>
      <c r="N18" s="91"/>
    </row>
    <row r="19" spans="1:14" ht="20.100000000000001" customHeight="1">
      <c r="A19" s="70" t="s">
        <v>31</v>
      </c>
      <c r="B19" s="52">
        <v>3881.2</v>
      </c>
      <c r="C19" s="52">
        <v>3986</v>
      </c>
      <c r="D19" s="53">
        <v>3521.6</v>
      </c>
      <c r="E19" s="53">
        <v>3408.9</v>
      </c>
      <c r="F19" s="53">
        <v>3641.9</v>
      </c>
      <c r="G19" s="85"/>
      <c r="H19" s="85"/>
      <c r="I19" s="85"/>
      <c r="J19" s="85"/>
      <c r="K19" s="85"/>
      <c r="L19" s="85"/>
      <c r="M19" s="85"/>
      <c r="N19" s="85"/>
    </row>
    <row r="20" spans="1:14" ht="20.100000000000001" customHeight="1">
      <c r="A20" s="280" t="s">
        <v>32</v>
      </c>
      <c r="B20" s="281">
        <v>2494.6999999999998</v>
      </c>
      <c r="C20" s="281">
        <v>2335.1999999999998</v>
      </c>
      <c r="D20" s="281">
        <v>2279</v>
      </c>
      <c r="E20" s="282">
        <v>2834</v>
      </c>
      <c r="F20" s="282">
        <v>2207.6</v>
      </c>
      <c r="G20" s="91"/>
      <c r="H20" s="91"/>
      <c r="I20" s="91"/>
      <c r="J20" s="91"/>
      <c r="K20" s="91"/>
      <c r="L20" s="91"/>
      <c r="M20" s="40"/>
      <c r="N20" s="85"/>
    </row>
    <row r="21" spans="1:14" ht="5.0999999999999996" customHeight="1">
      <c r="A21" s="285"/>
      <c r="B21" s="286"/>
      <c r="C21" s="286"/>
      <c r="D21" s="286"/>
      <c r="E21" s="287"/>
      <c r="F21" s="287"/>
      <c r="G21" s="91"/>
      <c r="H21" s="91"/>
      <c r="I21" s="91"/>
      <c r="J21" s="91"/>
      <c r="K21" s="91"/>
      <c r="L21" s="91"/>
      <c r="M21" s="40"/>
      <c r="N21" s="85"/>
    </row>
    <row r="22" spans="1:14" ht="5.0999999999999996" customHeight="1">
      <c r="A22" s="288"/>
      <c r="B22" s="289"/>
      <c r="C22" s="289"/>
      <c r="D22" s="289"/>
      <c r="E22" s="290"/>
      <c r="F22" s="290"/>
      <c r="G22" s="91"/>
      <c r="H22" s="91"/>
      <c r="I22" s="91"/>
      <c r="J22" s="91"/>
      <c r="K22" s="91"/>
      <c r="L22" s="91"/>
      <c r="M22" s="40"/>
      <c r="N22" s="85"/>
    </row>
    <row r="23" spans="1:14">
      <c r="A23" s="283"/>
      <c r="B23" s="283"/>
      <c r="C23" s="283"/>
      <c r="D23" s="283"/>
      <c r="E23" s="283"/>
      <c r="F23" s="284"/>
    </row>
    <row r="24" spans="1:14" ht="19.5" customHeight="1">
      <c r="A24" s="13"/>
      <c r="B24" s="13"/>
      <c r="G24" s="91"/>
      <c r="H24" s="91"/>
      <c r="I24" s="91"/>
      <c r="J24" s="91"/>
      <c r="K24" s="91"/>
      <c r="L24" s="91"/>
      <c r="M24" s="85"/>
      <c r="N24" s="85"/>
    </row>
    <row r="25" spans="1:14" ht="14.1" customHeight="1">
      <c r="A25" s="154" t="s">
        <v>203</v>
      </c>
      <c r="B25" s="125"/>
      <c r="C25" s="126"/>
      <c r="F25" s="93"/>
      <c r="G25" s="91"/>
      <c r="H25" s="91"/>
      <c r="I25" s="94"/>
      <c r="J25" s="91"/>
      <c r="K25" s="91"/>
      <c r="L25" s="94"/>
      <c r="M25" s="91"/>
      <c r="N25" s="85"/>
    </row>
    <row r="26" spans="1:14" ht="13.5" customHeight="1">
      <c r="A26" s="65"/>
      <c r="B26" s="30"/>
      <c r="F26" s="85"/>
      <c r="G26" s="85"/>
      <c r="H26" s="91"/>
      <c r="I26" s="91"/>
      <c r="J26" s="91"/>
      <c r="K26" s="91"/>
      <c r="L26" s="91"/>
      <c r="M26" s="91"/>
      <c r="N26" s="85"/>
    </row>
    <row r="27" spans="1:14" ht="13.5" customHeight="1">
      <c r="A27" s="29"/>
      <c r="F27" s="7" t="s">
        <v>77</v>
      </c>
      <c r="G27" s="85"/>
      <c r="H27" s="91"/>
      <c r="I27" s="91"/>
      <c r="J27" s="91"/>
      <c r="K27" s="91"/>
      <c r="L27" s="91"/>
      <c r="M27" s="91"/>
      <c r="N27" s="85"/>
    </row>
    <row r="28" spans="1:14" ht="18.75" customHeight="1">
      <c r="A28" s="303" t="s">
        <v>27</v>
      </c>
      <c r="B28" s="304">
        <v>2018</v>
      </c>
      <c r="C28" s="304">
        <v>2019</v>
      </c>
      <c r="D28" s="304">
        <v>2020</v>
      </c>
      <c r="E28" s="304">
        <v>2021</v>
      </c>
      <c r="F28" s="304">
        <v>2022</v>
      </c>
      <c r="G28" s="85"/>
      <c r="H28" s="85"/>
      <c r="I28" s="85"/>
      <c r="J28" s="85"/>
      <c r="K28" s="85"/>
      <c r="L28" s="85"/>
      <c r="M28" s="85"/>
      <c r="N28" s="85"/>
    </row>
    <row r="29" spans="1:14" ht="5.0999999999999996" customHeight="1">
      <c r="A29" s="130"/>
      <c r="B29" s="131"/>
      <c r="C29" s="131"/>
      <c r="D29" s="131"/>
      <c r="E29" s="131"/>
      <c r="F29" s="131"/>
      <c r="G29" s="85"/>
      <c r="H29" s="85"/>
      <c r="I29" s="85"/>
      <c r="J29" s="85"/>
      <c r="K29" s="85"/>
      <c r="L29" s="85"/>
      <c r="M29" s="85"/>
      <c r="N29" s="85"/>
    </row>
    <row r="30" spans="1:14" ht="20.100000000000001" customHeight="1">
      <c r="A30" s="1"/>
      <c r="B30" s="365" t="s">
        <v>187</v>
      </c>
      <c r="C30" s="366"/>
      <c r="D30" s="366"/>
      <c r="E30" s="366"/>
      <c r="F30" s="366"/>
    </row>
    <row r="31" spans="1:14" s="85" customFormat="1" ht="5.0999999999999996" customHeight="1">
      <c r="A31" s="178"/>
      <c r="B31" s="202"/>
      <c r="C31" s="203"/>
      <c r="D31" s="203"/>
      <c r="E31" s="203"/>
      <c r="F31" s="203"/>
    </row>
    <row r="32" spans="1:14" ht="20.100000000000001" customHeight="1">
      <c r="A32" s="200" t="s">
        <v>139</v>
      </c>
      <c r="B32" s="201">
        <f>SUM(B33:B34)</f>
        <v>86047.319859007504</v>
      </c>
      <c r="C32" s="201">
        <f>SUM(C33:C34)</f>
        <v>89877.183823639323</v>
      </c>
      <c r="D32" s="201">
        <f>SUM(D33:D34)</f>
        <v>96048.700000000012</v>
      </c>
      <c r="E32" s="201">
        <f>SUM(E33:E34)</f>
        <v>471208.4</v>
      </c>
      <c r="F32" s="201">
        <f>SUM(F33:F34)</f>
        <v>583924</v>
      </c>
    </row>
    <row r="33" spans="1:6" ht="20.100000000000001" customHeight="1">
      <c r="A33" s="1" t="s">
        <v>73</v>
      </c>
      <c r="B33" s="55">
        <f>'5.9'!B9</f>
        <v>8165.9697790075015</v>
      </c>
      <c r="C33" s="55">
        <f>'5.9'!C9</f>
        <v>9056.0604849193187</v>
      </c>
      <c r="D33" s="55">
        <f>'5.9'!D9</f>
        <v>11329.1</v>
      </c>
      <c r="E33" s="55">
        <f>'5.9'!E9</f>
        <v>52770.2</v>
      </c>
      <c r="F33" s="55">
        <f>'5.9'!F9</f>
        <v>68418</v>
      </c>
    </row>
    <row r="34" spans="1:6" ht="20.100000000000001" customHeight="1">
      <c r="A34" s="1" t="s">
        <v>74</v>
      </c>
      <c r="B34" s="55">
        <f>SUM(B35:B36)</f>
        <v>77881.350080000004</v>
      </c>
      <c r="C34" s="55">
        <f>SUM(C35:C36)</f>
        <v>80821.123338720005</v>
      </c>
      <c r="D34" s="55">
        <f>SUM(D35:D36)</f>
        <v>84719.6</v>
      </c>
      <c r="E34" s="55">
        <f>SUM(E35:E36)</f>
        <v>418438.2</v>
      </c>
      <c r="F34" s="55">
        <f>SUM(F35:F36)</f>
        <v>515506.00000000006</v>
      </c>
    </row>
    <row r="35" spans="1:6" ht="20.100000000000001" customHeight="1">
      <c r="A35" s="1" t="s">
        <v>128</v>
      </c>
      <c r="B35" s="55">
        <f>B8</f>
        <v>55987.1</v>
      </c>
      <c r="C35" s="55">
        <f>C8</f>
        <v>56540.399999999994</v>
      </c>
      <c r="D35" s="55">
        <f>D8</f>
        <v>54344.500000000007</v>
      </c>
      <c r="E35" s="55">
        <f>E8</f>
        <v>286780.79999999999</v>
      </c>
      <c r="F35" s="55">
        <f>F8</f>
        <v>377845.80000000005</v>
      </c>
    </row>
    <row r="36" spans="1:6" ht="20.100000000000001" customHeight="1">
      <c r="A36" s="1" t="s">
        <v>127</v>
      </c>
      <c r="B36" s="55">
        <f>'5.9'!B8-'5.9'!B9</f>
        <v>21894.250080000005</v>
      </c>
      <c r="C36" s="105">
        <f>'5.9'!C8-'5.9'!C9</f>
        <v>24280.723338720003</v>
      </c>
      <c r="D36" s="105">
        <f>'5.9'!D8-'5.9'!D9</f>
        <v>30375.100000000006</v>
      </c>
      <c r="E36" s="105">
        <f>'5.9'!E8-'5.9'!E9</f>
        <v>131657.40000000002</v>
      </c>
      <c r="F36" s="105">
        <f>'5.9'!F8-'5.9'!F9</f>
        <v>137660.20000000001</v>
      </c>
    </row>
    <row r="37" spans="1:6" ht="5.0999999999999996" customHeight="1">
      <c r="A37" s="1"/>
      <c r="B37" s="55"/>
      <c r="C37" s="55"/>
      <c r="D37" s="105"/>
      <c r="E37" s="105"/>
      <c r="F37" s="105"/>
    </row>
    <row r="38" spans="1:6" ht="20.100000000000001" customHeight="1">
      <c r="A38" s="1"/>
      <c r="B38" s="363" t="s">
        <v>220</v>
      </c>
      <c r="C38" s="363"/>
      <c r="D38" s="363"/>
      <c r="E38" s="363"/>
      <c r="F38" s="363"/>
    </row>
    <row r="39" spans="1:6" s="85" customFormat="1" ht="5.0999999999999996" customHeight="1">
      <c r="A39" s="178"/>
      <c r="B39" s="199"/>
      <c r="C39" s="199"/>
      <c r="D39" s="199"/>
      <c r="E39" s="199"/>
      <c r="F39" s="199"/>
    </row>
    <row r="40" spans="1:6" ht="20.100000000000001" customHeight="1">
      <c r="A40" s="200" t="s">
        <v>139</v>
      </c>
      <c r="B40" s="201">
        <f>SUM(B41:B42)</f>
        <v>46677.740000000005</v>
      </c>
      <c r="C40" s="201">
        <f>SUM(C41:C42)</f>
        <v>46905.8</v>
      </c>
      <c r="D40" s="201">
        <f>SUM(D41:D42)</f>
        <v>42641.2</v>
      </c>
      <c r="E40" s="201">
        <f>SUM(E41:E42)</f>
        <v>43669.599999999999</v>
      </c>
      <c r="F40" s="201">
        <f>SUM(F41:F42)</f>
        <v>44489.3</v>
      </c>
    </row>
    <row r="41" spans="1:6" ht="20.100000000000001" customHeight="1">
      <c r="A41" s="1" t="s">
        <v>73</v>
      </c>
      <c r="B41" s="55">
        <f>'5.9'!B18</f>
        <v>3020</v>
      </c>
      <c r="C41" s="55">
        <f>'5.9'!C18</f>
        <v>3040</v>
      </c>
      <c r="D41" s="55">
        <f>'5.9'!D18</f>
        <v>3035.5</v>
      </c>
      <c r="E41" s="55">
        <f>'5.9'!E19</f>
        <v>2594.6999999999998</v>
      </c>
      <c r="F41" s="55">
        <f>'5.9'!F19</f>
        <v>3763</v>
      </c>
    </row>
    <row r="42" spans="1:6" ht="20.100000000000001" customHeight="1">
      <c r="A42" s="1" t="s">
        <v>74</v>
      </c>
      <c r="B42" s="54">
        <f>SUM(B43:B44)</f>
        <v>43657.740000000005</v>
      </c>
      <c r="C42" s="54">
        <f>SUM(C43:C44)</f>
        <v>43865.8</v>
      </c>
      <c r="D42" s="54">
        <f>SUM(D43:D44)</f>
        <v>39605.699999999997</v>
      </c>
      <c r="E42" s="54">
        <f>SUM(E43:E44)</f>
        <v>41074.9</v>
      </c>
      <c r="F42" s="54">
        <f>SUM(F43:F44)</f>
        <v>40726.300000000003</v>
      </c>
    </row>
    <row r="43" spans="1:6" ht="20.100000000000001" customHeight="1">
      <c r="A43" s="1" t="s">
        <v>128</v>
      </c>
      <c r="B43" s="54">
        <f>B16</f>
        <v>33540.44</v>
      </c>
      <c r="C43" s="54">
        <f>C16</f>
        <v>33252.800000000003</v>
      </c>
      <c r="D43" s="54">
        <f>D16</f>
        <v>30364.399999999998</v>
      </c>
      <c r="E43" s="54">
        <f>E16</f>
        <v>29555.7</v>
      </c>
      <c r="F43" s="54">
        <f>F16</f>
        <v>30166.2</v>
      </c>
    </row>
    <row r="44" spans="1:6" ht="20.100000000000001" customHeight="1" thickBot="1">
      <c r="A44" s="1" t="s">
        <v>127</v>
      </c>
      <c r="B44" s="54">
        <f>'5.9'!B17-'5.9'!B18</f>
        <v>10117.300000000001</v>
      </c>
      <c r="C44" s="54">
        <f>'5.9'!C17-'5.9'!C18</f>
        <v>10612.999999999998</v>
      </c>
      <c r="D44" s="54">
        <f>'5.9'!D17-'5.9'!D18</f>
        <v>9241.3000000000011</v>
      </c>
      <c r="E44" s="54">
        <f>'5.9'!E17-'5.9'!E19</f>
        <v>11519.2</v>
      </c>
      <c r="F44" s="54">
        <f>'5.9'!F17-'5.9'!F19</f>
        <v>10560.099999999999</v>
      </c>
    </row>
    <row r="45" spans="1:6">
      <c r="A45" s="305"/>
      <c r="B45" s="258"/>
      <c r="C45" s="258"/>
      <c r="D45" s="258"/>
      <c r="E45" s="258"/>
      <c r="F45" s="258"/>
    </row>
    <row r="48" spans="1:6">
      <c r="F48" s="77"/>
    </row>
  </sheetData>
  <mergeCells count="6">
    <mergeCell ref="B38:F38"/>
    <mergeCell ref="G4:H4"/>
    <mergeCell ref="J4:K4"/>
    <mergeCell ref="B6:F6"/>
    <mergeCell ref="B14:F14"/>
    <mergeCell ref="B30:F30"/>
  </mergeCells>
  <phoneticPr fontId="4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5.1</vt:lpstr>
      <vt:lpstr>5.2</vt:lpstr>
      <vt:lpstr>5.3</vt:lpstr>
      <vt:lpstr>5.4</vt:lpstr>
      <vt:lpstr>5.5</vt:lpstr>
      <vt:lpstr>5.6-7</vt:lpstr>
      <vt:lpstr>5.8</vt:lpstr>
      <vt:lpstr>5.9</vt:lpstr>
      <vt:lpstr>5.10-11</vt:lpstr>
      <vt:lpstr>5.12-13</vt:lpstr>
      <vt:lpstr>5.14-15 </vt:lpstr>
      <vt:lpstr>'5.1'!Área_de_impresión</vt:lpstr>
      <vt:lpstr>'5.10-11'!Área_de_impresión</vt:lpstr>
      <vt:lpstr>'5.12-13'!Área_de_impresión</vt:lpstr>
      <vt:lpstr>'5.14-15 '!Área_de_impresión</vt:lpstr>
      <vt:lpstr>'5.2'!Área_de_impresión</vt:lpstr>
      <vt:lpstr>'5.3'!Área_de_impresión</vt:lpstr>
      <vt:lpstr>'5.4'!Área_de_impresión</vt:lpstr>
      <vt:lpstr>'5.5'!Área_de_impresión</vt:lpstr>
      <vt:lpstr>'5.6-7'!Área_de_impresión</vt:lpstr>
      <vt:lpstr>'5.8'!Área_de_impresión</vt:lpstr>
      <vt:lpstr>'5.9'!Área_de_impresión</vt:lpstr>
    </vt:vector>
  </TitlesOfParts>
  <Company>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Niurka Adelina Ramos Fernandez</cp:lastModifiedBy>
  <cp:lastPrinted>2024-03-20T18:13:14Z</cp:lastPrinted>
  <dcterms:created xsi:type="dcterms:W3CDTF">2007-12-18T21:45:00Z</dcterms:created>
  <dcterms:modified xsi:type="dcterms:W3CDTF">2024-03-20T18:18:08Z</dcterms:modified>
</cp:coreProperties>
</file>